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gif" ContentType="image/gif"/>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drawings/drawing1.xml" ContentType="application/vnd.openxmlformats-officedocument.drawing+xml"/>
  <Override PartName="/xl/customProperty2.bin" ContentType="application/vnd.openxmlformats-officedocument.spreadsheetml.customProperty"/>
  <Override PartName="/xl/drawings/drawing2.xml" ContentType="application/vnd.openxmlformats-officedocument.drawing+xml"/>
  <Override PartName="/xl/customProperty3.bin" ContentType="application/vnd.openxmlformats-officedocument.spreadsheetml.customProperty"/>
  <Override PartName="/xl/drawings/drawing3.xml" ContentType="application/vnd.openxmlformats-officedocument.drawing+xml"/>
  <Override PartName="/xl/customProperty4.bin" ContentType="application/vnd.openxmlformats-officedocument.spreadsheetml.customProperty"/>
  <Override PartName="/xl/drawings/drawing4.xml" ContentType="application/vnd.openxmlformats-officedocument.drawing+xml"/>
  <Override PartName="/xl/customProperty5.bin" ContentType="application/vnd.openxmlformats-officedocument.spreadsheetml.customProperty"/>
  <Override PartName="/xl/customProperty6.bin" ContentType="application/vnd.openxmlformats-officedocument.spreadsheetml.customProperty"/>
  <Override PartName="/xl/drawings/drawing5.xml" ContentType="application/vnd.openxmlformats-officedocument.drawing+xml"/>
  <Override PartName="/xl/customProperty7.bin" ContentType="application/vnd.openxmlformats-officedocument.spreadsheetml.customProperty"/>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charts/chart1.xml" ContentType="application/vnd.openxmlformats-officedocument.drawingml.chart+xml"/>
  <Override PartName="/xl/theme/themeOverride1.xml" ContentType="application/vnd.openxmlformats-officedocument.themeOverride+xml"/>
  <Override PartName="/xl/charts/chart2.xml" ContentType="application/vnd.openxmlformats-officedocument.drawingml.chart+xml"/>
  <Override PartName="/xl/theme/themeOverride2.xml" ContentType="application/vnd.openxmlformats-officedocument.themeOverride+xml"/>
  <Override PartName="/xl/customProperty8.bin" ContentType="application/vnd.openxmlformats-officedocument.spreadsheetml.customProperty"/>
  <Override PartName="/xl/customProperty9.bin" ContentType="application/vnd.openxmlformats-officedocument.spreadsheetml.customProperty"/>
  <Override PartName="/xl/customProperty10.bin" ContentType="application/vnd.openxmlformats-officedocument.spreadsheetml.customProperty"/>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defaultThemeVersion="124226"/>
  <bookViews>
    <workbookView xWindow="45" yWindow="30" windowWidth="24915" windowHeight="12375" tabRatio="904"/>
  </bookViews>
  <sheets>
    <sheet name="Plaasinligting" sheetId="42" r:id="rId1"/>
    <sheet name="Gewasbeskermingsprogram" sheetId="36" r:id="rId2"/>
    <sheet name="Ooreenkoms" sheetId="43" r:id="rId3"/>
    <sheet name="Verskansingsvoordeel" sheetId="37" r:id="rId4"/>
    <sheet name="epos inligting aan Syngenta" sheetId="44" r:id="rId5"/>
    <sheet name="Koring 1 (dont use)" sheetId="1" r:id="rId6"/>
    <sheet name="AgriSafe calc (dont use)" sheetId="6" r:id="rId7"/>
    <sheet name="Sojas 1" sheetId="14" state="hidden" r:id="rId8"/>
    <sheet name="Sojas 2" sheetId="23" state="hidden" r:id="rId9"/>
    <sheet name="Sojas 3" sheetId="24" state="hidden" r:id="rId10"/>
    <sheet name="Sonneblom 1" sheetId="25" state="hidden" r:id="rId11"/>
    <sheet name="Sonneblom 2" sheetId="26" state="hidden" r:id="rId12"/>
    <sheet name="Sonneblom 3" sheetId="27" state="hidden" r:id="rId13"/>
    <sheet name="Ander 1" sheetId="28" state="hidden" r:id="rId14"/>
    <sheet name="Ander 2" sheetId="29" state="hidden" r:id="rId15"/>
    <sheet name="Ander 3" sheetId="30" state="hidden" r:id="rId16"/>
    <sheet name="Ander 4" sheetId="31" state="hidden" r:id="rId17"/>
    <sheet name="Ander 5" sheetId="32" state="hidden" r:id="rId18"/>
    <sheet name="Opsomming" sheetId="9" state="hidden" r:id="rId19"/>
    <sheet name="List of products (old)" sheetId="4" state="hidden" r:id="rId20"/>
    <sheet name="VLOOKUPS" sheetId="5" r:id="rId21"/>
    <sheet name="Produklys" sheetId="33" r:id="rId22"/>
    <sheet name="Working sheet (dont use)" sheetId="35" r:id="rId23"/>
    <sheet name="_SSC" sheetId="38" state="veryHidden" r:id="rId24"/>
    <sheet name="_Options" sheetId="41" state="veryHidden" r:id="rId25"/>
  </sheets>
  <definedNames>
    <definedName name="_Ctrl_1" hidden="1">Gewasbeskermingsprogram!$C$27</definedName>
    <definedName name="_Ctrl_10" hidden="1">#REF!</definedName>
    <definedName name="_Ctrl_11" hidden="1">#REF!</definedName>
    <definedName name="_Ctrl_12" hidden="1">#REF!</definedName>
    <definedName name="_Ctrl_13" hidden="1">#REF!</definedName>
    <definedName name="_Ctrl_14" hidden="1">#REF!</definedName>
    <definedName name="_Ctrl_15" hidden="1">#REF!</definedName>
    <definedName name="_Ctrl_16" hidden="1">#REF!</definedName>
    <definedName name="_Ctrl_17" hidden="1">#REF!</definedName>
    <definedName name="_Ctrl_18" hidden="1">#REF!</definedName>
    <definedName name="_Ctrl_19" hidden="1">#REF!</definedName>
    <definedName name="_Ctrl_2" hidden="1">Gewasbeskermingsprogram!$B$55</definedName>
    <definedName name="_Ctrl_20" hidden="1">#REF!</definedName>
    <definedName name="_Ctrl_21" hidden="1">#REF!</definedName>
    <definedName name="_Ctrl_22" hidden="1">#REF!</definedName>
    <definedName name="_Ctrl_23" hidden="1">Gewasbeskermingsprogram!$E$11</definedName>
    <definedName name="_Ctrl_24" hidden="1">Gewasbeskermingsprogram!$G$9</definedName>
    <definedName name="_Ctrl_25" hidden="1">Gewasbeskermingsprogram!$G$11</definedName>
    <definedName name="_Ctrl_26" hidden="1">Gewasbeskermingsprogram!$B$27</definedName>
    <definedName name="_Ctrl_27" hidden="1">Plaasinligting!$E$13</definedName>
    <definedName name="_Ctrl_28" hidden="1">Plaasinligting!$E$15</definedName>
    <definedName name="_Ctrl_29" hidden="1">Plaasinligting!$E$17</definedName>
    <definedName name="_Ctrl_3" hidden="1">Gewasbeskermingsprogram!$B$83</definedName>
    <definedName name="_Ctrl_30" hidden="1">Plaasinligting!$E$25</definedName>
    <definedName name="_Ctrl_31" hidden="1">Plaasinligting!$E$27</definedName>
    <definedName name="_Ctrl_32" hidden="1">Plaasinligting!$E$29</definedName>
    <definedName name="_Ctrl_33" hidden="1">Plaasinligting!$J$25</definedName>
    <definedName name="_Ctrl_34" hidden="1">Plaasinligting!$J$29</definedName>
    <definedName name="_Ctrl_35" hidden="1">Plaasinligting!$J$27</definedName>
    <definedName name="_Ctrl_36" hidden="1">Plaasinligting!$E$31</definedName>
    <definedName name="_Ctrl_37" hidden="1">Plaasinligting!$E$33</definedName>
    <definedName name="_Ctrl_38" hidden="1">Plaasinligting!$F$35</definedName>
    <definedName name="_Ctrl_39" hidden="1">Plaasinligting!#REF!</definedName>
    <definedName name="_Ctrl_4" hidden="1">Gewasbeskermingsprogram!$C$111</definedName>
    <definedName name="_Ctrl_40" hidden="1">Plaasinligting!$C$41</definedName>
    <definedName name="_Ctrl_41" hidden="1">Plaasinligting!$G$52</definedName>
    <definedName name="_Ctrl_42" hidden="1">Plaasinligting!$J$52</definedName>
    <definedName name="_Ctrl_43" hidden="1">Ooreenkoms!$C$11</definedName>
    <definedName name="_Ctrl_44" hidden="1">Ooreenkoms!$C$24</definedName>
    <definedName name="_Ctrl_45" hidden="1">Ooreenkoms!$C$42</definedName>
    <definedName name="_Ctrl_46" hidden="1">Ooreenkoms!$B$59</definedName>
    <definedName name="_Ctrl_47" hidden="1">Ooreenkoms!$B$69</definedName>
    <definedName name="_Ctrl_48" hidden="1">Ooreenkoms!$E$69</definedName>
    <definedName name="_Ctrl_49" hidden="1">Ooreenkoms!$E$71</definedName>
    <definedName name="_Ctrl_50" hidden="1">Ooreenkoms!$E$73</definedName>
    <definedName name="_Ctrl_51" hidden="1">Ooreenkoms!$E$75</definedName>
    <definedName name="_Ctrl_52" hidden="1">Ooreenkoms!$C$102</definedName>
    <definedName name="_Ctrl_53" hidden="1">Ooreenkoms!$C$104</definedName>
    <definedName name="_Ctrl_55" hidden="1">Ooreenkoms!$C$108</definedName>
    <definedName name="_Ctrl_56" hidden="1">Ooreenkoms!$C$110</definedName>
    <definedName name="_Ctrl_57" hidden="1">Ooreenkoms!$C$112</definedName>
    <definedName name="_Ctrl_58" hidden="1">Ooreenkoms!$C$113</definedName>
    <definedName name="_Ctrl_59" hidden="1">Ooreenkoms!$C$116</definedName>
    <definedName name="_Ctrl_6" hidden="1">#REF!</definedName>
    <definedName name="_Ctrl_60" hidden="1">Ooreenkoms!$C$117</definedName>
    <definedName name="_Ctrl_61" hidden="1">Plaasinligting!$E$23</definedName>
    <definedName name="_Ctrl_62" hidden="1">Plaasinligting!$D$55</definedName>
    <definedName name="_Ctrl_66" hidden="1">Plaasinligting!$J$35</definedName>
    <definedName name="_Ctrl_67" hidden="1">Plaasinligting!$I$55</definedName>
    <definedName name="_Ctrl_68" hidden="1">Gewasbeskermingsprogram!$C$27</definedName>
    <definedName name="_Ctrl_69" hidden="1">Gewasbeskermingsprogram!$D$27</definedName>
    <definedName name="_Ctrl_7" hidden="1">#REF!</definedName>
    <definedName name="_Ctrl_71" hidden="1">Gewasbeskermingsprogram!$B$55</definedName>
    <definedName name="_Ctrl_72" hidden="1">Gewasbeskermingsprogram!$C$55</definedName>
    <definedName name="_Ctrl_73" hidden="1">Gewasbeskermingsprogram!$D$55</definedName>
    <definedName name="_Ctrl_74" hidden="1">Gewasbeskermingsprogram!$B$83</definedName>
    <definedName name="_Ctrl_75" hidden="1">Gewasbeskermingsprogram!$C$83</definedName>
    <definedName name="_Ctrl_76" hidden="1">Gewasbeskermingsprogram!$D$83</definedName>
    <definedName name="_Ctrl_77" hidden="1">Gewasbeskermingsprogram!$B$111</definedName>
    <definedName name="_Ctrl_78" hidden="1">Gewasbeskermingsprogram!$C$111</definedName>
    <definedName name="_Ctrl_79" hidden="1">Gewasbeskermingsprogram!$D$111</definedName>
    <definedName name="_Ctrl_8" hidden="1">#REF!</definedName>
    <definedName name="_Ctrl_81" hidden="1">Gewasbeskermingsprogram!$G$24</definedName>
    <definedName name="_Ctrl_82" hidden="1">Plaasinligting!$J$58</definedName>
    <definedName name="_Ctrl_9" hidden="1">#REF!</definedName>
    <definedName name="_options1">_Options!$A$1:$A$2</definedName>
    <definedName name="_options10">_Options!$J$1:$J$3</definedName>
    <definedName name="_options11">_Options!$K$1:$K$3</definedName>
    <definedName name="_options12">_Options!$L$1:$L$4</definedName>
    <definedName name="_options13">_Options!$M$1:$M$4</definedName>
    <definedName name="_options14">_Options!$N$1:$N$3</definedName>
    <definedName name="_options15">_Options!$O$1:$O$3</definedName>
    <definedName name="_options16">_Options!$P$1:$P$5</definedName>
    <definedName name="_options17">_Options!$Q$1:$Q$5</definedName>
    <definedName name="_options18">_Options!$R$1:$R$4</definedName>
    <definedName name="_options19">_Options!$S$1:$S$4</definedName>
    <definedName name="_options2">_Options!$B$1:$B$4</definedName>
    <definedName name="_options20">_Options!$T$1:$T$4</definedName>
    <definedName name="_options21">_Options!$U$1:$U$4</definedName>
    <definedName name="_options22">_Options!$V$1:$V$3</definedName>
    <definedName name="_options23">_Options!$W$1:$W$3</definedName>
    <definedName name="_options24">_Options!$X$1:$X$3</definedName>
    <definedName name="_options25">_Options!$Y$1:$Y$3</definedName>
    <definedName name="_options26">_Options!$Z$1:$Z$3</definedName>
    <definedName name="_options27">_Options!$AA$1:$AA$3</definedName>
    <definedName name="_options28">_Options!$AB$1:$AB$3</definedName>
    <definedName name="_options29">_Options!$AC$1:$AC$3</definedName>
    <definedName name="_options3">_Options!$C$1:$C$4</definedName>
    <definedName name="_options30">_Options!$AD$1:$AD$3</definedName>
    <definedName name="_options31">_Options!$AE$1:$AE$3</definedName>
    <definedName name="_options32">_Options!$AF$1:$AF$3</definedName>
    <definedName name="_options33">_Options!$AG$1:$AG$3</definedName>
    <definedName name="_options34">_Options!$AH$1:$AH$10</definedName>
    <definedName name="_options35">_Options!$AI$1:$AI$10</definedName>
    <definedName name="_options36">_Options!$AJ$1:$AJ$10</definedName>
    <definedName name="_options37">_Options!$AK$1:$AK$10</definedName>
    <definedName name="_options38">_Options!$AL$1:$AL$10</definedName>
    <definedName name="_options39">_Options!$AM$1:$AM$10</definedName>
    <definedName name="_options4">_Options!$D$1:$D$3</definedName>
    <definedName name="_options40">_Options!$AN$1:$AN$5</definedName>
    <definedName name="_options41">_Options!$AO$1:$AO$5</definedName>
    <definedName name="_options42">_Options!$AP$1:$AP$19</definedName>
    <definedName name="_options43">_Options!$AQ$1:$AQ$19</definedName>
    <definedName name="_options44">_Options!$AR$1:$AR$19</definedName>
    <definedName name="_options45">_Options!$AS$1:$AS$19</definedName>
    <definedName name="_options46">_Options!$AT$1:$AT$22</definedName>
    <definedName name="_options47">_Options!$AU$1:$AU$22</definedName>
    <definedName name="_options5">_Options!$E$1:$E$3</definedName>
    <definedName name="_options6">_Options!$F$1:$F$3</definedName>
    <definedName name="_options7">_Options!$G$1:$G$3</definedName>
    <definedName name="_options8">_Options!$H$1:$H$3</definedName>
    <definedName name="_options9">_Options!$I$1:$I$3</definedName>
    <definedName name="_Ref329928232" localSheetId="2">Ooreenkoms!$B$40</definedName>
    <definedName name="_Ref329928832" localSheetId="2">Ooreenkoms!$B$54</definedName>
    <definedName name="_Ref329929022" localSheetId="2">Ooreenkoms!$B$49</definedName>
    <definedName name="_Ref329936667" localSheetId="2">Ooreenkoms!$B$31</definedName>
    <definedName name="_Ref330205585" localSheetId="2">Ooreenkoms!$B$51</definedName>
    <definedName name="_Ref330213221" localSheetId="2">Ooreenkoms!$B$50</definedName>
    <definedName name="_Ref350434246" localSheetId="2">Ooreenkoms!$B$38</definedName>
    <definedName name="_Toc310152736" localSheetId="2">Ooreenkoms!$B$60</definedName>
    <definedName name="_Toc331419471" localSheetId="2">Ooreenkoms!$B$12</definedName>
    <definedName name="_Toc331419473" localSheetId="2">Ooreenkoms!$B$29</definedName>
    <definedName name="_Toc331419475" localSheetId="2">Ooreenkoms!$B$37</definedName>
    <definedName name="_Toc331419478" localSheetId="2">Ooreenkoms!$B$58</definedName>
    <definedName name="contents" localSheetId="2">Ooreenkoms!$B$18</definedName>
    <definedName name="DPbm_coverpagetable" localSheetId="2">Ooreenkoms!$B$9</definedName>
    <definedName name="DPbm_domiciletable" localSheetId="2">Ooreenkoms!$B$62</definedName>
    <definedName name="DPbm_interpretationtable" localSheetId="2">Ooreenkoms!$B$14</definedName>
    <definedName name="DPbm_signatorytable" localSheetId="2">Ooreenkoms!$B$106</definedName>
    <definedName name="_xlnm.Print_Area" localSheetId="6">'AgriSafe calc (dont use)'!$A$1:$E$30</definedName>
    <definedName name="_xlnm.Print_Area" localSheetId="13">'Ander 1'!$A$1:$L$76</definedName>
    <definedName name="_xlnm.Print_Area" localSheetId="14">'Ander 2'!$A$1:$L$76</definedName>
    <definedName name="_xlnm.Print_Area" localSheetId="15">'Ander 3'!$A$1:$L$76</definedName>
    <definedName name="_xlnm.Print_Area" localSheetId="16">'Ander 4'!$A$1:$L$76</definedName>
    <definedName name="_xlnm.Print_Area" localSheetId="17">'Ander 5'!$A$1:$L$76</definedName>
    <definedName name="_xlnm.Print_Area" localSheetId="5">'Koring 1 (dont use)'!$A$1:$L$75</definedName>
    <definedName name="_xlnm.Print_Area" localSheetId="18">Opsomming!$A$1:$I$63</definedName>
    <definedName name="_xlnm.Print_Area" localSheetId="7">'Sojas 1'!$A$1:$L$76</definedName>
    <definedName name="_xlnm.Print_Area" localSheetId="8">'Sojas 2'!$A$1:$L$76</definedName>
    <definedName name="_xlnm.Print_Area" localSheetId="9">'Sojas 3'!$A$1:$L$76</definedName>
    <definedName name="_xlnm.Print_Area" localSheetId="10">'Sonneblom 1'!$A$1:$L$76</definedName>
    <definedName name="_xlnm.Print_Area" localSheetId="11">'Sonneblom 2'!$A$1:$L$76</definedName>
    <definedName name="_xlnm.Print_Area" localSheetId="12">'Sonneblom 3'!$A$1:$L$76</definedName>
    <definedName name="_xlnm.Print_Area" localSheetId="3">Verskansingsvoordeel!$A$1:$D$31</definedName>
    <definedName name="_xlnm.Print_Area" localSheetId="22">'Working sheet (dont use)'!$A$1:$L$75</definedName>
  </definedNames>
  <calcPr calcId="144525"/>
</workbook>
</file>

<file path=xl/calcChain.xml><?xml version="1.0" encoding="utf-8"?>
<calcChain xmlns="http://schemas.openxmlformats.org/spreadsheetml/2006/main">
  <c r="B69" i="43" l="1"/>
  <c r="E158" i="36" l="1"/>
  <c r="F158" i="36"/>
  <c r="G158" i="36"/>
  <c r="C158" i="36"/>
  <c r="D158" i="36"/>
  <c r="B158" i="36"/>
  <c r="G46" i="36"/>
  <c r="G74" i="36"/>
  <c r="F46" i="36"/>
  <c r="E46" i="36"/>
  <c r="D46" i="36"/>
  <c r="C46" i="36"/>
  <c r="B46" i="36"/>
  <c r="F74" i="36"/>
  <c r="E74" i="36"/>
  <c r="D74" i="36"/>
  <c r="C74" i="36"/>
  <c r="B74" i="36"/>
  <c r="G130" i="36"/>
  <c r="F130" i="36"/>
  <c r="E130" i="36"/>
  <c r="D130" i="36"/>
  <c r="C130" i="36"/>
  <c r="B130" i="36"/>
  <c r="G102" i="36"/>
  <c r="F102" i="36"/>
  <c r="E102" i="36"/>
  <c r="D102" i="36"/>
  <c r="C102" i="36"/>
  <c r="B102" i="36"/>
  <c r="C104" i="43" l="1"/>
  <c r="C41" i="42"/>
  <c r="D55" i="42" l="1"/>
  <c r="C11" i="43"/>
  <c r="C167" i="36" l="1"/>
  <c r="D167" i="36"/>
  <c r="E167" i="36"/>
  <c r="F167" i="36"/>
  <c r="G167" i="36"/>
  <c r="B167" i="36"/>
  <c r="G148" i="36" l="1"/>
  <c r="F148" i="36"/>
  <c r="E148" i="36"/>
  <c r="D148" i="36"/>
  <c r="C148" i="36"/>
  <c r="B148" i="36"/>
  <c r="G142" i="36"/>
  <c r="G144" i="36" s="1"/>
  <c r="F142" i="36"/>
  <c r="F147" i="36" s="1"/>
  <c r="E142" i="36"/>
  <c r="E147" i="36" s="1"/>
  <c r="D142" i="36"/>
  <c r="D147" i="36" s="1"/>
  <c r="C142" i="36"/>
  <c r="C144" i="36" s="1"/>
  <c r="B142" i="36"/>
  <c r="B144" i="36" s="1"/>
  <c r="D149" i="36" l="1"/>
  <c r="E149" i="36"/>
  <c r="F149" i="36"/>
  <c r="G147" i="36"/>
  <c r="G149" i="36" s="1"/>
  <c r="F144" i="36"/>
  <c r="E144" i="36"/>
  <c r="D144" i="36"/>
  <c r="B145" i="36" s="1"/>
  <c r="B147" i="36"/>
  <c r="B149" i="36" s="1"/>
  <c r="C147" i="36"/>
  <c r="C149" i="36" s="1"/>
  <c r="C102" i="43"/>
  <c r="F130" i="43" s="1"/>
  <c r="C24" i="43"/>
  <c r="B150" i="36" l="1"/>
  <c r="B114" i="36"/>
  <c r="G114" i="36"/>
  <c r="F114" i="36"/>
  <c r="E114" i="36"/>
  <c r="D114" i="36"/>
  <c r="F86" i="36"/>
  <c r="E86" i="36"/>
  <c r="D86" i="36"/>
  <c r="C86" i="36"/>
  <c r="B86" i="36"/>
  <c r="F58" i="36"/>
  <c r="E58" i="36"/>
  <c r="D58" i="36"/>
  <c r="C58" i="36"/>
  <c r="B58" i="36"/>
  <c r="E30" i="36"/>
  <c r="E64" i="36" l="1"/>
  <c r="E63" i="36"/>
  <c r="F64" i="36"/>
  <c r="F60" i="36"/>
  <c r="E36" i="36"/>
  <c r="E35" i="36"/>
  <c r="F36" i="36"/>
  <c r="F30" i="36"/>
  <c r="F35" i="36" s="1"/>
  <c r="E65" i="36" l="1"/>
  <c r="F37" i="36"/>
  <c r="E37" i="36"/>
  <c r="E60" i="36"/>
  <c r="F63" i="36"/>
  <c r="F65" i="36" s="1"/>
  <c r="E32" i="36"/>
  <c r="F32" i="36"/>
  <c r="A3" i="36" l="1"/>
  <c r="A4" i="36"/>
  <c r="A5" i="36"/>
  <c r="A6" i="36"/>
  <c r="A7" i="36"/>
  <c r="G24" i="36"/>
  <c r="B30" i="36"/>
  <c r="B35" i="36" s="1"/>
  <c r="C30" i="36"/>
  <c r="C32" i="36" s="1"/>
  <c r="D30" i="36"/>
  <c r="D32" i="36" s="1"/>
  <c r="G30" i="36"/>
  <c r="G35" i="36" s="1"/>
  <c r="B36" i="36"/>
  <c r="C36" i="36"/>
  <c r="D36" i="36"/>
  <c r="G36" i="36"/>
  <c r="E48" i="36"/>
  <c r="F47" i="36"/>
  <c r="G47" i="36"/>
  <c r="E51" i="36"/>
  <c r="B63" i="36"/>
  <c r="C63" i="36"/>
  <c r="D60" i="36"/>
  <c r="G58" i="36"/>
  <c r="G60" i="36" s="1"/>
  <c r="B64" i="36"/>
  <c r="C64" i="36"/>
  <c r="D64" i="36"/>
  <c r="G64" i="36"/>
  <c r="B69" i="36"/>
  <c r="C69" i="36"/>
  <c r="D69" i="36"/>
  <c r="E69" i="36"/>
  <c r="F69" i="36"/>
  <c r="G69" i="36"/>
  <c r="B72" i="36"/>
  <c r="C72" i="36"/>
  <c r="D72" i="36"/>
  <c r="E72" i="36"/>
  <c r="F72" i="36"/>
  <c r="G72" i="36"/>
  <c r="F75" i="36"/>
  <c r="G75" i="36"/>
  <c r="B88" i="36"/>
  <c r="C91" i="36"/>
  <c r="D91" i="36"/>
  <c r="E88" i="36"/>
  <c r="F91" i="36"/>
  <c r="F96" i="36" s="1"/>
  <c r="G86" i="36"/>
  <c r="G88" i="36" s="1"/>
  <c r="B92" i="36"/>
  <c r="C92" i="36"/>
  <c r="D92" i="36"/>
  <c r="E92" i="36"/>
  <c r="F92" i="36"/>
  <c r="G92" i="36"/>
  <c r="B97" i="36"/>
  <c r="C97" i="36"/>
  <c r="D97" i="36"/>
  <c r="E97" i="36"/>
  <c r="F97" i="36"/>
  <c r="G97" i="36"/>
  <c r="B100" i="36"/>
  <c r="C100" i="36"/>
  <c r="D100" i="36"/>
  <c r="E100" i="36"/>
  <c r="F100" i="36"/>
  <c r="G100" i="36"/>
  <c r="F103" i="36"/>
  <c r="G103" i="36"/>
  <c r="B116" i="36"/>
  <c r="C114" i="36"/>
  <c r="C119" i="36" s="1"/>
  <c r="C124" i="36" s="1"/>
  <c r="D119" i="36"/>
  <c r="D124" i="36" s="1"/>
  <c r="E116" i="36"/>
  <c r="F119" i="36"/>
  <c r="G119" i="36"/>
  <c r="B120" i="36"/>
  <c r="C120" i="36"/>
  <c r="D120" i="36"/>
  <c r="E120" i="36"/>
  <c r="F120" i="36"/>
  <c r="G120" i="36"/>
  <c r="B125" i="36"/>
  <c r="C125" i="36"/>
  <c r="D125" i="36"/>
  <c r="E125" i="36"/>
  <c r="F125" i="36"/>
  <c r="G125" i="36"/>
  <c r="B128" i="36"/>
  <c r="C128" i="36"/>
  <c r="D128" i="36"/>
  <c r="E128" i="36"/>
  <c r="F128" i="36"/>
  <c r="G128" i="36"/>
  <c r="E131" i="36"/>
  <c r="F131" i="36"/>
  <c r="G131" i="36"/>
  <c r="F152" i="36"/>
  <c r="F154" i="36" s="1"/>
  <c r="G152" i="36"/>
  <c r="G154" i="36" s="1"/>
  <c r="B153" i="36"/>
  <c r="C153" i="36"/>
  <c r="D153" i="36"/>
  <c r="E153" i="36"/>
  <c r="F153" i="36"/>
  <c r="F155" i="36" s="1"/>
  <c r="G153" i="36"/>
  <c r="G155" i="36" s="1"/>
  <c r="B156" i="36"/>
  <c r="C156" i="36"/>
  <c r="D156" i="36"/>
  <c r="E156" i="36"/>
  <c r="F156" i="36"/>
  <c r="G156" i="36"/>
  <c r="B159" i="36"/>
  <c r="D159" i="36"/>
  <c r="E159" i="36"/>
  <c r="F160" i="36"/>
  <c r="G159" i="36"/>
  <c r="D93" i="36" l="1"/>
  <c r="D99" i="36" s="1"/>
  <c r="D35" i="36"/>
  <c r="D37" i="36" s="1"/>
  <c r="D47" i="36" s="1"/>
  <c r="B119" i="36"/>
  <c r="B124" i="36" s="1"/>
  <c r="E91" i="36"/>
  <c r="E96" i="36" s="1"/>
  <c r="D88" i="36"/>
  <c r="G37" i="36"/>
  <c r="G48" i="36" s="1"/>
  <c r="B37" i="36"/>
  <c r="B47" i="36" s="1"/>
  <c r="E47" i="36"/>
  <c r="D152" i="36"/>
  <c r="E119" i="36"/>
  <c r="E124" i="36" s="1"/>
  <c r="F88" i="36"/>
  <c r="C35" i="36"/>
  <c r="C37" i="36" s="1"/>
  <c r="C47" i="36" s="1"/>
  <c r="F48" i="36"/>
  <c r="F159" i="36"/>
  <c r="G160" i="36"/>
  <c r="C152" i="36"/>
  <c r="D116" i="36"/>
  <c r="B152" i="36"/>
  <c r="G91" i="36"/>
  <c r="G96" i="36" s="1"/>
  <c r="F71" i="36"/>
  <c r="C116" i="36"/>
  <c r="G63" i="36"/>
  <c r="G68" i="36" s="1"/>
  <c r="C65" i="36"/>
  <c r="C76" i="36" s="1"/>
  <c r="C68" i="36"/>
  <c r="E68" i="36"/>
  <c r="E76" i="36"/>
  <c r="F121" i="36"/>
  <c r="F124" i="36"/>
  <c r="G121" i="36"/>
  <c r="G124" i="36"/>
  <c r="E155" i="36"/>
  <c r="E160" i="36"/>
  <c r="C96" i="36"/>
  <c r="C93" i="36"/>
  <c r="C103" i="36" s="1"/>
  <c r="B65" i="36"/>
  <c r="B76" i="36" s="1"/>
  <c r="B68" i="36"/>
  <c r="D96" i="36"/>
  <c r="D103" i="36"/>
  <c r="D121" i="36"/>
  <c r="D132" i="36" s="1"/>
  <c r="G116" i="36"/>
  <c r="F93" i="36"/>
  <c r="B91" i="36"/>
  <c r="E75" i="36"/>
  <c r="D63" i="36"/>
  <c r="C60" i="36"/>
  <c r="B48" i="36"/>
  <c r="C159" i="36"/>
  <c r="B32" i="36"/>
  <c r="E152" i="36"/>
  <c r="E154" i="36" s="1"/>
  <c r="C121" i="36"/>
  <c r="C132" i="36" s="1"/>
  <c r="F116" i="36"/>
  <c r="B60" i="36"/>
  <c r="G32" i="36"/>
  <c r="C88" i="36"/>
  <c r="D104" i="36" l="1"/>
  <c r="D48" i="36"/>
  <c r="B89" i="36"/>
  <c r="D98" i="36"/>
  <c r="B61" i="36"/>
  <c r="C48" i="36"/>
  <c r="G51" i="36" s="1"/>
  <c r="C104" i="36"/>
  <c r="B121" i="36"/>
  <c r="B117" i="36"/>
  <c r="E93" i="36"/>
  <c r="E104" i="36" s="1"/>
  <c r="F76" i="36"/>
  <c r="F68" i="36"/>
  <c r="F70" i="36" s="1"/>
  <c r="C160" i="36"/>
  <c r="E121" i="36"/>
  <c r="G162" i="36"/>
  <c r="B38" i="36"/>
  <c r="C3" i="36" s="1"/>
  <c r="G50" i="36"/>
  <c r="G93" i="36"/>
  <c r="G65" i="36"/>
  <c r="G76" i="36" s="1"/>
  <c r="D65" i="36"/>
  <c r="D75" i="36" s="1"/>
  <c r="D68" i="36"/>
  <c r="C70" i="36"/>
  <c r="C71" i="36"/>
  <c r="C126" i="36"/>
  <c r="C127" i="36"/>
  <c r="C131" i="36"/>
  <c r="B71" i="36"/>
  <c r="B70" i="36"/>
  <c r="B75" i="36"/>
  <c r="D160" i="36"/>
  <c r="F99" i="36"/>
  <c r="F104" i="36"/>
  <c r="F98" i="36"/>
  <c r="C75" i="36"/>
  <c r="G126" i="36"/>
  <c r="G127" i="36"/>
  <c r="G132" i="36"/>
  <c r="B96" i="36"/>
  <c r="B93" i="36"/>
  <c r="B104" i="36" s="1"/>
  <c r="C99" i="36"/>
  <c r="C98" i="36"/>
  <c r="E71" i="36"/>
  <c r="E70" i="36"/>
  <c r="D126" i="36"/>
  <c r="D127" i="36"/>
  <c r="D131" i="36"/>
  <c r="F127" i="36"/>
  <c r="F132" i="36"/>
  <c r="F126" i="36"/>
  <c r="B33" i="36"/>
  <c r="E98" i="36" l="1"/>
  <c r="E103" i="36"/>
  <c r="B131" i="36"/>
  <c r="G134" i="36" s="1"/>
  <c r="B132" i="36"/>
  <c r="B122" i="36"/>
  <c r="C6" i="36" s="1"/>
  <c r="B127" i="36"/>
  <c r="G71" i="36"/>
  <c r="B66" i="36"/>
  <c r="C4" i="36" s="1"/>
  <c r="D155" i="36"/>
  <c r="D154" i="36"/>
  <c r="E99" i="36"/>
  <c r="C155" i="36"/>
  <c r="B126" i="36"/>
  <c r="G70" i="36"/>
  <c r="C7" i="36"/>
  <c r="C154" i="36"/>
  <c r="E126" i="36"/>
  <c r="E132" i="36"/>
  <c r="E127" i="36"/>
  <c r="B154" i="36"/>
  <c r="B160" i="36"/>
  <c r="G163" i="36" s="1"/>
  <c r="B155" i="36"/>
  <c r="G99" i="36"/>
  <c r="G104" i="36"/>
  <c r="G107" i="36" s="1"/>
  <c r="G98" i="36"/>
  <c r="G78" i="36"/>
  <c r="B94" i="36"/>
  <c r="C5" i="36" s="1"/>
  <c r="B98" i="36"/>
  <c r="B99" i="36"/>
  <c r="B103" i="36"/>
  <c r="G106" i="36" s="1"/>
  <c r="C10" i="36"/>
  <c r="D70" i="36"/>
  <c r="D71" i="36"/>
  <c r="D76" i="36"/>
  <c r="G79" i="36" s="1"/>
  <c r="G135" i="36" l="1"/>
  <c r="B165" i="36"/>
  <c r="C9" i="36" s="1"/>
  <c r="C8" i="36"/>
  <c r="C42" i="43" l="1"/>
  <c r="C108" i="43"/>
  <c r="O32" i="35"/>
  <c r="R32" i="35"/>
  <c r="O33" i="35"/>
  <c r="R33" i="35"/>
  <c r="O34" i="35"/>
  <c r="R34" i="35"/>
  <c r="O35" i="35"/>
  <c r="R35" i="35"/>
  <c r="O36" i="35"/>
  <c r="R36" i="35"/>
  <c r="O37" i="35"/>
  <c r="R37" i="35"/>
  <c r="O38" i="35"/>
  <c r="R38" i="35"/>
  <c r="O39" i="35"/>
  <c r="R39" i="35"/>
  <c r="O43" i="35"/>
  <c r="R43" i="35"/>
  <c r="O44" i="35"/>
  <c r="R44" i="35"/>
  <c r="O45" i="35"/>
  <c r="R45" i="35"/>
  <c r="O48" i="35"/>
  <c r="R48" i="35"/>
  <c r="O49" i="35"/>
  <c r="R49" i="35"/>
  <c r="O50" i="35"/>
  <c r="R50" i="35"/>
  <c r="O54" i="35"/>
  <c r="R54" i="35"/>
  <c r="O55" i="35"/>
  <c r="R55" i="35"/>
  <c r="O56" i="35"/>
  <c r="R56" i="35"/>
  <c r="O61" i="35"/>
  <c r="R61" i="35"/>
  <c r="O62" i="35"/>
  <c r="R62" i="35"/>
  <c r="O63" i="35"/>
  <c r="R63" i="35"/>
  <c r="O67" i="35"/>
  <c r="R67" i="35"/>
  <c r="O68" i="35"/>
  <c r="R68" i="35"/>
  <c r="O69" i="35"/>
  <c r="R69" i="35"/>
  <c r="O70" i="35"/>
  <c r="R70" i="35"/>
  <c r="T70" i="35"/>
  <c r="J70" i="35"/>
  <c r="D70" i="35"/>
  <c r="F70" i="35" s="1"/>
  <c r="T69" i="35"/>
  <c r="U69" i="35" s="1"/>
  <c r="J69" i="35"/>
  <c r="D69" i="35"/>
  <c r="F69" i="35" s="1"/>
  <c r="T68" i="35"/>
  <c r="U68" i="35" s="1"/>
  <c r="J68" i="35"/>
  <c r="D68" i="35"/>
  <c r="T67" i="35"/>
  <c r="U67" i="35" s="1"/>
  <c r="J67" i="35"/>
  <c r="D67" i="35"/>
  <c r="F67" i="35" s="1"/>
  <c r="T63" i="35"/>
  <c r="J63" i="35"/>
  <c r="D63" i="35"/>
  <c r="I63" i="35" s="1"/>
  <c r="N63" i="35" s="1"/>
  <c r="T62" i="35"/>
  <c r="J62" i="35"/>
  <c r="D62" i="35"/>
  <c r="T61" i="35"/>
  <c r="U61" i="35" s="1"/>
  <c r="J61" i="35"/>
  <c r="D61" i="35"/>
  <c r="T60" i="35"/>
  <c r="U60" i="35" s="1"/>
  <c r="J60" i="35"/>
  <c r="D60" i="35"/>
  <c r="I60" i="35" s="1"/>
  <c r="T59" i="35"/>
  <c r="J59" i="35"/>
  <c r="D59" i="35"/>
  <c r="T58" i="35"/>
  <c r="U58" i="35" s="1"/>
  <c r="J58" i="35"/>
  <c r="D58" i="35"/>
  <c r="I58" i="35" s="1"/>
  <c r="T57" i="35"/>
  <c r="J57" i="35"/>
  <c r="D57" i="35"/>
  <c r="T56" i="35"/>
  <c r="J56" i="35"/>
  <c r="D56" i="35"/>
  <c r="I56" i="35" s="1"/>
  <c r="N56" i="35" s="1"/>
  <c r="T55" i="35"/>
  <c r="J55" i="35"/>
  <c r="D55" i="35"/>
  <c r="I55" i="35" s="1"/>
  <c r="T54" i="35"/>
  <c r="J54" i="35"/>
  <c r="D54" i="35"/>
  <c r="I54" i="35" s="1"/>
  <c r="N54" i="35" s="1"/>
  <c r="T50" i="35"/>
  <c r="U50" i="35" s="1"/>
  <c r="J50" i="35"/>
  <c r="D50" i="35"/>
  <c r="I50" i="35" s="1"/>
  <c r="T49" i="35"/>
  <c r="U49" i="35" s="1"/>
  <c r="J49" i="35"/>
  <c r="D49" i="35"/>
  <c r="F49" i="35" s="1"/>
  <c r="T48" i="35"/>
  <c r="J48" i="35"/>
  <c r="D48" i="35"/>
  <c r="F48" i="35" s="1"/>
  <c r="T47" i="35"/>
  <c r="J47" i="35"/>
  <c r="D47" i="35"/>
  <c r="I47" i="35" s="1"/>
  <c r="T46" i="35"/>
  <c r="U46" i="35" s="1"/>
  <c r="J46" i="35"/>
  <c r="D46" i="35"/>
  <c r="I46" i="35" s="1"/>
  <c r="K46" i="35" s="1"/>
  <c r="V46" i="35" s="1"/>
  <c r="T45" i="35"/>
  <c r="U45" i="35" s="1"/>
  <c r="J45" i="35"/>
  <c r="D45" i="35"/>
  <c r="F45" i="35" s="1"/>
  <c r="T44" i="35"/>
  <c r="J44" i="35"/>
  <c r="D44" i="35"/>
  <c r="I44" i="35" s="1"/>
  <c r="N44" i="35" s="1"/>
  <c r="T43" i="35"/>
  <c r="J43" i="35"/>
  <c r="D43" i="35"/>
  <c r="T39" i="35"/>
  <c r="J39" i="35"/>
  <c r="D39" i="35"/>
  <c r="F39" i="35" s="1"/>
  <c r="T38" i="35"/>
  <c r="J38" i="35"/>
  <c r="D38" i="35"/>
  <c r="F38" i="35" s="1"/>
  <c r="T37" i="35"/>
  <c r="U37" i="35" s="1"/>
  <c r="J37" i="35"/>
  <c r="D37" i="35"/>
  <c r="I37" i="35" s="1"/>
  <c r="N37" i="35" s="1"/>
  <c r="T36" i="35"/>
  <c r="U36" i="35" s="1"/>
  <c r="J36" i="35"/>
  <c r="D36" i="35"/>
  <c r="F36" i="35" s="1"/>
  <c r="T35" i="35"/>
  <c r="J35" i="35"/>
  <c r="D35" i="35"/>
  <c r="I35" i="35" s="1"/>
  <c r="T34" i="35"/>
  <c r="J34" i="35"/>
  <c r="D34" i="35"/>
  <c r="F34" i="35" s="1"/>
  <c r="T33" i="35"/>
  <c r="J33" i="35"/>
  <c r="D33" i="35"/>
  <c r="I33" i="35" s="1"/>
  <c r="N33" i="35" s="1"/>
  <c r="T32" i="35"/>
  <c r="J32" i="35"/>
  <c r="D32" i="35"/>
  <c r="F32" i="35" s="1"/>
  <c r="T28" i="35"/>
  <c r="J28" i="35"/>
  <c r="D28" i="35"/>
  <c r="I28" i="35" s="1"/>
  <c r="T27" i="35"/>
  <c r="U27" i="35" s="1"/>
  <c r="J27" i="35"/>
  <c r="D27" i="35"/>
  <c r="F27" i="35" s="1"/>
  <c r="T26" i="35"/>
  <c r="J26" i="35"/>
  <c r="D26" i="35"/>
  <c r="F26" i="35" s="1"/>
  <c r="T25" i="35"/>
  <c r="J25" i="35"/>
  <c r="D25" i="35"/>
  <c r="I25" i="35" s="1"/>
  <c r="T24" i="35"/>
  <c r="J24" i="35"/>
  <c r="D24" i="35"/>
  <c r="T23" i="35"/>
  <c r="V23" i="35" s="1"/>
  <c r="J23" i="35"/>
  <c r="D23" i="35"/>
  <c r="F23" i="35" s="1"/>
  <c r="J13" i="35"/>
  <c r="J12" i="35"/>
  <c r="J11" i="35"/>
  <c r="J10" i="35"/>
  <c r="J9" i="35"/>
  <c r="I39" i="35" l="1"/>
  <c r="K39" i="35" s="1"/>
  <c r="Q39" i="35" s="1"/>
  <c r="K60" i="35"/>
  <c r="V60" i="35" s="1"/>
  <c r="I67" i="35"/>
  <c r="N67" i="35" s="1"/>
  <c r="K35" i="35"/>
  <c r="Q35" i="35" s="1"/>
  <c r="K44" i="35"/>
  <c r="P44" i="35" s="1"/>
  <c r="F47" i="35"/>
  <c r="F35" i="35"/>
  <c r="K25" i="35"/>
  <c r="V25" i="35" s="1"/>
  <c r="F44" i="35"/>
  <c r="K50" i="35"/>
  <c r="Q50" i="35" s="1"/>
  <c r="I70" i="35"/>
  <c r="K70" i="35" s="1"/>
  <c r="V70" i="35" s="1"/>
  <c r="F25" i="35"/>
  <c r="I36" i="35"/>
  <c r="N36" i="35" s="1"/>
  <c r="K37" i="35"/>
  <c r="N50" i="35"/>
  <c r="P50" i="35" s="1"/>
  <c r="K33" i="35"/>
  <c r="V33" i="35" s="1"/>
  <c r="I48" i="35"/>
  <c r="K55" i="35"/>
  <c r="U55" i="35" s="1"/>
  <c r="F60" i="35"/>
  <c r="I69" i="35"/>
  <c r="N69" i="35" s="1"/>
  <c r="N55" i="35"/>
  <c r="N39" i="35"/>
  <c r="P39" i="35" s="1"/>
  <c r="N35" i="35"/>
  <c r="I23" i="35"/>
  <c r="K23" i="35" s="1"/>
  <c r="I45" i="35"/>
  <c r="N45" i="35" s="1"/>
  <c r="F55" i="35"/>
  <c r="K58" i="35"/>
  <c r="I26" i="35"/>
  <c r="K26" i="35" s="1"/>
  <c r="V26" i="35" s="1"/>
  <c r="I27" i="35"/>
  <c r="K27" i="35" s="1"/>
  <c r="V27" i="35" s="1"/>
  <c r="K28" i="35"/>
  <c r="I32" i="35"/>
  <c r="F46" i="35"/>
  <c r="F63" i="35"/>
  <c r="I49" i="35"/>
  <c r="N49" i="35" s="1"/>
  <c r="F43" i="35"/>
  <c r="I43" i="35"/>
  <c r="N43" i="35" s="1"/>
  <c r="I57" i="35"/>
  <c r="K57" i="35" s="1"/>
  <c r="V57" i="35" s="1"/>
  <c r="F57" i="35"/>
  <c r="F62" i="35"/>
  <c r="I62" i="35"/>
  <c r="N62" i="35" s="1"/>
  <c r="U62" i="35"/>
  <c r="V35" i="35"/>
  <c r="U35" i="35"/>
  <c r="V54" i="35"/>
  <c r="I61" i="35"/>
  <c r="N61" i="35" s="1"/>
  <c r="F61" i="35"/>
  <c r="I24" i="35"/>
  <c r="K24" i="35" s="1"/>
  <c r="V24" i="35" s="1"/>
  <c r="F24" i="35"/>
  <c r="U25" i="35"/>
  <c r="U33" i="35"/>
  <c r="K56" i="35"/>
  <c r="U57" i="35"/>
  <c r="I59" i="35"/>
  <c r="K59" i="35" s="1"/>
  <c r="V59" i="35" s="1"/>
  <c r="F59" i="35"/>
  <c r="U59" i="35"/>
  <c r="U26" i="35"/>
  <c r="V39" i="35"/>
  <c r="U39" i="35"/>
  <c r="U48" i="35"/>
  <c r="V50" i="35"/>
  <c r="K63" i="35"/>
  <c r="U70" i="35"/>
  <c r="U71" i="35" s="1"/>
  <c r="U63" i="35"/>
  <c r="F28" i="35"/>
  <c r="F33" i="35"/>
  <c r="I34" i="35"/>
  <c r="N34" i="35" s="1"/>
  <c r="U34" i="35"/>
  <c r="F37" i="35"/>
  <c r="I38" i="35"/>
  <c r="N38" i="35" s="1"/>
  <c r="U38" i="35"/>
  <c r="U47" i="35"/>
  <c r="F50" i="35"/>
  <c r="K54" i="35"/>
  <c r="F56" i="35"/>
  <c r="U56" i="35"/>
  <c r="V28" i="35"/>
  <c r="U24" i="35"/>
  <c r="U28" i="35"/>
  <c r="K47" i="35"/>
  <c r="V47" i="35" s="1"/>
  <c r="F54" i="35"/>
  <c r="V56" i="35"/>
  <c r="F58" i="35"/>
  <c r="V58" i="35"/>
  <c r="I68" i="35"/>
  <c r="N68" i="35" s="1"/>
  <c r="F68" i="35"/>
  <c r="G67" i="35" s="1"/>
  <c r="D24" i="1"/>
  <c r="F24" i="1" s="1"/>
  <c r="D25" i="1"/>
  <c r="F25" i="1" s="1"/>
  <c r="D26" i="1"/>
  <c r="F26" i="1" s="1"/>
  <c r="D27" i="1"/>
  <c r="F27" i="1" s="1"/>
  <c r="D28" i="1"/>
  <c r="F28" i="1" s="1"/>
  <c r="D23" i="1"/>
  <c r="F23" i="1" s="1"/>
  <c r="T68" i="1"/>
  <c r="T69" i="1"/>
  <c r="T70" i="1"/>
  <c r="T67" i="1"/>
  <c r="T55" i="1"/>
  <c r="T56" i="1"/>
  <c r="T57" i="1"/>
  <c r="T58" i="1"/>
  <c r="T59" i="1"/>
  <c r="T60" i="1"/>
  <c r="T61" i="1"/>
  <c r="T62" i="1"/>
  <c r="T63" i="1"/>
  <c r="T54" i="1"/>
  <c r="T44" i="1"/>
  <c r="T45" i="1"/>
  <c r="T46" i="1"/>
  <c r="T47" i="1"/>
  <c r="T48" i="1"/>
  <c r="T49" i="1"/>
  <c r="T50" i="1"/>
  <c r="T43" i="1"/>
  <c r="T33" i="1"/>
  <c r="T34" i="1"/>
  <c r="T35" i="1"/>
  <c r="T36" i="1"/>
  <c r="T37" i="1"/>
  <c r="T38" i="1"/>
  <c r="T39" i="1"/>
  <c r="T32" i="1"/>
  <c r="T24" i="1"/>
  <c r="T25" i="1"/>
  <c r="T26" i="1"/>
  <c r="T27" i="1"/>
  <c r="T28" i="1"/>
  <c r="T23" i="1"/>
  <c r="N70" i="35" l="1"/>
  <c r="P70" i="35" s="1"/>
  <c r="V44" i="35"/>
  <c r="V55" i="35"/>
  <c r="K67" i="35"/>
  <c r="V67" i="35" s="1"/>
  <c r="Q70" i="35"/>
  <c r="K45" i="35"/>
  <c r="U44" i="35"/>
  <c r="P35" i="35"/>
  <c r="Q44" i="35"/>
  <c r="K49" i="35"/>
  <c r="P49" i="35" s="1"/>
  <c r="Q49" i="35"/>
  <c r="Q67" i="35"/>
  <c r="P37" i="35"/>
  <c r="Q37" i="35"/>
  <c r="Q56" i="35"/>
  <c r="P56" i="35"/>
  <c r="V37" i="35"/>
  <c r="K32" i="35"/>
  <c r="V32" i="35" s="1"/>
  <c r="N32" i="35"/>
  <c r="K48" i="35"/>
  <c r="N48" i="35"/>
  <c r="K36" i="35"/>
  <c r="P45" i="35"/>
  <c r="Q45" i="35"/>
  <c r="Q55" i="35"/>
  <c r="P55" i="35"/>
  <c r="P33" i="35"/>
  <c r="Q33" i="35"/>
  <c r="V63" i="35"/>
  <c r="P63" i="35"/>
  <c r="Q63" i="35"/>
  <c r="K69" i="35"/>
  <c r="U54" i="35"/>
  <c r="U64" i="35" s="1"/>
  <c r="Q54" i="35"/>
  <c r="P54" i="35"/>
  <c r="G32" i="35"/>
  <c r="G54" i="35"/>
  <c r="G23" i="35"/>
  <c r="V45" i="35"/>
  <c r="V29" i="35"/>
  <c r="V49" i="35"/>
  <c r="K61" i="35"/>
  <c r="K62" i="35"/>
  <c r="K43" i="35"/>
  <c r="V43" i="35" s="1"/>
  <c r="K38" i="35"/>
  <c r="V36" i="35"/>
  <c r="L23" i="35"/>
  <c r="L9" i="35" s="1"/>
  <c r="U23" i="35"/>
  <c r="U29" i="35" s="1"/>
  <c r="K68" i="35"/>
  <c r="K34" i="35"/>
  <c r="G43" i="35"/>
  <c r="P67" i="35" l="1"/>
  <c r="L16" i="35"/>
  <c r="Q62" i="35"/>
  <c r="P62" i="35"/>
  <c r="V69" i="35"/>
  <c r="P69" i="35"/>
  <c r="Q69" i="35"/>
  <c r="Q48" i="35"/>
  <c r="P48" i="35"/>
  <c r="V48" i="35"/>
  <c r="V51" i="35" s="1"/>
  <c r="P34" i="35"/>
  <c r="Q34" i="35"/>
  <c r="P61" i="35"/>
  <c r="Q61" i="35"/>
  <c r="P68" i="35"/>
  <c r="Q68" i="35"/>
  <c r="L32" i="35"/>
  <c r="L10" i="35" s="1"/>
  <c r="P38" i="35"/>
  <c r="Q38" i="35"/>
  <c r="Q36" i="35"/>
  <c r="P36" i="35"/>
  <c r="U32" i="35"/>
  <c r="U40" i="35" s="1"/>
  <c r="Q32" i="35"/>
  <c r="P32" i="35"/>
  <c r="Q43" i="35"/>
  <c r="P43" i="35"/>
  <c r="V61" i="35"/>
  <c r="V62" i="35"/>
  <c r="L67" i="35"/>
  <c r="L13" i="35" s="1"/>
  <c r="V68" i="35"/>
  <c r="V34" i="35"/>
  <c r="L43" i="35"/>
  <c r="L11" i="35" s="1"/>
  <c r="U43" i="35"/>
  <c r="U51" i="35" s="1"/>
  <c r="V38" i="35"/>
  <c r="L54" i="35"/>
  <c r="L12" i="35" s="1"/>
  <c r="D68" i="1"/>
  <c r="F68" i="1" s="1"/>
  <c r="D69" i="1"/>
  <c r="F69" i="1" s="1"/>
  <c r="D70" i="1"/>
  <c r="F70" i="1" s="1"/>
  <c r="D67" i="1"/>
  <c r="F67" i="1" s="1"/>
  <c r="D55" i="1"/>
  <c r="F55" i="1" s="1"/>
  <c r="D56" i="1"/>
  <c r="F56" i="1" s="1"/>
  <c r="D57" i="1"/>
  <c r="F57" i="1" s="1"/>
  <c r="D58" i="1"/>
  <c r="F58" i="1" s="1"/>
  <c r="D59" i="1"/>
  <c r="F59" i="1" s="1"/>
  <c r="D60" i="1"/>
  <c r="F60" i="1" s="1"/>
  <c r="D61" i="1"/>
  <c r="F61" i="1" s="1"/>
  <c r="D62" i="1"/>
  <c r="F62" i="1" s="1"/>
  <c r="D63" i="1"/>
  <c r="F63" i="1" s="1"/>
  <c r="D54" i="1"/>
  <c r="D45" i="1"/>
  <c r="F45" i="1" s="1"/>
  <c r="D46" i="1"/>
  <c r="F46" i="1" s="1"/>
  <c r="D47" i="1"/>
  <c r="F47" i="1" s="1"/>
  <c r="D48" i="1"/>
  <c r="F48" i="1" s="1"/>
  <c r="D49" i="1"/>
  <c r="F49" i="1" s="1"/>
  <c r="D50" i="1"/>
  <c r="F50" i="1" s="1"/>
  <c r="D43" i="1"/>
  <c r="F43" i="1" s="1"/>
  <c r="D33" i="1"/>
  <c r="F33" i="1" s="1"/>
  <c r="D34" i="1"/>
  <c r="F34" i="1" s="1"/>
  <c r="D35" i="1"/>
  <c r="F35" i="1" s="1"/>
  <c r="D36" i="1"/>
  <c r="F36" i="1" s="1"/>
  <c r="D37" i="1"/>
  <c r="F37" i="1" s="1"/>
  <c r="D38" i="1"/>
  <c r="F38" i="1" s="1"/>
  <c r="D39" i="1"/>
  <c r="F39" i="1" s="1"/>
  <c r="D32" i="1"/>
  <c r="F32" i="1" s="1"/>
  <c r="U74" i="35" l="1"/>
  <c r="L15" i="35" s="1"/>
  <c r="I54" i="1"/>
  <c r="F54" i="1"/>
  <c r="V71" i="35"/>
  <c r="L14" i="35"/>
  <c r="N16" i="35" s="1"/>
  <c r="V40" i="35"/>
  <c r="V64" i="35"/>
  <c r="J24" i="1"/>
  <c r="V74" i="35" l="1"/>
  <c r="U75" i="35"/>
  <c r="I24" i="1"/>
  <c r="K24" i="1" s="1"/>
  <c r="U24" i="1" l="1"/>
  <c r="V24" i="1"/>
  <c r="E27" i="9"/>
  <c r="J24" i="23" l="1"/>
  <c r="J24" i="24"/>
  <c r="J24" i="25"/>
  <c r="J24" i="26"/>
  <c r="J24" i="27"/>
  <c r="J24" i="28"/>
  <c r="J24" i="29"/>
  <c r="J24" i="30"/>
  <c r="J24" i="31"/>
  <c r="J24" i="32"/>
  <c r="J24" i="14"/>
  <c r="D24" i="23"/>
  <c r="I24" i="23" s="1"/>
  <c r="K24" i="23" s="1"/>
  <c r="D24" i="24"/>
  <c r="I24" i="24" s="1"/>
  <c r="K24" i="24" s="1"/>
  <c r="D24" i="25"/>
  <c r="I24" i="25" s="1"/>
  <c r="D24" i="26"/>
  <c r="I24" i="26" s="1"/>
  <c r="D24" i="27"/>
  <c r="I24" i="27" s="1"/>
  <c r="K24" i="27" s="1"/>
  <c r="D24" i="28"/>
  <c r="I24" i="28" s="1"/>
  <c r="K24" i="28" s="1"/>
  <c r="D24" i="29"/>
  <c r="I24" i="29" s="1"/>
  <c r="K24" i="29" s="1"/>
  <c r="D24" i="30"/>
  <c r="I24" i="30" s="1"/>
  <c r="D24" i="31"/>
  <c r="I24" i="31" s="1"/>
  <c r="K24" i="31" s="1"/>
  <c r="D24" i="32"/>
  <c r="I24" i="32" s="1"/>
  <c r="K24" i="32" s="1"/>
  <c r="D24" i="14"/>
  <c r="I24" i="14" s="1"/>
  <c r="K24" i="14" s="1"/>
  <c r="K24" i="25" l="1"/>
  <c r="K24" i="30"/>
  <c r="K24" i="26"/>
  <c r="AA51" i="9"/>
  <c r="AA52" i="9"/>
  <c r="AA53" i="9"/>
  <c r="AA54" i="9"/>
  <c r="AA50" i="9"/>
  <c r="AA27" i="9"/>
  <c r="AA26" i="9"/>
  <c r="AA25" i="9"/>
  <c r="AA24" i="9"/>
  <c r="A44" i="9" l="1"/>
  <c r="A43" i="9"/>
  <c r="A42" i="9"/>
  <c r="A41" i="9"/>
  <c r="A40" i="9"/>
  <c r="A37" i="9"/>
  <c r="A36" i="9"/>
  <c r="A35" i="9"/>
  <c r="A32" i="9"/>
  <c r="A31" i="9"/>
  <c r="A30" i="9"/>
  <c r="A27" i="9"/>
  <c r="A26" i="9"/>
  <c r="A25" i="9"/>
  <c r="B25" i="9"/>
  <c r="T71" i="32"/>
  <c r="R71" i="32"/>
  <c r="J71" i="32"/>
  <c r="F71" i="32"/>
  <c r="U70" i="32"/>
  <c r="T70" i="32"/>
  <c r="R70" i="32"/>
  <c r="J70" i="32"/>
  <c r="F70" i="32"/>
  <c r="T69" i="32"/>
  <c r="U69" i="32" s="1"/>
  <c r="R69" i="32"/>
  <c r="J69" i="32"/>
  <c r="F69" i="32"/>
  <c r="T68" i="32"/>
  <c r="R68" i="32"/>
  <c r="J68" i="32"/>
  <c r="F68" i="32"/>
  <c r="T64" i="32"/>
  <c r="R64" i="32"/>
  <c r="J64" i="32"/>
  <c r="F64" i="32"/>
  <c r="U63" i="32"/>
  <c r="T63" i="32"/>
  <c r="R63" i="32"/>
  <c r="J63" i="32"/>
  <c r="F63" i="32"/>
  <c r="T62" i="32"/>
  <c r="U62" i="32" s="1"/>
  <c r="R62" i="32"/>
  <c r="J62" i="32"/>
  <c r="F62" i="32"/>
  <c r="T61" i="32"/>
  <c r="U61" i="32" s="1"/>
  <c r="J61" i="32"/>
  <c r="F61" i="32"/>
  <c r="D61" i="32"/>
  <c r="I61" i="32" s="1"/>
  <c r="T60" i="32"/>
  <c r="U60" i="32" s="1"/>
  <c r="J60" i="32"/>
  <c r="F60" i="32"/>
  <c r="D60" i="32"/>
  <c r="I60" i="32" s="1"/>
  <c r="T59" i="32"/>
  <c r="J59" i="32"/>
  <c r="F59" i="32"/>
  <c r="T58" i="32"/>
  <c r="J58" i="32"/>
  <c r="F58" i="32"/>
  <c r="T57" i="32"/>
  <c r="R57" i="32"/>
  <c r="J57" i="32"/>
  <c r="F57" i="32"/>
  <c r="T56" i="32"/>
  <c r="J56" i="32"/>
  <c r="C56" i="32"/>
  <c r="R56" i="32" s="1"/>
  <c r="T55" i="32"/>
  <c r="R55" i="32"/>
  <c r="J55" i="32"/>
  <c r="F55" i="32"/>
  <c r="T51" i="32"/>
  <c r="R51" i="32"/>
  <c r="J51" i="32"/>
  <c r="F51" i="32"/>
  <c r="T50" i="32"/>
  <c r="U50" i="32" s="1"/>
  <c r="R50" i="32"/>
  <c r="J50" i="32"/>
  <c r="F50" i="32"/>
  <c r="T49" i="32"/>
  <c r="U49" i="32" s="1"/>
  <c r="R49" i="32"/>
  <c r="J49" i="32"/>
  <c r="F49" i="32"/>
  <c r="T48" i="32"/>
  <c r="U48" i="32" s="1"/>
  <c r="J48" i="32"/>
  <c r="F48" i="32"/>
  <c r="T47" i="32"/>
  <c r="U47" i="32" s="1"/>
  <c r="J47" i="32"/>
  <c r="F47" i="32"/>
  <c r="T46" i="32"/>
  <c r="U46" i="32" s="1"/>
  <c r="R46" i="32"/>
  <c r="J46" i="32"/>
  <c r="F46" i="32"/>
  <c r="T45" i="32"/>
  <c r="J45" i="32"/>
  <c r="C45" i="32"/>
  <c r="R45" i="32" s="1"/>
  <c r="T44" i="32"/>
  <c r="R44" i="32"/>
  <c r="J44" i="32"/>
  <c r="F44" i="32"/>
  <c r="T40" i="32"/>
  <c r="U40" i="32" s="1"/>
  <c r="R40" i="32"/>
  <c r="J40" i="32"/>
  <c r="F40" i="32"/>
  <c r="T39" i="32"/>
  <c r="R39" i="32"/>
  <c r="J39" i="32"/>
  <c r="F39" i="32"/>
  <c r="T38" i="32"/>
  <c r="U38" i="32" s="1"/>
  <c r="R38" i="32"/>
  <c r="J38" i="32"/>
  <c r="F38" i="32"/>
  <c r="T37" i="32"/>
  <c r="U37" i="32" s="1"/>
  <c r="R37" i="32"/>
  <c r="J37" i="32"/>
  <c r="F37" i="32"/>
  <c r="D37" i="32"/>
  <c r="I37" i="32" s="1"/>
  <c r="T36" i="32"/>
  <c r="U36" i="32" s="1"/>
  <c r="R36" i="32"/>
  <c r="J36" i="32"/>
  <c r="F36" i="32"/>
  <c r="D36" i="32"/>
  <c r="I36" i="32" s="1"/>
  <c r="N36" i="32" s="1"/>
  <c r="T35" i="32"/>
  <c r="R35" i="32"/>
  <c r="J35" i="32"/>
  <c r="F35" i="32"/>
  <c r="T34" i="32"/>
  <c r="U34" i="32" s="1"/>
  <c r="R34" i="32"/>
  <c r="J34" i="32"/>
  <c r="F34" i="32"/>
  <c r="T33" i="32"/>
  <c r="U33" i="32" s="1"/>
  <c r="R33" i="32"/>
  <c r="J33" i="32"/>
  <c r="F33" i="32"/>
  <c r="T29" i="32"/>
  <c r="U29" i="32" s="1"/>
  <c r="J29" i="32"/>
  <c r="D29" i="32"/>
  <c r="I29" i="32" s="1"/>
  <c r="T28" i="32"/>
  <c r="U28" i="32" s="1"/>
  <c r="J28" i="32"/>
  <c r="D28" i="32"/>
  <c r="I28" i="32" s="1"/>
  <c r="T27" i="32"/>
  <c r="U27" i="32" s="1"/>
  <c r="J27" i="32"/>
  <c r="D27" i="32"/>
  <c r="I27" i="32" s="1"/>
  <c r="T26" i="32"/>
  <c r="U26" i="32" s="1"/>
  <c r="J26" i="32"/>
  <c r="D26" i="32"/>
  <c r="I26" i="32" s="1"/>
  <c r="K26" i="32" s="1"/>
  <c r="T25" i="32"/>
  <c r="J25" i="32"/>
  <c r="D25" i="32"/>
  <c r="I25" i="32" s="1"/>
  <c r="T24" i="32"/>
  <c r="U24" i="32" s="1"/>
  <c r="I21" i="32"/>
  <c r="F24" i="32" s="1"/>
  <c r="O70" i="32"/>
  <c r="G18" i="32"/>
  <c r="B18" i="32"/>
  <c r="G16" i="32"/>
  <c r="B16" i="32"/>
  <c r="G15" i="32"/>
  <c r="B15" i="32"/>
  <c r="G14" i="32"/>
  <c r="B14" i="32"/>
  <c r="J13" i="32"/>
  <c r="G13" i="32"/>
  <c r="B13" i="32"/>
  <c r="J12" i="32"/>
  <c r="G12" i="32"/>
  <c r="B12" i="32"/>
  <c r="J11" i="32"/>
  <c r="G11" i="32"/>
  <c r="B11" i="32"/>
  <c r="J10" i="32"/>
  <c r="G10" i="32"/>
  <c r="B10" i="32"/>
  <c r="J9" i="32"/>
  <c r="G9" i="32"/>
  <c r="B9" i="32"/>
  <c r="T71" i="31"/>
  <c r="U71" i="31" s="1"/>
  <c r="R71" i="31"/>
  <c r="J71" i="31"/>
  <c r="F71" i="31"/>
  <c r="T70" i="31"/>
  <c r="U70" i="31" s="1"/>
  <c r="R70" i="31"/>
  <c r="J70" i="31"/>
  <c r="F70" i="31"/>
  <c r="T69" i="31"/>
  <c r="U69" i="31" s="1"/>
  <c r="R69" i="31"/>
  <c r="J69" i="31"/>
  <c r="F69" i="31"/>
  <c r="T68" i="31"/>
  <c r="R68" i="31"/>
  <c r="J68" i="31"/>
  <c r="F68" i="31"/>
  <c r="T64" i="31"/>
  <c r="U64" i="31" s="1"/>
  <c r="R64" i="31"/>
  <c r="J64" i="31"/>
  <c r="F64" i="31"/>
  <c r="T63" i="31"/>
  <c r="U63" i="31" s="1"/>
  <c r="R63" i="31"/>
  <c r="J63" i="31"/>
  <c r="F63" i="31"/>
  <c r="T62" i="31"/>
  <c r="R62" i="31"/>
  <c r="J62" i="31"/>
  <c r="F62" i="31"/>
  <c r="T61" i="31"/>
  <c r="U61" i="31" s="1"/>
  <c r="J61" i="31"/>
  <c r="F61" i="31"/>
  <c r="D61" i="31"/>
  <c r="I61" i="31" s="1"/>
  <c r="U60" i="31"/>
  <c r="T60" i="31"/>
  <c r="J60" i="31"/>
  <c r="F60" i="31"/>
  <c r="D60" i="31"/>
  <c r="I60" i="31" s="1"/>
  <c r="T59" i="31"/>
  <c r="U59" i="31" s="1"/>
  <c r="J59" i="31"/>
  <c r="F59" i="31"/>
  <c r="T58" i="31"/>
  <c r="U58" i="31" s="1"/>
  <c r="J58" i="31"/>
  <c r="F58" i="31"/>
  <c r="T57" i="31"/>
  <c r="U57" i="31" s="1"/>
  <c r="R57" i="31"/>
  <c r="J57" i="31"/>
  <c r="F57" i="31"/>
  <c r="T56" i="31"/>
  <c r="J56" i="31"/>
  <c r="C56" i="31"/>
  <c r="R56" i="31" s="1"/>
  <c r="T55" i="31"/>
  <c r="R55" i="31"/>
  <c r="J55" i="31"/>
  <c r="F55" i="31"/>
  <c r="T51" i="31"/>
  <c r="U51" i="31" s="1"/>
  <c r="R51" i="31"/>
  <c r="J51" i="31"/>
  <c r="F51" i="31"/>
  <c r="T50" i="31"/>
  <c r="U50" i="31" s="1"/>
  <c r="R50" i="31"/>
  <c r="J50" i="31"/>
  <c r="F50" i="31"/>
  <c r="T49" i="31"/>
  <c r="U49" i="31" s="1"/>
  <c r="R49" i="31"/>
  <c r="J49" i="31"/>
  <c r="F49" i="31"/>
  <c r="T48" i="31"/>
  <c r="J48" i="31"/>
  <c r="F48" i="31"/>
  <c r="T47" i="31"/>
  <c r="J47" i="31"/>
  <c r="F47" i="31"/>
  <c r="T46" i="31"/>
  <c r="R46" i="31"/>
  <c r="J46" i="31"/>
  <c r="F46" i="31"/>
  <c r="T45" i="31"/>
  <c r="U45" i="31" s="1"/>
  <c r="J45" i="31"/>
  <c r="C45" i="31"/>
  <c r="T44" i="31"/>
  <c r="R44" i="31"/>
  <c r="J44" i="31"/>
  <c r="F44" i="31"/>
  <c r="T40" i="31"/>
  <c r="R40" i="31"/>
  <c r="J40" i="31"/>
  <c r="F40" i="31"/>
  <c r="T39" i="31"/>
  <c r="U39" i="31" s="1"/>
  <c r="R39" i="31"/>
  <c r="J39" i="31"/>
  <c r="F39" i="31"/>
  <c r="T38" i="31"/>
  <c r="U38" i="31" s="1"/>
  <c r="R38" i="31"/>
  <c r="J38" i="31"/>
  <c r="F38" i="31"/>
  <c r="T37" i="31"/>
  <c r="U37" i="31" s="1"/>
  <c r="R37" i="31"/>
  <c r="J37" i="31"/>
  <c r="F37" i="31"/>
  <c r="G33" i="31" s="1"/>
  <c r="D37" i="31"/>
  <c r="I37" i="31" s="1"/>
  <c r="K37" i="31" s="1"/>
  <c r="T36" i="31"/>
  <c r="R36" i="31"/>
  <c r="J36" i="31"/>
  <c r="I36" i="31"/>
  <c r="F36" i="31"/>
  <c r="D36" i="31"/>
  <c r="T35" i="31"/>
  <c r="U35" i="31" s="1"/>
  <c r="R35" i="31"/>
  <c r="J35" i="31"/>
  <c r="F35" i="31"/>
  <c r="T34" i="31"/>
  <c r="U34" i="31" s="1"/>
  <c r="R34" i="31"/>
  <c r="J34" i="31"/>
  <c r="F34" i="31"/>
  <c r="T33" i="31"/>
  <c r="U33" i="31" s="1"/>
  <c r="R33" i="31"/>
  <c r="J33" i="31"/>
  <c r="F33" i="31"/>
  <c r="T29" i="31"/>
  <c r="J29" i="31"/>
  <c r="D29" i="31"/>
  <c r="I29" i="31" s="1"/>
  <c r="T28" i="31"/>
  <c r="J28" i="31"/>
  <c r="D28" i="31"/>
  <c r="I28" i="31" s="1"/>
  <c r="K28" i="31" s="1"/>
  <c r="T27" i="31"/>
  <c r="J27" i="31"/>
  <c r="D27" i="31"/>
  <c r="I27" i="31" s="1"/>
  <c r="K27" i="31" s="1"/>
  <c r="T26" i="31"/>
  <c r="J26" i="31"/>
  <c r="D26" i="31"/>
  <c r="I26" i="31" s="1"/>
  <c r="T25" i="31"/>
  <c r="J25" i="31"/>
  <c r="D25" i="31"/>
  <c r="I25" i="31" s="1"/>
  <c r="T24" i="31"/>
  <c r="I21" i="31"/>
  <c r="F24" i="31" s="1"/>
  <c r="B43" i="9"/>
  <c r="G18" i="31"/>
  <c r="B18" i="31"/>
  <c r="G16" i="31"/>
  <c r="B16" i="31"/>
  <c r="G15" i="31"/>
  <c r="B15" i="31"/>
  <c r="G14" i="31"/>
  <c r="B14" i="31"/>
  <c r="J13" i="31"/>
  <c r="G13" i="31"/>
  <c r="B13" i="31"/>
  <c r="J12" i="31"/>
  <c r="G12" i="31"/>
  <c r="B12" i="31"/>
  <c r="J11" i="31"/>
  <c r="G11" i="31"/>
  <c r="B11" i="31"/>
  <c r="J10" i="31"/>
  <c r="G10" i="31"/>
  <c r="B10" i="31"/>
  <c r="J9" i="31"/>
  <c r="G9" i="31"/>
  <c r="B9" i="31"/>
  <c r="T71" i="30"/>
  <c r="U71" i="30" s="1"/>
  <c r="R71" i="30"/>
  <c r="J71" i="30"/>
  <c r="F71" i="30"/>
  <c r="U70" i="30"/>
  <c r="T70" i="30"/>
  <c r="R70" i="30"/>
  <c r="J70" i="30"/>
  <c r="F70" i="30"/>
  <c r="T69" i="30"/>
  <c r="U69" i="30" s="1"/>
  <c r="R69" i="30"/>
  <c r="J69" i="30"/>
  <c r="F69" i="30"/>
  <c r="T68" i="30"/>
  <c r="R68" i="30"/>
  <c r="J68" i="30"/>
  <c r="F68" i="30"/>
  <c r="T64" i="30"/>
  <c r="U64" i="30" s="1"/>
  <c r="R64" i="30"/>
  <c r="J64" i="30"/>
  <c r="F64" i="30"/>
  <c r="T63" i="30"/>
  <c r="U63" i="30" s="1"/>
  <c r="R63" i="30"/>
  <c r="J63" i="30"/>
  <c r="F63" i="30"/>
  <c r="T62" i="30"/>
  <c r="U62" i="30" s="1"/>
  <c r="R62" i="30"/>
  <c r="J62" i="30"/>
  <c r="F62" i="30"/>
  <c r="T61" i="30"/>
  <c r="J61" i="30"/>
  <c r="F61" i="30"/>
  <c r="D61" i="30"/>
  <c r="I61" i="30" s="1"/>
  <c r="T60" i="30"/>
  <c r="J60" i="30"/>
  <c r="F60" i="30"/>
  <c r="D60" i="30"/>
  <c r="I60" i="30" s="1"/>
  <c r="T59" i="30"/>
  <c r="J59" i="30"/>
  <c r="F59" i="30"/>
  <c r="T58" i="30"/>
  <c r="J58" i="30"/>
  <c r="F58" i="30"/>
  <c r="T57" i="30"/>
  <c r="R57" i="30"/>
  <c r="J57" i="30"/>
  <c r="F57" i="30"/>
  <c r="T56" i="30"/>
  <c r="J56" i="30"/>
  <c r="C56" i="30"/>
  <c r="T55" i="30"/>
  <c r="R55" i="30"/>
  <c r="J55" i="30"/>
  <c r="F55" i="30"/>
  <c r="T51" i="30"/>
  <c r="R51" i="30"/>
  <c r="J51" i="30"/>
  <c r="F51" i="30"/>
  <c r="T50" i="30"/>
  <c r="U50" i="30" s="1"/>
  <c r="R50" i="30"/>
  <c r="J50" i="30"/>
  <c r="F50" i="30"/>
  <c r="T49" i="30"/>
  <c r="U49" i="30" s="1"/>
  <c r="R49" i="30"/>
  <c r="J49" i="30"/>
  <c r="F49" i="30"/>
  <c r="T48" i="30"/>
  <c r="U48" i="30" s="1"/>
  <c r="J48" i="30"/>
  <c r="F48" i="30"/>
  <c r="T47" i="30"/>
  <c r="U47" i="30" s="1"/>
  <c r="J47" i="30"/>
  <c r="F47" i="30"/>
  <c r="T46" i="30"/>
  <c r="U46" i="30" s="1"/>
  <c r="R46" i="30"/>
  <c r="J46" i="30"/>
  <c r="F46" i="30"/>
  <c r="T45" i="30"/>
  <c r="J45" i="30"/>
  <c r="C45" i="30"/>
  <c r="F45" i="30" s="1"/>
  <c r="T44" i="30"/>
  <c r="R44" i="30"/>
  <c r="J44" i="30"/>
  <c r="F44" i="30"/>
  <c r="T40" i="30"/>
  <c r="U40" i="30" s="1"/>
  <c r="R40" i="30"/>
  <c r="J40" i="30"/>
  <c r="F40" i="30"/>
  <c r="T39" i="30"/>
  <c r="R39" i="30"/>
  <c r="J39" i="30"/>
  <c r="F39" i="30"/>
  <c r="T38" i="30"/>
  <c r="U38" i="30" s="1"/>
  <c r="R38" i="30"/>
  <c r="J38" i="30"/>
  <c r="F38" i="30"/>
  <c r="T37" i="30"/>
  <c r="U37" i="30" s="1"/>
  <c r="R37" i="30"/>
  <c r="J37" i="30"/>
  <c r="F37" i="30"/>
  <c r="D37" i="30"/>
  <c r="I37" i="30" s="1"/>
  <c r="N37" i="30" s="1"/>
  <c r="T36" i="30"/>
  <c r="U36" i="30" s="1"/>
  <c r="R36" i="30"/>
  <c r="J36" i="30"/>
  <c r="F36" i="30"/>
  <c r="D36" i="30"/>
  <c r="I36" i="30" s="1"/>
  <c r="T35" i="30"/>
  <c r="R35" i="30"/>
  <c r="J35" i="30"/>
  <c r="F35" i="30"/>
  <c r="T34" i="30"/>
  <c r="U34" i="30" s="1"/>
  <c r="R34" i="30"/>
  <c r="J34" i="30"/>
  <c r="F34" i="30"/>
  <c r="T33" i="30"/>
  <c r="U33" i="30" s="1"/>
  <c r="R33" i="30"/>
  <c r="J33" i="30"/>
  <c r="F33" i="30"/>
  <c r="T29" i="30"/>
  <c r="U29" i="30" s="1"/>
  <c r="J29" i="30"/>
  <c r="D29" i="30"/>
  <c r="I29" i="30" s="1"/>
  <c r="T28" i="30"/>
  <c r="U28" i="30" s="1"/>
  <c r="J28" i="30"/>
  <c r="D28" i="30"/>
  <c r="I28" i="30" s="1"/>
  <c r="T27" i="30"/>
  <c r="U27" i="30" s="1"/>
  <c r="J27" i="30"/>
  <c r="D27" i="30"/>
  <c r="I27" i="30" s="1"/>
  <c r="T26" i="30"/>
  <c r="U26" i="30" s="1"/>
  <c r="J26" i="30"/>
  <c r="D26" i="30"/>
  <c r="I26" i="30" s="1"/>
  <c r="K26" i="30" s="1"/>
  <c r="T25" i="30"/>
  <c r="U25" i="30" s="1"/>
  <c r="J25" i="30"/>
  <c r="D25" i="30"/>
  <c r="I25" i="30" s="1"/>
  <c r="T24" i="30"/>
  <c r="U24" i="30" s="1"/>
  <c r="I21" i="30"/>
  <c r="F24" i="30" s="1"/>
  <c r="O70" i="30"/>
  <c r="G18" i="30"/>
  <c r="B18" i="30"/>
  <c r="G16" i="30"/>
  <c r="B16" i="30"/>
  <c r="G15" i="30"/>
  <c r="B15" i="30"/>
  <c r="G14" i="30"/>
  <c r="B14" i="30"/>
  <c r="J13" i="30"/>
  <c r="G13" i="30"/>
  <c r="B13" i="30"/>
  <c r="J12" i="30"/>
  <c r="G12" i="30"/>
  <c r="B12" i="30"/>
  <c r="J11" i="30"/>
  <c r="G11" i="30"/>
  <c r="B11" i="30"/>
  <c r="J10" i="30"/>
  <c r="G10" i="30"/>
  <c r="B10" i="30"/>
  <c r="J9" i="30"/>
  <c r="G9" i="30"/>
  <c r="B9" i="30"/>
  <c r="T71" i="29"/>
  <c r="U71" i="29" s="1"/>
  <c r="R71" i="29"/>
  <c r="J71" i="29"/>
  <c r="F71" i="29"/>
  <c r="T70" i="29"/>
  <c r="U70" i="29" s="1"/>
  <c r="R70" i="29"/>
  <c r="J70" i="29"/>
  <c r="F70" i="29"/>
  <c r="T69" i="29"/>
  <c r="U69" i="29" s="1"/>
  <c r="R69" i="29"/>
  <c r="J69" i="29"/>
  <c r="F69" i="29"/>
  <c r="T68" i="29"/>
  <c r="R68" i="29"/>
  <c r="J68" i="29"/>
  <c r="F68" i="29"/>
  <c r="T64" i="29"/>
  <c r="U64" i="29" s="1"/>
  <c r="R64" i="29"/>
  <c r="J64" i="29"/>
  <c r="F64" i="29"/>
  <c r="T63" i="29"/>
  <c r="U63" i="29" s="1"/>
  <c r="R63" i="29"/>
  <c r="J63" i="29"/>
  <c r="F63" i="29"/>
  <c r="T62" i="29"/>
  <c r="U62" i="29" s="1"/>
  <c r="R62" i="29"/>
  <c r="J62" i="29"/>
  <c r="F62" i="29"/>
  <c r="T61" i="29"/>
  <c r="J61" i="29"/>
  <c r="F61" i="29"/>
  <c r="D61" i="29"/>
  <c r="I61" i="29" s="1"/>
  <c r="T60" i="29"/>
  <c r="J60" i="29"/>
  <c r="F60" i="29"/>
  <c r="D60" i="29"/>
  <c r="I60" i="29" s="1"/>
  <c r="T59" i="29"/>
  <c r="J59" i="29"/>
  <c r="F59" i="29"/>
  <c r="T58" i="29"/>
  <c r="J58" i="29"/>
  <c r="F58" i="29"/>
  <c r="T57" i="29"/>
  <c r="R57" i="29"/>
  <c r="J57" i="29"/>
  <c r="F57" i="29"/>
  <c r="T56" i="29"/>
  <c r="J56" i="29"/>
  <c r="C56" i="29"/>
  <c r="T55" i="29"/>
  <c r="R55" i="29"/>
  <c r="J55" i="29"/>
  <c r="F55" i="29"/>
  <c r="T51" i="29"/>
  <c r="R51" i="29"/>
  <c r="J51" i="29"/>
  <c r="F51" i="29"/>
  <c r="T50" i="29"/>
  <c r="U50" i="29" s="1"/>
  <c r="R50" i="29"/>
  <c r="J50" i="29"/>
  <c r="F50" i="29"/>
  <c r="T49" i="29"/>
  <c r="U49" i="29" s="1"/>
  <c r="R49" i="29"/>
  <c r="J49" i="29"/>
  <c r="F49" i="29"/>
  <c r="T48" i="29"/>
  <c r="U48" i="29" s="1"/>
  <c r="J48" i="29"/>
  <c r="F48" i="29"/>
  <c r="T47" i="29"/>
  <c r="U47" i="29" s="1"/>
  <c r="J47" i="29"/>
  <c r="F47" i="29"/>
  <c r="T46" i="29"/>
  <c r="U46" i="29" s="1"/>
  <c r="R46" i="29"/>
  <c r="J46" i="29"/>
  <c r="F46" i="29"/>
  <c r="T45" i="29"/>
  <c r="J45" i="29"/>
  <c r="C45" i="29"/>
  <c r="F45" i="29" s="1"/>
  <c r="T44" i="29"/>
  <c r="R44" i="29"/>
  <c r="J44" i="29"/>
  <c r="F44" i="29"/>
  <c r="T40" i="29"/>
  <c r="U40" i="29" s="1"/>
  <c r="R40" i="29"/>
  <c r="J40" i="29"/>
  <c r="F40" i="29"/>
  <c r="T39" i="29"/>
  <c r="R39" i="29"/>
  <c r="J39" i="29"/>
  <c r="F39" i="29"/>
  <c r="U38" i="29"/>
  <c r="T38" i="29"/>
  <c r="R38" i="29"/>
  <c r="J38" i="29"/>
  <c r="F38" i="29"/>
  <c r="T37" i="29"/>
  <c r="U37" i="29" s="1"/>
  <c r="R37" i="29"/>
  <c r="J37" i="29"/>
  <c r="F37" i="29"/>
  <c r="D37" i="29"/>
  <c r="I37" i="29" s="1"/>
  <c r="N37" i="29" s="1"/>
  <c r="T36" i="29"/>
  <c r="U36" i="29" s="1"/>
  <c r="R36" i="29"/>
  <c r="J36" i="29"/>
  <c r="F36" i="29"/>
  <c r="D36" i="29"/>
  <c r="I36" i="29" s="1"/>
  <c r="K36" i="29" s="1"/>
  <c r="T35" i="29"/>
  <c r="R35" i="29"/>
  <c r="J35" i="29"/>
  <c r="F35" i="29"/>
  <c r="U34" i="29"/>
  <c r="T34" i="29"/>
  <c r="R34" i="29"/>
  <c r="J34" i="29"/>
  <c r="F34" i="29"/>
  <c r="T33" i="29"/>
  <c r="U33" i="29" s="1"/>
  <c r="R33" i="29"/>
  <c r="J33" i="29"/>
  <c r="F33" i="29"/>
  <c r="T29" i="29"/>
  <c r="U29" i="29" s="1"/>
  <c r="J29" i="29"/>
  <c r="D29" i="29"/>
  <c r="I29" i="29" s="1"/>
  <c r="K29" i="29" s="1"/>
  <c r="T28" i="29"/>
  <c r="U28" i="29" s="1"/>
  <c r="J28" i="29"/>
  <c r="D28" i="29"/>
  <c r="I28" i="29" s="1"/>
  <c r="T27" i="29"/>
  <c r="U27" i="29" s="1"/>
  <c r="J27" i="29"/>
  <c r="D27" i="29"/>
  <c r="I27" i="29" s="1"/>
  <c r="T26" i="29"/>
  <c r="U26" i="29" s="1"/>
  <c r="J26" i="29"/>
  <c r="D26" i="29"/>
  <c r="I26" i="29" s="1"/>
  <c r="T25" i="29"/>
  <c r="J25" i="29"/>
  <c r="D25" i="29"/>
  <c r="I25" i="29" s="1"/>
  <c r="T24" i="29"/>
  <c r="U24" i="29" s="1"/>
  <c r="I21" i="29"/>
  <c r="F24" i="29" s="1"/>
  <c r="D70" i="29"/>
  <c r="I70" i="29" s="1"/>
  <c r="G18" i="29"/>
  <c r="B18" i="29"/>
  <c r="G16" i="29"/>
  <c r="B16" i="29"/>
  <c r="G15" i="29"/>
  <c r="B15" i="29"/>
  <c r="G14" i="29"/>
  <c r="B14" i="29"/>
  <c r="J13" i="29"/>
  <c r="G13" i="29"/>
  <c r="B13" i="29"/>
  <c r="J12" i="29"/>
  <c r="G12" i="29"/>
  <c r="B12" i="29"/>
  <c r="J11" i="29"/>
  <c r="G11" i="29"/>
  <c r="B11" i="29"/>
  <c r="J10" i="29"/>
  <c r="G10" i="29"/>
  <c r="B10" i="29"/>
  <c r="J9" i="29"/>
  <c r="G9" i="29"/>
  <c r="B9" i="29"/>
  <c r="T71" i="28"/>
  <c r="U71" i="28" s="1"/>
  <c r="R71" i="28"/>
  <c r="J71" i="28"/>
  <c r="F71" i="28"/>
  <c r="T70" i="28"/>
  <c r="R70" i="28"/>
  <c r="J70" i="28"/>
  <c r="F70" i="28"/>
  <c r="T69" i="28"/>
  <c r="R69" i="28"/>
  <c r="J69" i="28"/>
  <c r="F69" i="28"/>
  <c r="T68" i="28"/>
  <c r="R68" i="28"/>
  <c r="J68" i="28"/>
  <c r="F68" i="28"/>
  <c r="G68" i="28" s="1"/>
  <c r="T64" i="28"/>
  <c r="U64" i="28" s="1"/>
  <c r="R64" i="28"/>
  <c r="J64" i="28"/>
  <c r="F64" i="28"/>
  <c r="T63" i="28"/>
  <c r="U63" i="28" s="1"/>
  <c r="R63" i="28"/>
  <c r="J63" i="28"/>
  <c r="F63" i="28"/>
  <c r="T62" i="28"/>
  <c r="R62" i="28"/>
  <c r="J62" i="28"/>
  <c r="F62" i="28"/>
  <c r="T61" i="28"/>
  <c r="U61" i="28" s="1"/>
  <c r="J61" i="28"/>
  <c r="F61" i="28"/>
  <c r="D61" i="28"/>
  <c r="I61" i="28" s="1"/>
  <c r="U60" i="28"/>
  <c r="T60" i="28"/>
  <c r="J60" i="28"/>
  <c r="F60" i="28"/>
  <c r="D60" i="28"/>
  <c r="I60" i="28" s="1"/>
  <c r="T59" i="28"/>
  <c r="U59" i="28" s="1"/>
  <c r="J59" i="28"/>
  <c r="F59" i="28"/>
  <c r="T58" i="28"/>
  <c r="U58" i="28" s="1"/>
  <c r="J58" i="28"/>
  <c r="F58" i="28"/>
  <c r="T57" i="28"/>
  <c r="U57" i="28" s="1"/>
  <c r="R57" i="28"/>
  <c r="J57" i="28"/>
  <c r="F57" i="28"/>
  <c r="T56" i="28"/>
  <c r="J56" i="28"/>
  <c r="C56" i="28"/>
  <c r="R56" i="28" s="1"/>
  <c r="T55" i="28"/>
  <c r="R55" i="28"/>
  <c r="J55" i="28"/>
  <c r="F55" i="28"/>
  <c r="U51" i="28"/>
  <c r="T51" i="28"/>
  <c r="R51" i="28"/>
  <c r="J51" i="28"/>
  <c r="F51" i="28"/>
  <c r="T50" i="28"/>
  <c r="U50" i="28" s="1"/>
  <c r="R50" i="28"/>
  <c r="J50" i="28"/>
  <c r="F50" i="28"/>
  <c r="T49" i="28"/>
  <c r="U49" i="28" s="1"/>
  <c r="R49" i="28"/>
  <c r="J49" i="28"/>
  <c r="F49" i="28"/>
  <c r="T48" i="28"/>
  <c r="J48" i="28"/>
  <c r="F48" i="28"/>
  <c r="T47" i="28"/>
  <c r="J47" i="28"/>
  <c r="F47" i="28"/>
  <c r="T46" i="28"/>
  <c r="R46" i="28"/>
  <c r="J46" i="28"/>
  <c r="F46" i="28"/>
  <c r="T45" i="28"/>
  <c r="U45" i="28" s="1"/>
  <c r="J45" i="28"/>
  <c r="C45" i="28"/>
  <c r="T44" i="28"/>
  <c r="R44" i="28"/>
  <c r="J44" i="28"/>
  <c r="F44" i="28"/>
  <c r="T40" i="28"/>
  <c r="U40" i="28" s="1"/>
  <c r="R40" i="28"/>
  <c r="J40" i="28"/>
  <c r="F40" i="28"/>
  <c r="T39" i="28"/>
  <c r="U39" i="28" s="1"/>
  <c r="R39" i="28"/>
  <c r="J39" i="28"/>
  <c r="F39" i="28"/>
  <c r="T38" i="28"/>
  <c r="U38" i="28" s="1"/>
  <c r="R38" i="28"/>
  <c r="J38" i="28"/>
  <c r="F38" i="28"/>
  <c r="T37" i="28"/>
  <c r="U37" i="28" s="1"/>
  <c r="R37" i="28"/>
  <c r="J37" i="28"/>
  <c r="F37" i="28"/>
  <c r="D37" i="28"/>
  <c r="I37" i="28" s="1"/>
  <c r="N37" i="28" s="1"/>
  <c r="T36" i="28"/>
  <c r="U36" i="28" s="1"/>
  <c r="R36" i="28"/>
  <c r="J36" i="28"/>
  <c r="F36" i="28"/>
  <c r="D36" i="28"/>
  <c r="I36" i="28" s="1"/>
  <c r="N36" i="28" s="1"/>
  <c r="T35" i="28"/>
  <c r="U35" i="28" s="1"/>
  <c r="R35" i="28"/>
  <c r="J35" i="28"/>
  <c r="F35" i="28"/>
  <c r="T34" i="28"/>
  <c r="U34" i="28" s="1"/>
  <c r="R34" i="28"/>
  <c r="J34" i="28"/>
  <c r="F34" i="28"/>
  <c r="T33" i="28"/>
  <c r="U33" i="28" s="1"/>
  <c r="R33" i="28"/>
  <c r="J33" i="28"/>
  <c r="F33" i="28"/>
  <c r="T29" i="28"/>
  <c r="U29" i="28" s="1"/>
  <c r="J29" i="28"/>
  <c r="D29" i="28"/>
  <c r="I29" i="28" s="1"/>
  <c r="K29" i="28" s="1"/>
  <c r="T28" i="28"/>
  <c r="U28" i="28" s="1"/>
  <c r="J28" i="28"/>
  <c r="D28" i="28"/>
  <c r="I28" i="28" s="1"/>
  <c r="T27" i="28"/>
  <c r="U27" i="28" s="1"/>
  <c r="J27" i="28"/>
  <c r="D27" i="28"/>
  <c r="I27" i="28" s="1"/>
  <c r="T26" i="28"/>
  <c r="U26" i="28" s="1"/>
  <c r="J26" i="28"/>
  <c r="D26" i="28"/>
  <c r="I26" i="28" s="1"/>
  <c r="T25" i="28"/>
  <c r="U25" i="28" s="1"/>
  <c r="J25" i="28"/>
  <c r="D25" i="28"/>
  <c r="I25" i="28" s="1"/>
  <c r="K25" i="28" s="1"/>
  <c r="T24" i="28"/>
  <c r="U24" i="28" s="1"/>
  <c r="I21" i="28"/>
  <c r="F24" i="28" s="1"/>
  <c r="D71" i="28"/>
  <c r="I71" i="28" s="1"/>
  <c r="N71" i="28" s="1"/>
  <c r="G18" i="28"/>
  <c r="B18" i="28"/>
  <c r="G16" i="28"/>
  <c r="B16" i="28"/>
  <c r="G15" i="28"/>
  <c r="B15" i="28"/>
  <c r="G14" i="28"/>
  <c r="B14" i="28"/>
  <c r="J13" i="28"/>
  <c r="G13" i="28"/>
  <c r="B13" i="28"/>
  <c r="J12" i="28"/>
  <c r="G12" i="28"/>
  <c r="B12" i="28"/>
  <c r="J11" i="28"/>
  <c r="G11" i="28"/>
  <c r="B11" i="28"/>
  <c r="J10" i="28"/>
  <c r="G10" i="28"/>
  <c r="B10" i="28"/>
  <c r="J9" i="28"/>
  <c r="G9" i="28"/>
  <c r="B9" i="28"/>
  <c r="T71" i="27"/>
  <c r="R71" i="27"/>
  <c r="J71" i="27"/>
  <c r="F71" i="27"/>
  <c r="T70" i="27"/>
  <c r="U70" i="27" s="1"/>
  <c r="R70" i="27"/>
  <c r="J70" i="27"/>
  <c r="F70" i="27"/>
  <c r="T69" i="27"/>
  <c r="U69" i="27" s="1"/>
  <c r="R69" i="27"/>
  <c r="J69" i="27"/>
  <c r="F69" i="27"/>
  <c r="T68" i="27"/>
  <c r="R68" i="27"/>
  <c r="J68" i="27"/>
  <c r="F68" i="27"/>
  <c r="T64" i="27"/>
  <c r="R64" i="27"/>
  <c r="J64" i="27"/>
  <c r="F64" i="27"/>
  <c r="T63" i="27"/>
  <c r="R63" i="27"/>
  <c r="J63" i="27"/>
  <c r="F63" i="27"/>
  <c r="T62" i="27"/>
  <c r="U62" i="27" s="1"/>
  <c r="R62" i="27"/>
  <c r="J62" i="27"/>
  <c r="F62" i="27"/>
  <c r="T61" i="27"/>
  <c r="U61" i="27" s="1"/>
  <c r="J61" i="27"/>
  <c r="F61" i="27"/>
  <c r="D61" i="27"/>
  <c r="I61" i="27" s="1"/>
  <c r="T60" i="27"/>
  <c r="U60" i="27" s="1"/>
  <c r="J60" i="27"/>
  <c r="F60" i="27"/>
  <c r="D60" i="27"/>
  <c r="I60" i="27" s="1"/>
  <c r="T59" i="27"/>
  <c r="U59" i="27" s="1"/>
  <c r="J59" i="27"/>
  <c r="F59" i="27"/>
  <c r="T58" i="27"/>
  <c r="J58" i="27"/>
  <c r="F58" i="27"/>
  <c r="T57" i="27"/>
  <c r="R57" i="27"/>
  <c r="J57" i="27"/>
  <c r="F57" i="27"/>
  <c r="T56" i="27"/>
  <c r="J56" i="27"/>
  <c r="C56" i="27"/>
  <c r="R56" i="27" s="1"/>
  <c r="T55" i="27"/>
  <c r="R55" i="27"/>
  <c r="J55" i="27"/>
  <c r="F55" i="27"/>
  <c r="T51" i="27"/>
  <c r="R51" i="27"/>
  <c r="J51" i="27"/>
  <c r="F51" i="27"/>
  <c r="T50" i="27"/>
  <c r="U50" i="27" s="1"/>
  <c r="R50" i="27"/>
  <c r="J50" i="27"/>
  <c r="F50" i="27"/>
  <c r="U49" i="27"/>
  <c r="T49" i="27"/>
  <c r="R49" i="27"/>
  <c r="J49" i="27"/>
  <c r="F49" i="27"/>
  <c r="T48" i="27"/>
  <c r="U48" i="27" s="1"/>
  <c r="J48" i="27"/>
  <c r="F48" i="27"/>
  <c r="T47" i="27"/>
  <c r="U47" i="27" s="1"/>
  <c r="J47" i="27"/>
  <c r="F47" i="27"/>
  <c r="T46" i="27"/>
  <c r="U46" i="27" s="1"/>
  <c r="R46" i="27"/>
  <c r="J46" i="27"/>
  <c r="F46" i="27"/>
  <c r="T45" i="27"/>
  <c r="J45" i="27"/>
  <c r="C45" i="27"/>
  <c r="R45" i="27" s="1"/>
  <c r="T44" i="27"/>
  <c r="R44" i="27"/>
  <c r="J44" i="27"/>
  <c r="F44" i="27"/>
  <c r="T40" i="27"/>
  <c r="U40" i="27" s="1"/>
  <c r="R40" i="27"/>
  <c r="J40" i="27"/>
  <c r="F40" i="27"/>
  <c r="T39" i="27"/>
  <c r="R39" i="27"/>
  <c r="J39" i="27"/>
  <c r="F39" i="27"/>
  <c r="T38" i="27"/>
  <c r="U38" i="27" s="1"/>
  <c r="R38" i="27"/>
  <c r="J38" i="27"/>
  <c r="F38" i="27"/>
  <c r="T37" i="27"/>
  <c r="U37" i="27" s="1"/>
  <c r="R37" i="27"/>
  <c r="J37" i="27"/>
  <c r="F37" i="27"/>
  <c r="D37" i="27"/>
  <c r="I37" i="27" s="1"/>
  <c r="T36" i="27"/>
  <c r="U36" i="27" s="1"/>
  <c r="R36" i="27"/>
  <c r="J36" i="27"/>
  <c r="I36" i="27"/>
  <c r="N36" i="27" s="1"/>
  <c r="F36" i="27"/>
  <c r="D36" i="27"/>
  <c r="T35" i="27"/>
  <c r="U35" i="27" s="1"/>
  <c r="R35" i="27"/>
  <c r="J35" i="27"/>
  <c r="F35" i="27"/>
  <c r="T34" i="27"/>
  <c r="U34" i="27" s="1"/>
  <c r="R34" i="27"/>
  <c r="J34" i="27"/>
  <c r="F34" i="27"/>
  <c r="T33" i="27"/>
  <c r="U33" i="27" s="1"/>
  <c r="R33" i="27"/>
  <c r="J33" i="27"/>
  <c r="F33" i="27"/>
  <c r="G33" i="27" s="1"/>
  <c r="T29" i="27"/>
  <c r="U29" i="27" s="1"/>
  <c r="J29" i="27"/>
  <c r="D29" i="27"/>
  <c r="I29" i="27" s="1"/>
  <c r="T28" i="27"/>
  <c r="U28" i="27" s="1"/>
  <c r="J28" i="27"/>
  <c r="D28" i="27"/>
  <c r="I28" i="27" s="1"/>
  <c r="T27" i="27"/>
  <c r="U27" i="27" s="1"/>
  <c r="J27" i="27"/>
  <c r="D27" i="27"/>
  <c r="I27" i="27" s="1"/>
  <c r="T26" i="27"/>
  <c r="U26" i="27" s="1"/>
  <c r="J26" i="27"/>
  <c r="D26" i="27"/>
  <c r="I26" i="27" s="1"/>
  <c r="K26" i="27" s="1"/>
  <c r="T25" i="27"/>
  <c r="J25" i="27"/>
  <c r="D25" i="27"/>
  <c r="I25" i="27" s="1"/>
  <c r="T24" i="27"/>
  <c r="U24" i="27" s="1"/>
  <c r="I21" i="27"/>
  <c r="F24" i="27" s="1"/>
  <c r="G18" i="27"/>
  <c r="B18" i="27"/>
  <c r="G16" i="27"/>
  <c r="B16" i="27"/>
  <c r="G15" i="27"/>
  <c r="B15" i="27"/>
  <c r="G14" i="27"/>
  <c r="B14" i="27"/>
  <c r="J13" i="27"/>
  <c r="G13" i="27"/>
  <c r="B13" i="27"/>
  <c r="J12" i="27"/>
  <c r="G12" i="27"/>
  <c r="B12" i="27"/>
  <c r="J11" i="27"/>
  <c r="G11" i="27"/>
  <c r="B11" i="27"/>
  <c r="J10" i="27"/>
  <c r="G10" i="27"/>
  <c r="B10" i="27"/>
  <c r="J9" i="27"/>
  <c r="G9" i="27"/>
  <c r="B9" i="27"/>
  <c r="T71" i="26"/>
  <c r="R71" i="26"/>
  <c r="J71" i="26"/>
  <c r="F71" i="26"/>
  <c r="T70" i="26"/>
  <c r="U70" i="26" s="1"/>
  <c r="R70" i="26"/>
  <c r="J70" i="26"/>
  <c r="F70" i="26"/>
  <c r="T69" i="26"/>
  <c r="U69" i="26" s="1"/>
  <c r="R69" i="26"/>
  <c r="J69" i="26"/>
  <c r="F69" i="26"/>
  <c r="T68" i="26"/>
  <c r="R68" i="26"/>
  <c r="J68" i="26"/>
  <c r="F68" i="26"/>
  <c r="T64" i="26"/>
  <c r="R64" i="26"/>
  <c r="J64" i="26"/>
  <c r="F64" i="26"/>
  <c r="T63" i="26"/>
  <c r="U63" i="26" s="1"/>
  <c r="R63" i="26"/>
  <c r="J63" i="26"/>
  <c r="F63" i="26"/>
  <c r="T62" i="26"/>
  <c r="U62" i="26" s="1"/>
  <c r="R62" i="26"/>
  <c r="J62" i="26"/>
  <c r="F62" i="26"/>
  <c r="U61" i="26"/>
  <c r="T61" i="26"/>
  <c r="J61" i="26"/>
  <c r="F61" i="26"/>
  <c r="D61" i="26"/>
  <c r="I61" i="26" s="1"/>
  <c r="T60" i="26"/>
  <c r="U60" i="26" s="1"/>
  <c r="J60" i="26"/>
  <c r="F60" i="26"/>
  <c r="D60" i="26"/>
  <c r="I60" i="26" s="1"/>
  <c r="T59" i="26"/>
  <c r="J59" i="26"/>
  <c r="F59" i="26"/>
  <c r="T58" i="26"/>
  <c r="J58" i="26"/>
  <c r="F58" i="26"/>
  <c r="T57" i="26"/>
  <c r="R57" i="26"/>
  <c r="J57" i="26"/>
  <c r="F57" i="26"/>
  <c r="T56" i="26"/>
  <c r="J56" i="26"/>
  <c r="C56" i="26"/>
  <c r="R56" i="26" s="1"/>
  <c r="T55" i="26"/>
  <c r="R55" i="26"/>
  <c r="J55" i="26"/>
  <c r="F55" i="26"/>
  <c r="T51" i="26"/>
  <c r="R51" i="26"/>
  <c r="J51" i="26"/>
  <c r="F51" i="26"/>
  <c r="T50" i="26"/>
  <c r="U50" i="26" s="1"/>
  <c r="R50" i="26"/>
  <c r="J50" i="26"/>
  <c r="F50" i="26"/>
  <c r="T49" i="26"/>
  <c r="U49" i="26" s="1"/>
  <c r="R49" i="26"/>
  <c r="J49" i="26"/>
  <c r="F49" i="26"/>
  <c r="T48" i="26"/>
  <c r="U48" i="26" s="1"/>
  <c r="J48" i="26"/>
  <c r="F48" i="26"/>
  <c r="T47" i="26"/>
  <c r="U47" i="26" s="1"/>
  <c r="J47" i="26"/>
  <c r="F47" i="26"/>
  <c r="T46" i="26"/>
  <c r="U46" i="26" s="1"/>
  <c r="R46" i="26"/>
  <c r="J46" i="26"/>
  <c r="F46" i="26"/>
  <c r="T45" i="26"/>
  <c r="J45" i="26"/>
  <c r="C45" i="26"/>
  <c r="R45" i="26" s="1"/>
  <c r="T44" i="26"/>
  <c r="R44" i="26"/>
  <c r="J44" i="26"/>
  <c r="F44" i="26"/>
  <c r="T40" i="26"/>
  <c r="U40" i="26" s="1"/>
  <c r="R40" i="26"/>
  <c r="J40" i="26"/>
  <c r="F40" i="26"/>
  <c r="T39" i="26"/>
  <c r="R39" i="26"/>
  <c r="J39" i="26"/>
  <c r="F39" i="26"/>
  <c r="T38" i="26"/>
  <c r="U38" i="26" s="1"/>
  <c r="R38" i="26"/>
  <c r="J38" i="26"/>
  <c r="F38" i="26"/>
  <c r="T37" i="26"/>
  <c r="U37" i="26" s="1"/>
  <c r="R37" i="26"/>
  <c r="J37" i="26"/>
  <c r="F37" i="26"/>
  <c r="D37" i="26"/>
  <c r="I37" i="26" s="1"/>
  <c r="T36" i="26"/>
  <c r="U36" i="26" s="1"/>
  <c r="R36" i="26"/>
  <c r="J36" i="26"/>
  <c r="F36" i="26"/>
  <c r="D36" i="26"/>
  <c r="I36" i="26" s="1"/>
  <c r="T35" i="26"/>
  <c r="R35" i="26"/>
  <c r="J35" i="26"/>
  <c r="F35" i="26"/>
  <c r="T34" i="26"/>
  <c r="U34" i="26" s="1"/>
  <c r="R34" i="26"/>
  <c r="J34" i="26"/>
  <c r="F34" i="26"/>
  <c r="T33" i="26"/>
  <c r="U33" i="26" s="1"/>
  <c r="R33" i="26"/>
  <c r="J33" i="26"/>
  <c r="F33" i="26"/>
  <c r="T29" i="26"/>
  <c r="U29" i="26" s="1"/>
  <c r="J29" i="26"/>
  <c r="D29" i="26"/>
  <c r="I29" i="26" s="1"/>
  <c r="T28" i="26"/>
  <c r="U28" i="26" s="1"/>
  <c r="J28" i="26"/>
  <c r="D28" i="26"/>
  <c r="I28" i="26" s="1"/>
  <c r="T27" i="26"/>
  <c r="U27" i="26" s="1"/>
  <c r="J27" i="26"/>
  <c r="D27" i="26"/>
  <c r="I27" i="26" s="1"/>
  <c r="T26" i="26"/>
  <c r="U26" i="26" s="1"/>
  <c r="J26" i="26"/>
  <c r="D26" i="26"/>
  <c r="I26" i="26" s="1"/>
  <c r="K26" i="26" s="1"/>
  <c r="T25" i="26"/>
  <c r="J25" i="26"/>
  <c r="D25" i="26"/>
  <c r="I25" i="26" s="1"/>
  <c r="T24" i="26"/>
  <c r="U24" i="26" s="1"/>
  <c r="I21" i="26"/>
  <c r="F24" i="26" s="1"/>
  <c r="O70" i="26"/>
  <c r="G18" i="26"/>
  <c r="B18" i="26"/>
  <c r="G16" i="26"/>
  <c r="B16" i="26"/>
  <c r="G15" i="26"/>
  <c r="B15" i="26"/>
  <c r="G14" i="26"/>
  <c r="B14" i="26"/>
  <c r="J13" i="26"/>
  <c r="G13" i="26"/>
  <c r="B13" i="26"/>
  <c r="J12" i="26"/>
  <c r="G12" i="26"/>
  <c r="B12" i="26"/>
  <c r="J11" i="26"/>
  <c r="G11" i="26"/>
  <c r="B11" i="26"/>
  <c r="J10" i="26"/>
  <c r="G10" i="26"/>
  <c r="B10" i="26"/>
  <c r="J9" i="26"/>
  <c r="G9" i="26"/>
  <c r="B9" i="26"/>
  <c r="T71" i="25"/>
  <c r="R71" i="25"/>
  <c r="J71" i="25"/>
  <c r="F71" i="25"/>
  <c r="T70" i="25"/>
  <c r="U70" i="25" s="1"/>
  <c r="R70" i="25"/>
  <c r="J70" i="25"/>
  <c r="F70" i="25"/>
  <c r="T69" i="25"/>
  <c r="U69" i="25" s="1"/>
  <c r="R69" i="25"/>
  <c r="J69" i="25"/>
  <c r="F69" i="25"/>
  <c r="T68" i="25"/>
  <c r="R68" i="25"/>
  <c r="J68" i="25"/>
  <c r="F68" i="25"/>
  <c r="T64" i="25"/>
  <c r="R64" i="25"/>
  <c r="J64" i="25"/>
  <c r="F64" i="25"/>
  <c r="T63" i="25"/>
  <c r="U63" i="25" s="1"/>
  <c r="R63" i="25"/>
  <c r="J63" i="25"/>
  <c r="F63" i="25"/>
  <c r="T62" i="25"/>
  <c r="U62" i="25" s="1"/>
  <c r="R62" i="25"/>
  <c r="J62" i="25"/>
  <c r="F62" i="25"/>
  <c r="T61" i="25"/>
  <c r="U61" i="25" s="1"/>
  <c r="J61" i="25"/>
  <c r="F61" i="25"/>
  <c r="D61" i="25"/>
  <c r="I61" i="25" s="1"/>
  <c r="T60" i="25"/>
  <c r="U60" i="25" s="1"/>
  <c r="J60" i="25"/>
  <c r="F60" i="25"/>
  <c r="D60" i="25"/>
  <c r="I60" i="25" s="1"/>
  <c r="T59" i="25"/>
  <c r="U59" i="25" s="1"/>
  <c r="J59" i="25"/>
  <c r="F59" i="25"/>
  <c r="T58" i="25"/>
  <c r="U58" i="25" s="1"/>
  <c r="J58" i="25"/>
  <c r="F58" i="25"/>
  <c r="T57" i="25"/>
  <c r="R57" i="25"/>
  <c r="J57" i="25"/>
  <c r="F57" i="25"/>
  <c r="T56" i="25"/>
  <c r="J56" i="25"/>
  <c r="C56" i="25"/>
  <c r="R56" i="25" s="1"/>
  <c r="T55" i="25"/>
  <c r="R55" i="25"/>
  <c r="J55" i="25"/>
  <c r="F55" i="25"/>
  <c r="T51" i="25"/>
  <c r="R51" i="25"/>
  <c r="J51" i="25"/>
  <c r="F51" i="25"/>
  <c r="T50" i="25"/>
  <c r="R50" i="25"/>
  <c r="J50" i="25"/>
  <c r="F50" i="25"/>
  <c r="T49" i="25"/>
  <c r="U49" i="25" s="1"/>
  <c r="R49" i="25"/>
  <c r="J49" i="25"/>
  <c r="F49" i="25"/>
  <c r="T48" i="25"/>
  <c r="U48" i="25" s="1"/>
  <c r="J48" i="25"/>
  <c r="F48" i="25"/>
  <c r="T47" i="25"/>
  <c r="U47" i="25" s="1"/>
  <c r="J47" i="25"/>
  <c r="F47" i="25"/>
  <c r="T46" i="25"/>
  <c r="U46" i="25" s="1"/>
  <c r="R46" i="25"/>
  <c r="J46" i="25"/>
  <c r="F46" i="25"/>
  <c r="T45" i="25"/>
  <c r="J45" i="25"/>
  <c r="C45" i="25"/>
  <c r="R45" i="25" s="1"/>
  <c r="T44" i="25"/>
  <c r="R44" i="25"/>
  <c r="J44" i="25"/>
  <c r="F44" i="25"/>
  <c r="T40" i="25"/>
  <c r="U40" i="25" s="1"/>
  <c r="R40" i="25"/>
  <c r="J40" i="25"/>
  <c r="F40" i="25"/>
  <c r="T39" i="25"/>
  <c r="R39" i="25"/>
  <c r="J39" i="25"/>
  <c r="F39" i="25"/>
  <c r="T38" i="25"/>
  <c r="U38" i="25" s="1"/>
  <c r="R38" i="25"/>
  <c r="J38" i="25"/>
  <c r="F38" i="25"/>
  <c r="T37" i="25"/>
  <c r="U37" i="25" s="1"/>
  <c r="R37" i="25"/>
  <c r="J37" i="25"/>
  <c r="F37" i="25"/>
  <c r="D37" i="25"/>
  <c r="I37" i="25" s="1"/>
  <c r="T36" i="25"/>
  <c r="U36" i="25" s="1"/>
  <c r="R36" i="25"/>
  <c r="J36" i="25"/>
  <c r="F36" i="25"/>
  <c r="D36" i="25"/>
  <c r="I36" i="25" s="1"/>
  <c r="N36" i="25" s="1"/>
  <c r="T35" i="25"/>
  <c r="R35" i="25"/>
  <c r="J35" i="25"/>
  <c r="F35" i="25"/>
  <c r="T34" i="25"/>
  <c r="U34" i="25" s="1"/>
  <c r="R34" i="25"/>
  <c r="J34" i="25"/>
  <c r="F34" i="25"/>
  <c r="T33" i="25"/>
  <c r="U33" i="25" s="1"/>
  <c r="R33" i="25"/>
  <c r="J33" i="25"/>
  <c r="F33" i="25"/>
  <c r="T29" i="25"/>
  <c r="U29" i="25" s="1"/>
  <c r="J29" i="25"/>
  <c r="D29" i="25"/>
  <c r="I29" i="25" s="1"/>
  <c r="T28" i="25"/>
  <c r="U28" i="25" s="1"/>
  <c r="J28" i="25"/>
  <c r="D28" i="25"/>
  <c r="I28" i="25" s="1"/>
  <c r="T27" i="25"/>
  <c r="U27" i="25" s="1"/>
  <c r="J27" i="25"/>
  <c r="D27" i="25"/>
  <c r="I27" i="25" s="1"/>
  <c r="T26" i="25"/>
  <c r="U26" i="25" s="1"/>
  <c r="J26" i="25"/>
  <c r="D26" i="25"/>
  <c r="I26" i="25" s="1"/>
  <c r="K26" i="25" s="1"/>
  <c r="T25" i="25"/>
  <c r="J25" i="25"/>
  <c r="D25" i="25"/>
  <c r="I25" i="25" s="1"/>
  <c r="T24" i="25"/>
  <c r="U24" i="25" s="1"/>
  <c r="I21" i="25"/>
  <c r="F24" i="25" s="1"/>
  <c r="O70" i="25"/>
  <c r="G18" i="25"/>
  <c r="B18" i="25"/>
  <c r="G16" i="25"/>
  <c r="B16" i="25"/>
  <c r="G15" i="25"/>
  <c r="B15" i="25"/>
  <c r="G14" i="25"/>
  <c r="B14" i="25"/>
  <c r="J13" i="25"/>
  <c r="G13" i="25"/>
  <c r="B13" i="25"/>
  <c r="J12" i="25"/>
  <c r="G12" i="25"/>
  <c r="B12" i="25"/>
  <c r="J11" i="25"/>
  <c r="G11" i="25"/>
  <c r="B11" i="25"/>
  <c r="J10" i="25"/>
  <c r="G10" i="25"/>
  <c r="B10" i="25"/>
  <c r="J9" i="25"/>
  <c r="G9" i="25"/>
  <c r="B9" i="25"/>
  <c r="T71" i="24"/>
  <c r="R71" i="24"/>
  <c r="J71" i="24"/>
  <c r="F71" i="24"/>
  <c r="T70" i="24"/>
  <c r="U70" i="24" s="1"/>
  <c r="R70" i="24"/>
  <c r="J70" i="24"/>
  <c r="F70" i="24"/>
  <c r="T69" i="24"/>
  <c r="U69" i="24" s="1"/>
  <c r="R69" i="24"/>
  <c r="J69" i="24"/>
  <c r="F69" i="24"/>
  <c r="T68" i="24"/>
  <c r="R68" i="24"/>
  <c r="J68" i="24"/>
  <c r="F68" i="24"/>
  <c r="T64" i="24"/>
  <c r="R64" i="24"/>
  <c r="J64" i="24"/>
  <c r="F64" i="24"/>
  <c r="T63" i="24"/>
  <c r="U63" i="24" s="1"/>
  <c r="R63" i="24"/>
  <c r="J63" i="24"/>
  <c r="F63" i="24"/>
  <c r="T62" i="24"/>
  <c r="U62" i="24" s="1"/>
  <c r="R62" i="24"/>
  <c r="J62" i="24"/>
  <c r="F62" i="24"/>
  <c r="T61" i="24"/>
  <c r="U61" i="24" s="1"/>
  <c r="J61" i="24"/>
  <c r="F61" i="24"/>
  <c r="D61" i="24"/>
  <c r="I61" i="24" s="1"/>
  <c r="K61" i="24" s="1"/>
  <c r="U60" i="24"/>
  <c r="T60" i="24"/>
  <c r="J60" i="24"/>
  <c r="F60" i="24"/>
  <c r="D60" i="24"/>
  <c r="I60" i="24" s="1"/>
  <c r="T59" i="24"/>
  <c r="J59" i="24"/>
  <c r="F59" i="24"/>
  <c r="T58" i="24"/>
  <c r="J58" i="24"/>
  <c r="F58" i="24"/>
  <c r="T57" i="24"/>
  <c r="R57" i="24"/>
  <c r="J57" i="24"/>
  <c r="F57" i="24"/>
  <c r="T56" i="24"/>
  <c r="J56" i="24"/>
  <c r="C56" i="24"/>
  <c r="R56" i="24" s="1"/>
  <c r="T55" i="24"/>
  <c r="R55" i="24"/>
  <c r="J55" i="24"/>
  <c r="F55" i="24"/>
  <c r="T51" i="24"/>
  <c r="R51" i="24"/>
  <c r="J51" i="24"/>
  <c r="F51" i="24"/>
  <c r="T50" i="24"/>
  <c r="U50" i="24" s="1"/>
  <c r="R50" i="24"/>
  <c r="J50" i="24"/>
  <c r="F50" i="24"/>
  <c r="T49" i="24"/>
  <c r="U49" i="24" s="1"/>
  <c r="R49" i="24"/>
  <c r="J49" i="24"/>
  <c r="F49" i="24"/>
  <c r="T48" i="24"/>
  <c r="U48" i="24" s="1"/>
  <c r="J48" i="24"/>
  <c r="F48" i="24"/>
  <c r="T47" i="24"/>
  <c r="U47" i="24" s="1"/>
  <c r="J47" i="24"/>
  <c r="F47" i="24"/>
  <c r="T46" i="24"/>
  <c r="U46" i="24" s="1"/>
  <c r="R46" i="24"/>
  <c r="J46" i="24"/>
  <c r="F46" i="24"/>
  <c r="T45" i="24"/>
  <c r="J45" i="24"/>
  <c r="C45" i="24"/>
  <c r="R45" i="24" s="1"/>
  <c r="T44" i="24"/>
  <c r="R44" i="24"/>
  <c r="J44" i="24"/>
  <c r="F44" i="24"/>
  <c r="T40" i="24"/>
  <c r="U40" i="24" s="1"/>
  <c r="R40" i="24"/>
  <c r="J40" i="24"/>
  <c r="F40" i="24"/>
  <c r="T39" i="24"/>
  <c r="R39" i="24"/>
  <c r="J39" i="24"/>
  <c r="F39" i="24"/>
  <c r="T38" i="24"/>
  <c r="U38" i="24" s="1"/>
  <c r="R38" i="24"/>
  <c r="J38" i="24"/>
  <c r="F38" i="24"/>
  <c r="T37" i="24"/>
  <c r="U37" i="24" s="1"/>
  <c r="R37" i="24"/>
  <c r="J37" i="24"/>
  <c r="F37" i="24"/>
  <c r="D37" i="24"/>
  <c r="I37" i="24" s="1"/>
  <c r="T36" i="24"/>
  <c r="U36" i="24" s="1"/>
  <c r="R36" i="24"/>
  <c r="J36" i="24"/>
  <c r="F36" i="24"/>
  <c r="D36" i="24"/>
  <c r="I36" i="24" s="1"/>
  <c r="N36" i="24" s="1"/>
  <c r="T35" i="24"/>
  <c r="R35" i="24"/>
  <c r="J35" i="24"/>
  <c r="F35" i="24"/>
  <c r="T34" i="24"/>
  <c r="U34" i="24" s="1"/>
  <c r="R34" i="24"/>
  <c r="J34" i="24"/>
  <c r="F34" i="24"/>
  <c r="T33" i="24"/>
  <c r="U33" i="24" s="1"/>
  <c r="R33" i="24"/>
  <c r="J33" i="24"/>
  <c r="F33" i="24"/>
  <c r="T29" i="24"/>
  <c r="U29" i="24" s="1"/>
  <c r="J29" i="24"/>
  <c r="D29" i="24"/>
  <c r="I29" i="24" s="1"/>
  <c r="T28" i="24"/>
  <c r="U28" i="24" s="1"/>
  <c r="J28" i="24"/>
  <c r="D28" i="24"/>
  <c r="I28" i="24" s="1"/>
  <c r="T27" i="24"/>
  <c r="U27" i="24" s="1"/>
  <c r="J27" i="24"/>
  <c r="D27" i="24"/>
  <c r="I27" i="24" s="1"/>
  <c r="T26" i="24"/>
  <c r="U26" i="24" s="1"/>
  <c r="J26" i="24"/>
  <c r="D26" i="24"/>
  <c r="I26" i="24" s="1"/>
  <c r="K26" i="24" s="1"/>
  <c r="T25" i="24"/>
  <c r="U25" i="24" s="1"/>
  <c r="J25" i="24"/>
  <c r="D25" i="24"/>
  <c r="I25" i="24" s="1"/>
  <c r="T24" i="24"/>
  <c r="U24" i="24" s="1"/>
  <c r="I21" i="24"/>
  <c r="F24" i="24" s="1"/>
  <c r="O70" i="24"/>
  <c r="G18" i="24"/>
  <c r="B18" i="24"/>
  <c r="G16" i="24"/>
  <c r="B16" i="24"/>
  <c r="G15" i="24"/>
  <c r="B15" i="24"/>
  <c r="G14" i="24"/>
  <c r="B14" i="24"/>
  <c r="J13" i="24"/>
  <c r="G13" i="24"/>
  <c r="B13" i="24"/>
  <c r="J12" i="24"/>
  <c r="G12" i="24"/>
  <c r="B12" i="24"/>
  <c r="J11" i="24"/>
  <c r="G11" i="24"/>
  <c r="B11" i="24"/>
  <c r="J10" i="24"/>
  <c r="G10" i="24"/>
  <c r="B10" i="24"/>
  <c r="J9" i="24"/>
  <c r="G9" i="24"/>
  <c r="B9" i="24"/>
  <c r="T71" i="23"/>
  <c r="R71" i="23"/>
  <c r="J71" i="23"/>
  <c r="F71" i="23"/>
  <c r="T70" i="23"/>
  <c r="U70" i="23" s="1"/>
  <c r="R70" i="23"/>
  <c r="J70" i="23"/>
  <c r="F70" i="23"/>
  <c r="T69" i="23"/>
  <c r="U69" i="23" s="1"/>
  <c r="R69" i="23"/>
  <c r="J69" i="23"/>
  <c r="F69" i="23"/>
  <c r="T68" i="23"/>
  <c r="R68" i="23"/>
  <c r="J68" i="23"/>
  <c r="F68" i="23"/>
  <c r="T64" i="23"/>
  <c r="R64" i="23"/>
  <c r="J64" i="23"/>
  <c r="F64" i="23"/>
  <c r="T63" i="23"/>
  <c r="R63" i="23"/>
  <c r="J63" i="23"/>
  <c r="F63" i="23"/>
  <c r="T62" i="23"/>
  <c r="U62" i="23" s="1"/>
  <c r="R62" i="23"/>
  <c r="J62" i="23"/>
  <c r="F62" i="23"/>
  <c r="T61" i="23"/>
  <c r="U61" i="23" s="1"/>
  <c r="J61" i="23"/>
  <c r="F61" i="23"/>
  <c r="D61" i="23"/>
  <c r="I61" i="23" s="1"/>
  <c r="K61" i="23" s="1"/>
  <c r="T60" i="23"/>
  <c r="U60" i="23" s="1"/>
  <c r="J60" i="23"/>
  <c r="F60" i="23"/>
  <c r="D60" i="23"/>
  <c r="I60" i="23" s="1"/>
  <c r="K60" i="23" s="1"/>
  <c r="T59" i="23"/>
  <c r="J59" i="23"/>
  <c r="F59" i="23"/>
  <c r="T58" i="23"/>
  <c r="J58" i="23"/>
  <c r="F58" i="23"/>
  <c r="T57" i="23"/>
  <c r="R57" i="23"/>
  <c r="J57" i="23"/>
  <c r="F57" i="23"/>
  <c r="T56" i="23"/>
  <c r="J56" i="23"/>
  <c r="C56" i="23"/>
  <c r="R56" i="23" s="1"/>
  <c r="T55" i="23"/>
  <c r="R55" i="23"/>
  <c r="J55" i="23"/>
  <c r="F55" i="23"/>
  <c r="T51" i="23"/>
  <c r="R51" i="23"/>
  <c r="J51" i="23"/>
  <c r="F51" i="23"/>
  <c r="T50" i="23"/>
  <c r="U50" i="23" s="1"/>
  <c r="R50" i="23"/>
  <c r="J50" i="23"/>
  <c r="F50" i="23"/>
  <c r="T49" i="23"/>
  <c r="U49" i="23" s="1"/>
  <c r="R49" i="23"/>
  <c r="J49" i="23"/>
  <c r="F49" i="23"/>
  <c r="T48" i="23"/>
  <c r="U48" i="23" s="1"/>
  <c r="J48" i="23"/>
  <c r="F48" i="23"/>
  <c r="T47" i="23"/>
  <c r="U47" i="23" s="1"/>
  <c r="J47" i="23"/>
  <c r="F47" i="23"/>
  <c r="T46" i="23"/>
  <c r="U46" i="23" s="1"/>
  <c r="R46" i="23"/>
  <c r="J46" i="23"/>
  <c r="F46" i="23"/>
  <c r="T45" i="23"/>
  <c r="J45" i="23"/>
  <c r="C45" i="23"/>
  <c r="R45" i="23" s="1"/>
  <c r="T44" i="23"/>
  <c r="R44" i="23"/>
  <c r="J44" i="23"/>
  <c r="F44" i="23"/>
  <c r="T40" i="23"/>
  <c r="U40" i="23" s="1"/>
  <c r="R40" i="23"/>
  <c r="J40" i="23"/>
  <c r="F40" i="23"/>
  <c r="T39" i="23"/>
  <c r="R39" i="23"/>
  <c r="J39" i="23"/>
  <c r="F39" i="23"/>
  <c r="T38" i="23"/>
  <c r="U38" i="23" s="1"/>
  <c r="R38" i="23"/>
  <c r="J38" i="23"/>
  <c r="F38" i="23"/>
  <c r="T37" i="23"/>
  <c r="U37" i="23" s="1"/>
  <c r="R37" i="23"/>
  <c r="J37" i="23"/>
  <c r="F37" i="23"/>
  <c r="D37" i="23"/>
  <c r="I37" i="23" s="1"/>
  <c r="T36" i="23"/>
  <c r="U36" i="23" s="1"/>
  <c r="R36" i="23"/>
  <c r="J36" i="23"/>
  <c r="F36" i="23"/>
  <c r="D36" i="23"/>
  <c r="I36" i="23" s="1"/>
  <c r="T35" i="23"/>
  <c r="R35" i="23"/>
  <c r="J35" i="23"/>
  <c r="F35" i="23"/>
  <c r="T34" i="23"/>
  <c r="U34" i="23" s="1"/>
  <c r="R34" i="23"/>
  <c r="J34" i="23"/>
  <c r="F34" i="23"/>
  <c r="T33" i="23"/>
  <c r="U33" i="23" s="1"/>
  <c r="R33" i="23"/>
  <c r="J33" i="23"/>
  <c r="F33" i="23"/>
  <c r="T29" i="23"/>
  <c r="U29" i="23" s="1"/>
  <c r="J29" i="23"/>
  <c r="D29" i="23"/>
  <c r="I29" i="23" s="1"/>
  <c r="T28" i="23"/>
  <c r="U28" i="23" s="1"/>
  <c r="J28" i="23"/>
  <c r="D28" i="23"/>
  <c r="I28" i="23" s="1"/>
  <c r="K28" i="23" s="1"/>
  <c r="F28" i="23" s="1"/>
  <c r="T27" i="23"/>
  <c r="U27" i="23" s="1"/>
  <c r="J27" i="23"/>
  <c r="D27" i="23"/>
  <c r="I27" i="23" s="1"/>
  <c r="T26" i="23"/>
  <c r="U26" i="23" s="1"/>
  <c r="J26" i="23"/>
  <c r="D26" i="23"/>
  <c r="I26" i="23" s="1"/>
  <c r="T25" i="23"/>
  <c r="J25" i="23"/>
  <c r="D25" i="23"/>
  <c r="I25" i="23" s="1"/>
  <c r="T24" i="23"/>
  <c r="U24" i="23" s="1"/>
  <c r="I21" i="23"/>
  <c r="F24" i="23" s="1"/>
  <c r="O70" i="23"/>
  <c r="G18" i="23"/>
  <c r="B18" i="23"/>
  <c r="G16" i="23"/>
  <c r="B16" i="23"/>
  <c r="G15" i="23"/>
  <c r="B15" i="23"/>
  <c r="G14" i="23"/>
  <c r="B14" i="23"/>
  <c r="J13" i="23"/>
  <c r="G13" i="23"/>
  <c r="B13" i="23"/>
  <c r="J12" i="23"/>
  <c r="G12" i="23"/>
  <c r="B12" i="23"/>
  <c r="J11" i="23"/>
  <c r="G11" i="23"/>
  <c r="B11" i="23"/>
  <c r="J10" i="23"/>
  <c r="G10" i="23"/>
  <c r="B10" i="23"/>
  <c r="J9" i="23"/>
  <c r="G9" i="23"/>
  <c r="B9" i="23"/>
  <c r="T71" i="14"/>
  <c r="R71" i="14"/>
  <c r="J71" i="14"/>
  <c r="F71" i="14"/>
  <c r="T70" i="14"/>
  <c r="U70" i="14" s="1"/>
  <c r="R70" i="14"/>
  <c r="J70" i="14"/>
  <c r="F70" i="14"/>
  <c r="T69" i="14"/>
  <c r="U69" i="14" s="1"/>
  <c r="R69" i="14"/>
  <c r="J69" i="14"/>
  <c r="F69" i="14"/>
  <c r="T68" i="14"/>
  <c r="R68" i="14"/>
  <c r="J68" i="14"/>
  <c r="F68" i="14"/>
  <c r="G68" i="14" s="1"/>
  <c r="T64" i="14"/>
  <c r="R64" i="14"/>
  <c r="J64" i="14"/>
  <c r="F64" i="14"/>
  <c r="T63" i="14"/>
  <c r="U63" i="14" s="1"/>
  <c r="R63" i="14"/>
  <c r="J63" i="14"/>
  <c r="F63" i="14"/>
  <c r="T62" i="14"/>
  <c r="U62" i="14" s="1"/>
  <c r="R62" i="14"/>
  <c r="J62" i="14"/>
  <c r="F62" i="14"/>
  <c r="T61" i="14"/>
  <c r="U61" i="14" s="1"/>
  <c r="J61" i="14"/>
  <c r="F61" i="14"/>
  <c r="D61" i="14"/>
  <c r="I61" i="14" s="1"/>
  <c r="T60" i="14"/>
  <c r="U60" i="14" s="1"/>
  <c r="J60" i="14"/>
  <c r="F60" i="14"/>
  <c r="D60" i="14"/>
  <c r="I60" i="14" s="1"/>
  <c r="T59" i="14"/>
  <c r="J59" i="14"/>
  <c r="F59" i="14"/>
  <c r="T58" i="14"/>
  <c r="J58" i="14"/>
  <c r="F58" i="14"/>
  <c r="T57" i="14"/>
  <c r="R57" i="14"/>
  <c r="J57" i="14"/>
  <c r="F57" i="14"/>
  <c r="T56" i="14"/>
  <c r="J56" i="14"/>
  <c r="C56" i="14"/>
  <c r="R56" i="14" s="1"/>
  <c r="T55" i="14"/>
  <c r="R55" i="14"/>
  <c r="J55" i="14"/>
  <c r="F55" i="14"/>
  <c r="T51" i="14"/>
  <c r="R51" i="14"/>
  <c r="J51" i="14"/>
  <c r="F51" i="14"/>
  <c r="T50" i="14"/>
  <c r="U50" i="14" s="1"/>
  <c r="R50" i="14"/>
  <c r="J50" i="14"/>
  <c r="F50" i="14"/>
  <c r="T49" i="14"/>
  <c r="U49" i="14" s="1"/>
  <c r="R49" i="14"/>
  <c r="J49" i="14"/>
  <c r="F49" i="14"/>
  <c r="T48" i="14"/>
  <c r="U48" i="14" s="1"/>
  <c r="J48" i="14"/>
  <c r="F48" i="14"/>
  <c r="T47" i="14"/>
  <c r="U47" i="14" s="1"/>
  <c r="J47" i="14"/>
  <c r="F47" i="14"/>
  <c r="T46" i="14"/>
  <c r="U46" i="14" s="1"/>
  <c r="R46" i="14"/>
  <c r="J46" i="14"/>
  <c r="F46" i="14"/>
  <c r="T45" i="14"/>
  <c r="J45" i="14"/>
  <c r="C45" i="14"/>
  <c r="R45" i="14" s="1"/>
  <c r="T44" i="14"/>
  <c r="R44" i="14"/>
  <c r="J44" i="14"/>
  <c r="F44" i="14"/>
  <c r="T40" i="14"/>
  <c r="U40" i="14" s="1"/>
  <c r="R40" i="14"/>
  <c r="J40" i="14"/>
  <c r="F40" i="14"/>
  <c r="T39" i="14"/>
  <c r="R39" i="14"/>
  <c r="J39" i="14"/>
  <c r="F39" i="14"/>
  <c r="T38" i="14"/>
  <c r="U38" i="14" s="1"/>
  <c r="R38" i="14"/>
  <c r="J38" i="14"/>
  <c r="F38" i="14"/>
  <c r="T37" i="14"/>
  <c r="U37" i="14" s="1"/>
  <c r="R37" i="14"/>
  <c r="J37" i="14"/>
  <c r="F37" i="14"/>
  <c r="D37" i="14"/>
  <c r="I37" i="14" s="1"/>
  <c r="T36" i="14"/>
  <c r="U36" i="14" s="1"/>
  <c r="R36" i="14"/>
  <c r="J36" i="14"/>
  <c r="I36" i="14"/>
  <c r="F36" i="14"/>
  <c r="D36" i="14"/>
  <c r="T35" i="14"/>
  <c r="R35" i="14"/>
  <c r="J35" i="14"/>
  <c r="F35" i="14"/>
  <c r="T34" i="14"/>
  <c r="U34" i="14" s="1"/>
  <c r="R34" i="14"/>
  <c r="J34" i="14"/>
  <c r="F34" i="14"/>
  <c r="T33" i="14"/>
  <c r="U33" i="14" s="1"/>
  <c r="R33" i="14"/>
  <c r="J33" i="14"/>
  <c r="F33" i="14"/>
  <c r="T29" i="14"/>
  <c r="U29" i="14" s="1"/>
  <c r="J29" i="14"/>
  <c r="D29" i="14"/>
  <c r="I29" i="14" s="1"/>
  <c r="T28" i="14"/>
  <c r="U28" i="14" s="1"/>
  <c r="J28" i="14"/>
  <c r="D28" i="14"/>
  <c r="I28" i="14" s="1"/>
  <c r="T27" i="14"/>
  <c r="U27" i="14" s="1"/>
  <c r="J27" i="14"/>
  <c r="D27" i="14"/>
  <c r="I27" i="14" s="1"/>
  <c r="K27" i="14" s="1"/>
  <c r="T26" i="14"/>
  <c r="U26" i="14" s="1"/>
  <c r="J26" i="14"/>
  <c r="D26" i="14"/>
  <c r="I26" i="14" s="1"/>
  <c r="T25" i="14"/>
  <c r="J25" i="14"/>
  <c r="D25" i="14"/>
  <c r="I25" i="14" s="1"/>
  <c r="T24" i="14"/>
  <c r="U24" i="14" s="1"/>
  <c r="I21" i="14"/>
  <c r="F24" i="14" s="1"/>
  <c r="O70" i="14"/>
  <c r="G18" i="14"/>
  <c r="B18" i="14"/>
  <c r="G16" i="14"/>
  <c r="B16" i="14"/>
  <c r="G15" i="14"/>
  <c r="B15" i="14"/>
  <c r="G14" i="14"/>
  <c r="B14" i="14"/>
  <c r="J13" i="14"/>
  <c r="G13" i="14"/>
  <c r="B13" i="14"/>
  <c r="J12" i="14"/>
  <c r="G12" i="14"/>
  <c r="B12" i="14"/>
  <c r="J11" i="14"/>
  <c r="G11" i="14"/>
  <c r="B11" i="14"/>
  <c r="J10" i="14"/>
  <c r="G10" i="14"/>
  <c r="B10" i="14"/>
  <c r="J9" i="14"/>
  <c r="G9" i="14"/>
  <c r="B9" i="14"/>
  <c r="B26" i="9"/>
  <c r="H20" i="9"/>
  <c r="B20" i="9"/>
  <c r="H18" i="9"/>
  <c r="H17" i="9"/>
  <c r="H16" i="9"/>
  <c r="H15" i="9"/>
  <c r="H14" i="9"/>
  <c r="H13" i="9"/>
  <c r="H12" i="9"/>
  <c r="H11" i="9"/>
  <c r="B18" i="9"/>
  <c r="B17" i="9"/>
  <c r="B16" i="9"/>
  <c r="B15" i="9"/>
  <c r="B14" i="9"/>
  <c r="B13" i="9"/>
  <c r="B12" i="9"/>
  <c r="B11" i="9"/>
  <c r="U60" i="1"/>
  <c r="J59" i="1"/>
  <c r="J60" i="1"/>
  <c r="I59" i="1"/>
  <c r="I60" i="1"/>
  <c r="F26" i="24" l="1"/>
  <c r="G33" i="24"/>
  <c r="F26" i="25"/>
  <c r="G33" i="25"/>
  <c r="K60" i="25"/>
  <c r="F29" i="28"/>
  <c r="K60" i="28"/>
  <c r="V60" i="28" s="1"/>
  <c r="K36" i="30"/>
  <c r="V36" i="30" s="1"/>
  <c r="F26" i="32"/>
  <c r="G33" i="32"/>
  <c r="K29" i="14"/>
  <c r="K60" i="14"/>
  <c r="K61" i="14"/>
  <c r="R45" i="29"/>
  <c r="K29" i="30"/>
  <c r="F26" i="27"/>
  <c r="K60" i="1"/>
  <c r="K28" i="24"/>
  <c r="F28" i="24" s="1"/>
  <c r="K28" i="25"/>
  <c r="F28" i="25" s="1"/>
  <c r="G68" i="27"/>
  <c r="K28" i="29"/>
  <c r="K60" i="29"/>
  <c r="K61" i="29"/>
  <c r="V61" i="29" s="1"/>
  <c r="K28" i="30"/>
  <c r="F28" i="30" s="1"/>
  <c r="K60" i="30"/>
  <c r="K61" i="30"/>
  <c r="V61" i="30" s="1"/>
  <c r="G68" i="31"/>
  <c r="K28" i="32"/>
  <c r="F28" i="32" s="1"/>
  <c r="V60" i="25"/>
  <c r="F26" i="26"/>
  <c r="K26" i="29"/>
  <c r="V26" i="29" s="1"/>
  <c r="K59" i="1"/>
  <c r="G33" i="14"/>
  <c r="K26" i="23"/>
  <c r="F26" i="23" s="1"/>
  <c r="K36" i="23"/>
  <c r="G68" i="25"/>
  <c r="K28" i="26"/>
  <c r="F28" i="26" s="1"/>
  <c r="K60" i="26"/>
  <c r="V60" i="26" s="1"/>
  <c r="K61" i="26"/>
  <c r="V61" i="26" s="1"/>
  <c r="K28" i="27"/>
  <c r="F28" i="27" s="1"/>
  <c r="K27" i="28"/>
  <c r="K27" i="29"/>
  <c r="V27" i="29" s="1"/>
  <c r="K27" i="30"/>
  <c r="F27" i="30" s="1"/>
  <c r="G44" i="30"/>
  <c r="K29" i="31"/>
  <c r="K60" i="31"/>
  <c r="V60" i="31" s="1"/>
  <c r="G33" i="23"/>
  <c r="K36" i="14"/>
  <c r="N36" i="14"/>
  <c r="F27" i="14"/>
  <c r="N36" i="23"/>
  <c r="P36" i="23" s="1"/>
  <c r="K36" i="26"/>
  <c r="V36" i="26" s="1"/>
  <c r="N36" i="26"/>
  <c r="K26" i="14"/>
  <c r="F26" i="14" s="1"/>
  <c r="K27" i="23"/>
  <c r="F27" i="23" s="1"/>
  <c r="V60" i="23"/>
  <c r="V61" i="23"/>
  <c r="K27" i="24"/>
  <c r="F27" i="24" s="1"/>
  <c r="G68" i="24"/>
  <c r="K25" i="25"/>
  <c r="F25" i="25" s="1"/>
  <c r="K29" i="25"/>
  <c r="F29" i="25" s="1"/>
  <c r="K61" i="25"/>
  <c r="V61" i="25" s="1"/>
  <c r="K27" i="26"/>
  <c r="F27" i="26" s="1"/>
  <c r="K29" i="27"/>
  <c r="F29" i="27" s="1"/>
  <c r="K60" i="27"/>
  <c r="V60" i="27" s="1"/>
  <c r="K28" i="28"/>
  <c r="K61" i="28"/>
  <c r="V61" i="28" s="1"/>
  <c r="G33" i="29"/>
  <c r="G33" i="30"/>
  <c r="R45" i="30"/>
  <c r="K61" i="31"/>
  <c r="V61" i="31" s="1"/>
  <c r="K29" i="32"/>
  <c r="F29" i="32" s="1"/>
  <c r="G68" i="32"/>
  <c r="F29" i="14"/>
  <c r="K60" i="24"/>
  <c r="V60" i="24" s="1"/>
  <c r="G33" i="26"/>
  <c r="G68" i="26"/>
  <c r="K61" i="27"/>
  <c r="V61" i="27" s="1"/>
  <c r="K37" i="28"/>
  <c r="G44" i="29"/>
  <c r="F27" i="31"/>
  <c r="F28" i="31"/>
  <c r="F29" i="31"/>
  <c r="K60" i="32"/>
  <c r="V60" i="32" s="1"/>
  <c r="K61" i="32"/>
  <c r="V61" i="32" s="1"/>
  <c r="K28" i="14"/>
  <c r="F28" i="14" s="1"/>
  <c r="K25" i="23"/>
  <c r="K29" i="23"/>
  <c r="F29" i="23" s="1"/>
  <c r="G68" i="23"/>
  <c r="K29" i="24"/>
  <c r="F29" i="24" s="1"/>
  <c r="V61" i="24"/>
  <c r="K27" i="25"/>
  <c r="F27" i="25" s="1"/>
  <c r="K29" i="26"/>
  <c r="F29" i="26" s="1"/>
  <c r="K27" i="27"/>
  <c r="F27" i="27" s="1"/>
  <c r="K26" i="28"/>
  <c r="G33" i="28"/>
  <c r="K37" i="29"/>
  <c r="P37" i="29" s="1"/>
  <c r="N36" i="30"/>
  <c r="G68" i="30"/>
  <c r="K26" i="31"/>
  <c r="F26" i="31" s="1"/>
  <c r="K27" i="32"/>
  <c r="F27" i="32" s="1"/>
  <c r="K36" i="32"/>
  <c r="K25" i="24"/>
  <c r="K25" i="27"/>
  <c r="L24" i="27" s="1"/>
  <c r="L9" i="27" s="1"/>
  <c r="K25" i="29"/>
  <c r="V25" i="29" s="1"/>
  <c r="K25" i="26"/>
  <c r="K25" i="30"/>
  <c r="F25" i="30" s="1"/>
  <c r="K25" i="31"/>
  <c r="V25" i="31" s="1"/>
  <c r="K25" i="32"/>
  <c r="F25" i="32" s="1"/>
  <c r="V25" i="28"/>
  <c r="K25" i="14"/>
  <c r="V24" i="29"/>
  <c r="V24" i="28"/>
  <c r="V24" i="30"/>
  <c r="O34" i="29"/>
  <c r="V59" i="1"/>
  <c r="O38" i="29"/>
  <c r="O70" i="27"/>
  <c r="B37" i="9"/>
  <c r="D64" i="28"/>
  <c r="I64" i="28" s="1"/>
  <c r="N64" i="28" s="1"/>
  <c r="D47" i="29"/>
  <c r="I47" i="29" s="1"/>
  <c r="K47" i="29" s="1"/>
  <c r="V47" i="29" s="1"/>
  <c r="O57" i="29"/>
  <c r="D68" i="29"/>
  <c r="I68" i="29" s="1"/>
  <c r="O70" i="29"/>
  <c r="O51" i="30"/>
  <c r="D50" i="31"/>
  <c r="I50" i="31" s="1"/>
  <c r="N50" i="31" s="1"/>
  <c r="B32" i="9"/>
  <c r="B40" i="9"/>
  <c r="B44" i="9"/>
  <c r="O45" i="29"/>
  <c r="D48" i="29"/>
  <c r="I48" i="29" s="1"/>
  <c r="K48" i="29" s="1"/>
  <c r="V48" i="29" s="1"/>
  <c r="D49" i="29"/>
  <c r="I49" i="29" s="1"/>
  <c r="D63" i="29"/>
  <c r="I63" i="29" s="1"/>
  <c r="N63" i="29" s="1"/>
  <c r="O35" i="30"/>
  <c r="O57" i="30"/>
  <c r="O68" i="30"/>
  <c r="D70" i="30"/>
  <c r="I70" i="30" s="1"/>
  <c r="N70" i="30" s="1"/>
  <c r="D38" i="31"/>
  <c r="I38" i="31" s="1"/>
  <c r="N38" i="31" s="1"/>
  <c r="B27" i="9"/>
  <c r="B28" i="9" s="1"/>
  <c r="B35" i="9"/>
  <c r="B41" i="9"/>
  <c r="O36" i="28"/>
  <c r="O35" i="29"/>
  <c r="O39" i="29"/>
  <c r="D47" i="30"/>
  <c r="I47" i="30" s="1"/>
  <c r="K47" i="30" s="1"/>
  <c r="V47" i="30" s="1"/>
  <c r="D68" i="30"/>
  <c r="I68" i="30" s="1"/>
  <c r="N68" i="30" s="1"/>
  <c r="B30" i="9"/>
  <c r="B36" i="9"/>
  <c r="B42" i="9"/>
  <c r="O51" i="29"/>
  <c r="O68" i="29"/>
  <c r="O39" i="30"/>
  <c r="O45" i="30"/>
  <c r="D48" i="30"/>
  <c r="I48" i="30" s="1"/>
  <c r="K48" i="30" s="1"/>
  <c r="V48" i="30" s="1"/>
  <c r="D49" i="30"/>
  <c r="I49" i="30" s="1"/>
  <c r="D63" i="30"/>
  <c r="I63" i="30" s="1"/>
  <c r="K63" i="30" s="1"/>
  <c r="D34" i="31"/>
  <c r="I34" i="31" s="1"/>
  <c r="N34" i="31" s="1"/>
  <c r="B31" i="9"/>
  <c r="U25" i="32"/>
  <c r="U30" i="32" s="1"/>
  <c r="P36" i="32"/>
  <c r="N37" i="32"/>
  <c r="K37" i="32"/>
  <c r="V24" i="32"/>
  <c r="V26" i="32"/>
  <c r="O34" i="32"/>
  <c r="V36" i="32"/>
  <c r="O38" i="32"/>
  <c r="D40" i="32"/>
  <c r="I40" i="32" s="1"/>
  <c r="F45" i="32"/>
  <c r="G44" i="32" s="1"/>
  <c r="D46" i="32"/>
  <c r="I46" i="32" s="1"/>
  <c r="O50" i="32"/>
  <c r="O56" i="32"/>
  <c r="D58" i="32"/>
  <c r="I58" i="32" s="1"/>
  <c r="K58" i="32" s="1"/>
  <c r="V58" i="32" s="1"/>
  <c r="D59" i="32"/>
  <c r="I59" i="32" s="1"/>
  <c r="K59" i="32" s="1"/>
  <c r="V59" i="32" s="1"/>
  <c r="D62" i="32"/>
  <c r="I62" i="32" s="1"/>
  <c r="O64" i="32"/>
  <c r="D69" i="32"/>
  <c r="I69" i="32" s="1"/>
  <c r="O71" i="32"/>
  <c r="O35" i="32"/>
  <c r="O39" i="32"/>
  <c r="O45" i="32"/>
  <c r="D47" i="32"/>
  <c r="I47" i="32" s="1"/>
  <c r="K47" i="32" s="1"/>
  <c r="V47" i="32" s="1"/>
  <c r="D48" i="32"/>
  <c r="I48" i="32" s="1"/>
  <c r="K48" i="32" s="1"/>
  <c r="V48" i="32" s="1"/>
  <c r="D49" i="32"/>
  <c r="I49" i="32" s="1"/>
  <c r="O51" i="32"/>
  <c r="O57" i="32"/>
  <c r="D63" i="32"/>
  <c r="I63" i="32" s="1"/>
  <c r="U64" i="32"/>
  <c r="D68" i="32"/>
  <c r="I68" i="32" s="1"/>
  <c r="O68" i="32"/>
  <c r="D70" i="32"/>
  <c r="I70" i="32" s="1"/>
  <c r="U71" i="32"/>
  <c r="D34" i="32"/>
  <c r="I34" i="32" s="1"/>
  <c r="U35" i="32"/>
  <c r="O36" i="32"/>
  <c r="D38" i="32"/>
  <c r="I38" i="32" s="1"/>
  <c r="U39" i="32"/>
  <c r="O40" i="32"/>
  <c r="U45" i="32"/>
  <c r="O46" i="32"/>
  <c r="D50" i="32"/>
  <c r="I50" i="32" s="1"/>
  <c r="U51" i="32"/>
  <c r="D55" i="32"/>
  <c r="I55" i="32" s="1"/>
  <c r="O55" i="32"/>
  <c r="D56" i="32"/>
  <c r="I56" i="32" s="1"/>
  <c r="U57" i="32"/>
  <c r="U58" i="32"/>
  <c r="U59" i="32"/>
  <c r="O62" i="32"/>
  <c r="D64" i="32"/>
  <c r="I64" i="32" s="1"/>
  <c r="O69" i="32"/>
  <c r="D71" i="32"/>
  <c r="I71" i="32" s="1"/>
  <c r="D33" i="32"/>
  <c r="I33" i="32" s="1"/>
  <c r="O33" i="32"/>
  <c r="D35" i="32"/>
  <c r="I35" i="32" s="1"/>
  <c r="O37" i="32"/>
  <c r="D39" i="32"/>
  <c r="I39" i="32" s="1"/>
  <c r="D44" i="32"/>
  <c r="I44" i="32" s="1"/>
  <c r="O44" i="32"/>
  <c r="D45" i="32"/>
  <c r="I45" i="32" s="1"/>
  <c r="O49" i="32"/>
  <c r="D51" i="32"/>
  <c r="I51" i="32" s="1"/>
  <c r="F56" i="32"/>
  <c r="G55" i="32" s="1"/>
  <c r="D57" i="32"/>
  <c r="I57" i="32" s="1"/>
  <c r="O63" i="32"/>
  <c r="U24" i="31"/>
  <c r="V24" i="31"/>
  <c r="O70" i="31"/>
  <c r="O63" i="31"/>
  <c r="D57" i="31"/>
  <c r="I57" i="31" s="1"/>
  <c r="D51" i="31"/>
  <c r="I51" i="31" s="1"/>
  <c r="O49" i="31"/>
  <c r="D45" i="31"/>
  <c r="I45" i="31" s="1"/>
  <c r="O44" i="31"/>
  <c r="D44" i="31"/>
  <c r="I44" i="31" s="1"/>
  <c r="D39" i="31"/>
  <c r="I39" i="31" s="1"/>
  <c r="O37" i="31"/>
  <c r="Q37" i="31" s="1"/>
  <c r="D35" i="31"/>
  <c r="I35" i="31" s="1"/>
  <c r="O33" i="31"/>
  <c r="D33" i="31"/>
  <c r="I33" i="31" s="1"/>
  <c r="D71" i="31"/>
  <c r="I71" i="31" s="1"/>
  <c r="D70" i="31"/>
  <c r="I70" i="31" s="1"/>
  <c r="O68" i="31"/>
  <c r="D68" i="31"/>
  <c r="I68" i="31" s="1"/>
  <c r="D63" i="31"/>
  <c r="I63" i="31" s="1"/>
  <c r="O57" i="31"/>
  <c r="O51" i="31"/>
  <c r="D49" i="31"/>
  <c r="I49" i="31" s="1"/>
  <c r="D48" i="31"/>
  <c r="I48" i="31" s="1"/>
  <c r="K48" i="31" s="1"/>
  <c r="V48" i="31" s="1"/>
  <c r="D47" i="31"/>
  <c r="I47" i="31" s="1"/>
  <c r="K47" i="31" s="1"/>
  <c r="V47" i="31" s="1"/>
  <c r="O39" i="31"/>
  <c r="O35" i="31"/>
  <c r="O69" i="31"/>
  <c r="D64" i="31"/>
  <c r="I64" i="31" s="1"/>
  <c r="O71" i="31"/>
  <c r="D69" i="31"/>
  <c r="I69" i="31" s="1"/>
  <c r="O64" i="31"/>
  <c r="D62" i="31"/>
  <c r="I62" i="31" s="1"/>
  <c r="D59" i="31"/>
  <c r="I59" i="31" s="1"/>
  <c r="K59" i="31" s="1"/>
  <c r="V59" i="31" s="1"/>
  <c r="D58" i="31"/>
  <c r="I58" i="31" s="1"/>
  <c r="K58" i="31" s="1"/>
  <c r="V58" i="31" s="1"/>
  <c r="O50" i="31"/>
  <c r="D46" i="31"/>
  <c r="I46" i="31" s="1"/>
  <c r="D40" i="31"/>
  <c r="I40" i="31" s="1"/>
  <c r="O38" i="31"/>
  <c r="O34" i="31"/>
  <c r="V37" i="31"/>
  <c r="O40" i="31"/>
  <c r="U47" i="31"/>
  <c r="O55" i="31"/>
  <c r="D56" i="31"/>
  <c r="I56" i="31" s="1"/>
  <c r="U25" i="31"/>
  <c r="U27" i="31"/>
  <c r="V27" i="31"/>
  <c r="U29" i="31"/>
  <c r="V29" i="31"/>
  <c r="U40" i="31"/>
  <c r="U41" i="31" s="1"/>
  <c r="O36" i="31"/>
  <c r="U46" i="31"/>
  <c r="D55" i="31"/>
  <c r="I55" i="31" s="1"/>
  <c r="O62" i="31"/>
  <c r="U26" i="31"/>
  <c r="U28" i="31"/>
  <c r="V28" i="31"/>
  <c r="N36" i="31"/>
  <c r="K36" i="31"/>
  <c r="V36" i="31" s="1"/>
  <c r="U36" i="31"/>
  <c r="N37" i="31"/>
  <c r="P37" i="31" s="1"/>
  <c r="O45" i="31"/>
  <c r="R45" i="31"/>
  <c r="F45" i="31"/>
  <c r="G44" i="31" s="1"/>
  <c r="O46" i="31"/>
  <c r="U48" i="31"/>
  <c r="U62" i="31"/>
  <c r="O56" i="31"/>
  <c r="F56" i="31"/>
  <c r="G55" i="31" s="1"/>
  <c r="F25" i="28"/>
  <c r="V26" i="28"/>
  <c r="F26" i="28"/>
  <c r="U30" i="28"/>
  <c r="F28" i="28"/>
  <c r="F27" i="28"/>
  <c r="V27" i="28"/>
  <c r="U46" i="28"/>
  <c r="D70" i="28"/>
  <c r="I70" i="28" s="1"/>
  <c r="O63" i="28"/>
  <c r="D57" i="28"/>
  <c r="I57" i="28" s="1"/>
  <c r="D51" i="28"/>
  <c r="I51" i="28" s="1"/>
  <c r="O49" i="28"/>
  <c r="D45" i="28"/>
  <c r="I45" i="28" s="1"/>
  <c r="O44" i="28"/>
  <c r="D44" i="28"/>
  <c r="I44" i="28" s="1"/>
  <c r="D39" i="28"/>
  <c r="I39" i="28" s="1"/>
  <c r="O37" i="28"/>
  <c r="Q37" i="28" s="1"/>
  <c r="D35" i="28"/>
  <c r="I35" i="28" s="1"/>
  <c r="O33" i="28"/>
  <c r="D33" i="28"/>
  <c r="I33" i="28" s="1"/>
  <c r="O70" i="28"/>
  <c r="O68" i="28"/>
  <c r="D68" i="28"/>
  <c r="I68" i="28" s="1"/>
  <c r="D63" i="28"/>
  <c r="I63" i="28" s="1"/>
  <c r="O57" i="28"/>
  <c r="O51" i="28"/>
  <c r="D49" i="28"/>
  <c r="I49" i="28" s="1"/>
  <c r="D48" i="28"/>
  <c r="I48" i="28" s="1"/>
  <c r="K48" i="28" s="1"/>
  <c r="V48" i="28" s="1"/>
  <c r="D47" i="28"/>
  <c r="I47" i="28" s="1"/>
  <c r="K47" i="28" s="1"/>
  <c r="V47" i="28" s="1"/>
  <c r="O39" i="28"/>
  <c r="O35" i="28"/>
  <c r="O71" i="28"/>
  <c r="D69" i="28"/>
  <c r="I69" i="28" s="1"/>
  <c r="O64" i="28"/>
  <c r="D62" i="28"/>
  <c r="I62" i="28" s="1"/>
  <c r="D59" i="28"/>
  <c r="I59" i="28" s="1"/>
  <c r="K59" i="28" s="1"/>
  <c r="V59" i="28" s="1"/>
  <c r="D58" i="28"/>
  <c r="I58" i="28" s="1"/>
  <c r="K58" i="28" s="1"/>
  <c r="V58" i="28" s="1"/>
  <c r="O56" i="28"/>
  <c r="O50" i="28"/>
  <c r="D46" i="28"/>
  <c r="I46" i="28" s="1"/>
  <c r="D34" i="28"/>
  <c r="I34" i="28" s="1"/>
  <c r="O38" i="28"/>
  <c r="D40" i="28"/>
  <c r="I40" i="28" s="1"/>
  <c r="O45" i="28"/>
  <c r="R45" i="28"/>
  <c r="F45" i="28"/>
  <c r="G44" i="28" s="1"/>
  <c r="O46" i="28"/>
  <c r="U48" i="28"/>
  <c r="O55" i="28"/>
  <c r="D56" i="28"/>
  <c r="I56" i="28" s="1"/>
  <c r="K70" i="29"/>
  <c r="V70" i="29" s="1"/>
  <c r="N70" i="29"/>
  <c r="F28" i="29"/>
  <c r="V28" i="29"/>
  <c r="V29" i="28"/>
  <c r="O34" i="28"/>
  <c r="K36" i="28"/>
  <c r="O40" i="28"/>
  <c r="U47" i="28"/>
  <c r="D55" i="28"/>
  <c r="I55" i="28" s="1"/>
  <c r="O62" i="28"/>
  <c r="O69" i="28"/>
  <c r="K71" i="28"/>
  <c r="F29" i="29"/>
  <c r="V29" i="29"/>
  <c r="R56" i="29"/>
  <c r="F56" i="29"/>
  <c r="G55" i="29" s="1"/>
  <c r="O56" i="29"/>
  <c r="F26" i="29"/>
  <c r="V36" i="29"/>
  <c r="U41" i="28"/>
  <c r="V37" i="28"/>
  <c r="P37" i="28"/>
  <c r="D38" i="28"/>
  <c r="I38" i="28" s="1"/>
  <c r="D50" i="28"/>
  <c r="I50" i="28" s="1"/>
  <c r="U62" i="28"/>
  <c r="U69" i="28"/>
  <c r="U59" i="29"/>
  <c r="V60" i="29"/>
  <c r="U60" i="29"/>
  <c r="U61" i="29"/>
  <c r="N36" i="29"/>
  <c r="P36" i="29" s="1"/>
  <c r="U39" i="29"/>
  <c r="U57" i="29"/>
  <c r="G68" i="29"/>
  <c r="F26" i="30"/>
  <c r="V26" i="30"/>
  <c r="V28" i="30"/>
  <c r="F29" i="30"/>
  <c r="V29" i="30"/>
  <c r="U35" i="30"/>
  <c r="U70" i="28"/>
  <c r="U45" i="29"/>
  <c r="U51" i="29"/>
  <c r="N49" i="30"/>
  <c r="K49" i="30"/>
  <c r="F56" i="28"/>
  <c r="G55" i="28" s="1"/>
  <c r="U25" i="29"/>
  <c r="U30" i="29" s="1"/>
  <c r="U35" i="29"/>
  <c r="U58" i="29"/>
  <c r="K68" i="29"/>
  <c r="U68" i="29" s="1"/>
  <c r="U72" i="29" s="1"/>
  <c r="N68" i="29"/>
  <c r="U30" i="30"/>
  <c r="U45" i="30"/>
  <c r="U51" i="30"/>
  <c r="D40" i="29"/>
  <c r="I40" i="29" s="1"/>
  <c r="D46" i="29"/>
  <c r="I46" i="29" s="1"/>
  <c r="O50" i="29"/>
  <c r="D58" i="29"/>
  <c r="I58" i="29" s="1"/>
  <c r="K58" i="29" s="1"/>
  <c r="V58" i="29" s="1"/>
  <c r="D59" i="29"/>
  <c r="I59" i="29" s="1"/>
  <c r="K59" i="29" s="1"/>
  <c r="V59" i="29" s="1"/>
  <c r="D62" i="29"/>
  <c r="I62" i="29" s="1"/>
  <c r="O64" i="29"/>
  <c r="D69" i="29"/>
  <c r="I69" i="29" s="1"/>
  <c r="O71" i="29"/>
  <c r="U39" i="30"/>
  <c r="U57" i="30"/>
  <c r="D34" i="29"/>
  <c r="I34" i="29" s="1"/>
  <c r="O36" i="29"/>
  <c r="Q36" i="29" s="1"/>
  <c r="D38" i="29"/>
  <c r="I38" i="29" s="1"/>
  <c r="O40" i="29"/>
  <c r="O46" i="29"/>
  <c r="D50" i="29"/>
  <c r="I50" i="29" s="1"/>
  <c r="D55" i="29"/>
  <c r="I55" i="29" s="1"/>
  <c r="O55" i="29"/>
  <c r="D56" i="29"/>
  <c r="I56" i="29" s="1"/>
  <c r="O62" i="29"/>
  <c r="D64" i="29"/>
  <c r="I64" i="29" s="1"/>
  <c r="O69" i="29"/>
  <c r="D71" i="29"/>
  <c r="I71" i="29" s="1"/>
  <c r="R56" i="30"/>
  <c r="F56" i="30"/>
  <c r="G55" i="30" s="1"/>
  <c r="O56" i="30"/>
  <c r="U59" i="30"/>
  <c r="V60" i="30"/>
  <c r="U60" i="30"/>
  <c r="U61" i="30"/>
  <c r="D33" i="29"/>
  <c r="I33" i="29" s="1"/>
  <c r="O33" i="29"/>
  <c r="D35" i="29"/>
  <c r="I35" i="29" s="1"/>
  <c r="O37" i="29"/>
  <c r="D39" i="29"/>
  <c r="I39" i="29" s="1"/>
  <c r="D44" i="29"/>
  <c r="I44" i="29" s="1"/>
  <c r="O44" i="29"/>
  <c r="D45" i="29"/>
  <c r="I45" i="29" s="1"/>
  <c r="O49" i="29"/>
  <c r="D51" i="29"/>
  <c r="I51" i="29" s="1"/>
  <c r="D57" i="29"/>
  <c r="I57" i="29" s="1"/>
  <c r="O63" i="29"/>
  <c r="K37" i="30"/>
  <c r="U58" i="30"/>
  <c r="O34" i="30"/>
  <c r="O38" i="30"/>
  <c r="D40" i="30"/>
  <c r="I40" i="30" s="1"/>
  <c r="D46" i="30"/>
  <c r="I46" i="30" s="1"/>
  <c r="O50" i="30"/>
  <c r="D58" i="30"/>
  <c r="I58" i="30" s="1"/>
  <c r="K58" i="30" s="1"/>
  <c r="V58" i="30" s="1"/>
  <c r="D59" i="30"/>
  <c r="I59" i="30" s="1"/>
  <c r="K59" i="30" s="1"/>
  <c r="V59" i="30" s="1"/>
  <c r="D62" i="30"/>
  <c r="I62" i="30" s="1"/>
  <c r="O64" i="30"/>
  <c r="D69" i="30"/>
  <c r="I69" i="30" s="1"/>
  <c r="O71" i="30"/>
  <c r="D34" i="30"/>
  <c r="I34" i="30" s="1"/>
  <c r="O36" i="30"/>
  <c r="Q36" i="30" s="1"/>
  <c r="D38" i="30"/>
  <c r="I38" i="30" s="1"/>
  <c r="O40" i="30"/>
  <c r="O46" i="30"/>
  <c r="D50" i="30"/>
  <c r="I50" i="30" s="1"/>
  <c r="D55" i="30"/>
  <c r="I55" i="30" s="1"/>
  <c r="O55" i="30"/>
  <c r="D56" i="30"/>
  <c r="I56" i="30" s="1"/>
  <c r="O62" i="30"/>
  <c r="D64" i="30"/>
  <c r="I64" i="30" s="1"/>
  <c r="O69" i="30"/>
  <c r="D71" i="30"/>
  <c r="I71" i="30" s="1"/>
  <c r="D33" i="30"/>
  <c r="I33" i="30" s="1"/>
  <c r="O33" i="30"/>
  <c r="D35" i="30"/>
  <c r="I35" i="30" s="1"/>
  <c r="O37" i="30"/>
  <c r="D39" i="30"/>
  <c r="I39" i="30" s="1"/>
  <c r="D44" i="30"/>
  <c r="I44" i="30" s="1"/>
  <c r="O44" i="30"/>
  <c r="D45" i="30"/>
  <c r="I45" i="30" s="1"/>
  <c r="O49" i="30"/>
  <c r="D51" i="30"/>
  <c r="I51" i="30" s="1"/>
  <c r="D57" i="30"/>
  <c r="I57" i="30" s="1"/>
  <c r="O63" i="30"/>
  <c r="U25" i="27"/>
  <c r="U30" i="27" s="1"/>
  <c r="N37" i="27"/>
  <c r="K37" i="27"/>
  <c r="V24" i="27"/>
  <c r="V26" i="27"/>
  <c r="V27" i="27"/>
  <c r="V29" i="27"/>
  <c r="O34" i="27"/>
  <c r="K36" i="27"/>
  <c r="V36" i="27" s="1"/>
  <c r="O38" i="27"/>
  <c r="D40" i="27"/>
  <c r="I40" i="27" s="1"/>
  <c r="F45" i="27"/>
  <c r="G44" i="27" s="1"/>
  <c r="D46" i="27"/>
  <c r="I46" i="27" s="1"/>
  <c r="O50" i="27"/>
  <c r="O56" i="27"/>
  <c r="D58" i="27"/>
  <c r="I58" i="27" s="1"/>
  <c r="K58" i="27" s="1"/>
  <c r="V58" i="27" s="1"/>
  <c r="D59" i="27"/>
  <c r="I59" i="27" s="1"/>
  <c r="K59" i="27" s="1"/>
  <c r="V59" i="27" s="1"/>
  <c r="D62" i="27"/>
  <c r="I62" i="27" s="1"/>
  <c r="U63" i="27"/>
  <c r="O64" i="27"/>
  <c r="D69" i="27"/>
  <c r="I69" i="27" s="1"/>
  <c r="O71" i="27"/>
  <c r="O35" i="27"/>
  <c r="O39" i="27"/>
  <c r="O45" i="27"/>
  <c r="D47" i="27"/>
  <c r="I47" i="27" s="1"/>
  <c r="K47" i="27" s="1"/>
  <c r="V47" i="27" s="1"/>
  <c r="D48" i="27"/>
  <c r="I48" i="27" s="1"/>
  <c r="K48" i="27" s="1"/>
  <c r="V48" i="27" s="1"/>
  <c r="D49" i="27"/>
  <c r="I49" i="27" s="1"/>
  <c r="O51" i="27"/>
  <c r="O57" i="27"/>
  <c r="D63" i="27"/>
  <c r="I63" i="27" s="1"/>
  <c r="U64" i="27"/>
  <c r="D68" i="27"/>
  <c r="I68" i="27" s="1"/>
  <c r="O68" i="27"/>
  <c r="D70" i="27"/>
  <c r="I70" i="27" s="1"/>
  <c r="U71" i="27"/>
  <c r="D34" i="27"/>
  <c r="I34" i="27" s="1"/>
  <c r="O36" i="27"/>
  <c r="D38" i="27"/>
  <c r="I38" i="27" s="1"/>
  <c r="U39" i="27"/>
  <c r="U41" i="27" s="1"/>
  <c r="O40" i="27"/>
  <c r="U45" i="27"/>
  <c r="O46" i="27"/>
  <c r="D50" i="27"/>
  <c r="I50" i="27" s="1"/>
  <c r="U51" i="27"/>
  <c r="D55" i="27"/>
  <c r="I55" i="27" s="1"/>
  <c r="O55" i="27"/>
  <c r="D56" i="27"/>
  <c r="I56" i="27" s="1"/>
  <c r="U57" i="27"/>
  <c r="U58" i="27"/>
  <c r="O62" i="27"/>
  <c r="D64" i="27"/>
  <c r="I64" i="27" s="1"/>
  <c r="O69" i="27"/>
  <c r="D71" i="27"/>
  <c r="I71" i="27" s="1"/>
  <c r="D33" i="27"/>
  <c r="I33" i="27" s="1"/>
  <c r="O33" i="27"/>
  <c r="D35" i="27"/>
  <c r="I35" i="27" s="1"/>
  <c r="O37" i="27"/>
  <c r="D39" i="27"/>
  <c r="I39" i="27" s="1"/>
  <c r="D44" i="27"/>
  <c r="I44" i="27" s="1"/>
  <c r="O44" i="27"/>
  <c r="D45" i="27"/>
  <c r="I45" i="27" s="1"/>
  <c r="O49" i="27"/>
  <c r="D51" i="27"/>
  <c r="I51" i="27" s="1"/>
  <c r="F56" i="27"/>
  <c r="G55" i="27" s="1"/>
  <c r="D57" i="27"/>
  <c r="I57" i="27" s="1"/>
  <c r="O63" i="27"/>
  <c r="U25" i="26"/>
  <c r="U30" i="26" s="1"/>
  <c r="F25" i="26"/>
  <c r="L24" i="26"/>
  <c r="L9" i="26" s="1"/>
  <c r="N37" i="26"/>
  <c r="K37" i="26"/>
  <c r="V24" i="26"/>
  <c r="V25" i="26"/>
  <c r="V26" i="26"/>
  <c r="V28" i="26"/>
  <c r="V29" i="26"/>
  <c r="O34" i="26"/>
  <c r="O38" i="26"/>
  <c r="D40" i="26"/>
  <c r="I40" i="26" s="1"/>
  <c r="F45" i="26"/>
  <c r="G44" i="26" s="1"/>
  <c r="D46" i="26"/>
  <c r="I46" i="26" s="1"/>
  <c r="O50" i="26"/>
  <c r="O56" i="26"/>
  <c r="D58" i="26"/>
  <c r="I58" i="26" s="1"/>
  <c r="K58" i="26" s="1"/>
  <c r="V58" i="26" s="1"/>
  <c r="D59" i="26"/>
  <c r="I59" i="26" s="1"/>
  <c r="K59" i="26" s="1"/>
  <c r="V59" i="26" s="1"/>
  <c r="D62" i="26"/>
  <c r="I62" i="26" s="1"/>
  <c r="O64" i="26"/>
  <c r="D69" i="26"/>
  <c r="I69" i="26" s="1"/>
  <c r="O71" i="26"/>
  <c r="O35" i="26"/>
  <c r="O39" i="26"/>
  <c r="O45" i="26"/>
  <c r="D47" i="26"/>
  <c r="I47" i="26" s="1"/>
  <c r="K47" i="26" s="1"/>
  <c r="V47" i="26" s="1"/>
  <c r="D48" i="26"/>
  <c r="I48" i="26" s="1"/>
  <c r="K48" i="26" s="1"/>
  <c r="V48" i="26" s="1"/>
  <c r="D49" i="26"/>
  <c r="I49" i="26" s="1"/>
  <c r="O51" i="26"/>
  <c r="O57" i="26"/>
  <c r="D63" i="26"/>
  <c r="I63" i="26" s="1"/>
  <c r="U64" i="26"/>
  <c r="D68" i="26"/>
  <c r="I68" i="26" s="1"/>
  <c r="O68" i="26"/>
  <c r="D70" i="26"/>
  <c r="I70" i="26" s="1"/>
  <c r="U71" i="26"/>
  <c r="D34" i="26"/>
  <c r="I34" i="26" s="1"/>
  <c r="U35" i="26"/>
  <c r="O36" i="26"/>
  <c r="D38" i="26"/>
  <c r="I38" i="26" s="1"/>
  <c r="U39" i="26"/>
  <c r="O40" i="26"/>
  <c r="U45" i="26"/>
  <c r="O46" i="26"/>
  <c r="D50" i="26"/>
  <c r="I50" i="26" s="1"/>
  <c r="U51" i="26"/>
  <c r="D55" i="26"/>
  <c r="I55" i="26" s="1"/>
  <c r="O55" i="26"/>
  <c r="D56" i="26"/>
  <c r="I56" i="26" s="1"/>
  <c r="U57" i="26"/>
  <c r="U58" i="26"/>
  <c r="U59" i="26"/>
  <c r="O62" i="26"/>
  <c r="D64" i="26"/>
  <c r="I64" i="26" s="1"/>
  <c r="O69" i="26"/>
  <c r="D71" i="26"/>
  <c r="I71" i="26" s="1"/>
  <c r="D33" i="26"/>
  <c r="I33" i="26" s="1"/>
  <c r="O33" i="26"/>
  <c r="D35" i="26"/>
  <c r="I35" i="26" s="1"/>
  <c r="O37" i="26"/>
  <c r="D39" i="26"/>
  <c r="I39" i="26" s="1"/>
  <c r="D44" i="26"/>
  <c r="I44" i="26" s="1"/>
  <c r="O44" i="26"/>
  <c r="D45" i="26"/>
  <c r="I45" i="26" s="1"/>
  <c r="O49" i="26"/>
  <c r="D51" i="26"/>
  <c r="I51" i="26" s="1"/>
  <c r="F56" i="26"/>
  <c r="G55" i="26" s="1"/>
  <c r="D57" i="26"/>
  <c r="I57" i="26" s="1"/>
  <c r="O63" i="26"/>
  <c r="N37" i="25"/>
  <c r="K37" i="25"/>
  <c r="U25" i="25"/>
  <c r="U30" i="25" s="1"/>
  <c r="V24" i="25"/>
  <c r="V26" i="25"/>
  <c r="V29" i="25"/>
  <c r="O34" i="25"/>
  <c r="K36" i="25"/>
  <c r="O38" i="25"/>
  <c r="D40" i="25"/>
  <c r="I40" i="25" s="1"/>
  <c r="F45" i="25"/>
  <c r="G44" i="25" s="1"/>
  <c r="D46" i="25"/>
  <c r="I46" i="25" s="1"/>
  <c r="O50" i="25"/>
  <c r="O56" i="25"/>
  <c r="D58" i="25"/>
  <c r="I58" i="25" s="1"/>
  <c r="K58" i="25" s="1"/>
  <c r="V58" i="25" s="1"/>
  <c r="D59" i="25"/>
  <c r="I59" i="25" s="1"/>
  <c r="K59" i="25" s="1"/>
  <c r="V59" i="25" s="1"/>
  <c r="D62" i="25"/>
  <c r="I62" i="25" s="1"/>
  <c r="O64" i="25"/>
  <c r="D69" i="25"/>
  <c r="I69" i="25" s="1"/>
  <c r="O71" i="25"/>
  <c r="O35" i="25"/>
  <c r="O39" i="25"/>
  <c r="O45" i="25"/>
  <c r="D47" i="25"/>
  <c r="I47" i="25" s="1"/>
  <c r="K47" i="25" s="1"/>
  <c r="V47" i="25" s="1"/>
  <c r="D48" i="25"/>
  <c r="I48" i="25" s="1"/>
  <c r="K48" i="25" s="1"/>
  <c r="V48" i="25" s="1"/>
  <c r="D49" i="25"/>
  <c r="I49" i="25" s="1"/>
  <c r="U50" i="25"/>
  <c r="O51" i="25"/>
  <c r="O57" i="25"/>
  <c r="D63" i="25"/>
  <c r="I63" i="25" s="1"/>
  <c r="U64" i="25"/>
  <c r="D68" i="25"/>
  <c r="I68" i="25" s="1"/>
  <c r="O68" i="25"/>
  <c r="D70" i="25"/>
  <c r="I70" i="25" s="1"/>
  <c r="U71" i="25"/>
  <c r="D34" i="25"/>
  <c r="I34" i="25" s="1"/>
  <c r="U35" i="25"/>
  <c r="O36" i="25"/>
  <c r="D38" i="25"/>
  <c r="I38" i="25" s="1"/>
  <c r="U39" i="25"/>
  <c r="O40" i="25"/>
  <c r="U45" i="25"/>
  <c r="O46" i="25"/>
  <c r="D50" i="25"/>
  <c r="I50" i="25" s="1"/>
  <c r="U51" i="25"/>
  <c r="D55" i="25"/>
  <c r="I55" i="25" s="1"/>
  <c r="O55" i="25"/>
  <c r="D56" i="25"/>
  <c r="I56" i="25" s="1"/>
  <c r="U57" i="25"/>
  <c r="O62" i="25"/>
  <c r="D64" i="25"/>
  <c r="I64" i="25" s="1"/>
  <c r="O69" i="25"/>
  <c r="D71" i="25"/>
  <c r="I71" i="25" s="1"/>
  <c r="D33" i="25"/>
  <c r="I33" i="25" s="1"/>
  <c r="O33" i="25"/>
  <c r="D35" i="25"/>
  <c r="I35" i="25" s="1"/>
  <c r="O37" i="25"/>
  <c r="D39" i="25"/>
  <c r="I39" i="25" s="1"/>
  <c r="D44" i="25"/>
  <c r="I44" i="25" s="1"/>
  <c r="O44" i="25"/>
  <c r="D45" i="25"/>
  <c r="I45" i="25" s="1"/>
  <c r="O49" i="25"/>
  <c r="D51" i="25"/>
  <c r="I51" i="25" s="1"/>
  <c r="F56" i="25"/>
  <c r="G55" i="25" s="1"/>
  <c r="D57" i="25"/>
  <c r="I57" i="25" s="1"/>
  <c r="O63" i="25"/>
  <c r="U30" i="24"/>
  <c r="F25" i="24"/>
  <c r="N37" i="24"/>
  <c r="K37" i="24"/>
  <c r="V24" i="24"/>
  <c r="V26" i="24"/>
  <c r="V28" i="24"/>
  <c r="V29" i="24"/>
  <c r="O34" i="24"/>
  <c r="K36" i="24"/>
  <c r="V36" i="24"/>
  <c r="O38" i="24"/>
  <c r="D40" i="24"/>
  <c r="I40" i="24" s="1"/>
  <c r="F45" i="24"/>
  <c r="G44" i="24" s="1"/>
  <c r="D46" i="24"/>
  <c r="I46" i="24" s="1"/>
  <c r="O50" i="24"/>
  <c r="O56" i="24"/>
  <c r="D58" i="24"/>
  <c r="I58" i="24" s="1"/>
  <c r="K58" i="24" s="1"/>
  <c r="V58" i="24" s="1"/>
  <c r="D59" i="24"/>
  <c r="I59" i="24" s="1"/>
  <c r="K59" i="24" s="1"/>
  <c r="V59" i="24" s="1"/>
  <c r="D62" i="24"/>
  <c r="I62" i="24" s="1"/>
  <c r="O64" i="24"/>
  <c r="D69" i="24"/>
  <c r="I69" i="24" s="1"/>
  <c r="O71" i="24"/>
  <c r="O35" i="24"/>
  <c r="O39" i="24"/>
  <c r="O45" i="24"/>
  <c r="D47" i="24"/>
  <c r="I47" i="24" s="1"/>
  <c r="K47" i="24" s="1"/>
  <c r="V47" i="24" s="1"/>
  <c r="D48" i="24"/>
  <c r="I48" i="24" s="1"/>
  <c r="K48" i="24" s="1"/>
  <c r="V48" i="24" s="1"/>
  <c r="D49" i="24"/>
  <c r="I49" i="24" s="1"/>
  <c r="O51" i="24"/>
  <c r="O57" i="24"/>
  <c r="D63" i="24"/>
  <c r="I63" i="24" s="1"/>
  <c r="U64" i="24"/>
  <c r="D68" i="24"/>
  <c r="I68" i="24" s="1"/>
  <c r="O68" i="24"/>
  <c r="D70" i="24"/>
  <c r="I70" i="24" s="1"/>
  <c r="U71" i="24"/>
  <c r="D34" i="24"/>
  <c r="I34" i="24" s="1"/>
  <c r="U35" i="24"/>
  <c r="O36" i="24"/>
  <c r="D38" i="24"/>
  <c r="I38" i="24" s="1"/>
  <c r="U39" i="24"/>
  <c r="O40" i="24"/>
  <c r="U45" i="24"/>
  <c r="O46" i="24"/>
  <c r="D50" i="24"/>
  <c r="I50" i="24" s="1"/>
  <c r="U51" i="24"/>
  <c r="D55" i="24"/>
  <c r="I55" i="24" s="1"/>
  <c r="O55" i="24"/>
  <c r="D56" i="24"/>
  <c r="I56" i="24" s="1"/>
  <c r="U57" i="24"/>
  <c r="U58" i="24"/>
  <c r="U59" i="24"/>
  <c r="O62" i="24"/>
  <c r="D64" i="24"/>
  <c r="I64" i="24" s="1"/>
  <c r="O69" i="24"/>
  <c r="D71" i="24"/>
  <c r="I71" i="24" s="1"/>
  <c r="D33" i="24"/>
  <c r="I33" i="24" s="1"/>
  <c r="O33" i="24"/>
  <c r="D35" i="24"/>
  <c r="I35" i="24" s="1"/>
  <c r="O37" i="24"/>
  <c r="D39" i="24"/>
  <c r="I39" i="24" s="1"/>
  <c r="D44" i="24"/>
  <c r="I44" i="24" s="1"/>
  <c r="O44" i="24"/>
  <c r="D45" i="24"/>
  <c r="I45" i="24" s="1"/>
  <c r="O49" i="24"/>
  <c r="D51" i="24"/>
  <c r="I51" i="24" s="1"/>
  <c r="F56" i="24"/>
  <c r="G55" i="24" s="1"/>
  <c r="D57" i="24"/>
  <c r="I57" i="24" s="1"/>
  <c r="O63" i="24"/>
  <c r="U25" i="23"/>
  <c r="U30" i="23" s="1"/>
  <c r="F25" i="23"/>
  <c r="G24" i="23" s="1"/>
  <c r="N37" i="23"/>
  <c r="K37" i="23"/>
  <c r="V24" i="23"/>
  <c r="V25" i="23"/>
  <c r="V28" i="23"/>
  <c r="O34" i="23"/>
  <c r="V36" i="23"/>
  <c r="O38" i="23"/>
  <c r="D40" i="23"/>
  <c r="I40" i="23" s="1"/>
  <c r="F45" i="23"/>
  <c r="G44" i="23" s="1"/>
  <c r="D46" i="23"/>
  <c r="I46" i="23" s="1"/>
  <c r="O50" i="23"/>
  <c r="O56" i="23"/>
  <c r="D58" i="23"/>
  <c r="I58" i="23" s="1"/>
  <c r="K58" i="23" s="1"/>
  <c r="V58" i="23" s="1"/>
  <c r="D59" i="23"/>
  <c r="I59" i="23" s="1"/>
  <c r="K59" i="23" s="1"/>
  <c r="V59" i="23" s="1"/>
  <c r="D62" i="23"/>
  <c r="I62" i="23" s="1"/>
  <c r="U63" i="23"/>
  <c r="O64" i="23"/>
  <c r="D69" i="23"/>
  <c r="I69" i="23" s="1"/>
  <c r="O71" i="23"/>
  <c r="O35" i="23"/>
  <c r="O39" i="23"/>
  <c r="O45" i="23"/>
  <c r="D47" i="23"/>
  <c r="I47" i="23" s="1"/>
  <c r="K47" i="23" s="1"/>
  <c r="V47" i="23" s="1"/>
  <c r="D48" i="23"/>
  <c r="I48" i="23" s="1"/>
  <c r="K48" i="23" s="1"/>
  <c r="V48" i="23" s="1"/>
  <c r="D49" i="23"/>
  <c r="I49" i="23" s="1"/>
  <c r="O51" i="23"/>
  <c r="O57" i="23"/>
  <c r="D63" i="23"/>
  <c r="I63" i="23" s="1"/>
  <c r="U64" i="23"/>
  <c r="D68" i="23"/>
  <c r="I68" i="23" s="1"/>
  <c r="O68" i="23"/>
  <c r="D70" i="23"/>
  <c r="I70" i="23" s="1"/>
  <c r="U71" i="23"/>
  <c r="D34" i="23"/>
  <c r="I34" i="23" s="1"/>
  <c r="U35" i="23"/>
  <c r="O36" i="23"/>
  <c r="D38" i="23"/>
  <c r="I38" i="23" s="1"/>
  <c r="U39" i="23"/>
  <c r="O40" i="23"/>
  <c r="U45" i="23"/>
  <c r="O46" i="23"/>
  <c r="D50" i="23"/>
  <c r="I50" i="23" s="1"/>
  <c r="U51" i="23"/>
  <c r="D55" i="23"/>
  <c r="I55" i="23" s="1"/>
  <c r="O55" i="23"/>
  <c r="D56" i="23"/>
  <c r="I56" i="23" s="1"/>
  <c r="U57" i="23"/>
  <c r="U58" i="23"/>
  <c r="U59" i="23"/>
  <c r="O62" i="23"/>
  <c r="D64" i="23"/>
  <c r="I64" i="23" s="1"/>
  <c r="O69" i="23"/>
  <c r="D71" i="23"/>
  <c r="I71" i="23" s="1"/>
  <c r="D33" i="23"/>
  <c r="I33" i="23" s="1"/>
  <c r="O33" i="23"/>
  <c r="D35" i="23"/>
  <c r="I35" i="23" s="1"/>
  <c r="O37" i="23"/>
  <c r="D39" i="23"/>
  <c r="I39" i="23" s="1"/>
  <c r="D44" i="23"/>
  <c r="I44" i="23" s="1"/>
  <c r="O44" i="23"/>
  <c r="D45" i="23"/>
  <c r="I45" i="23" s="1"/>
  <c r="O49" i="23"/>
  <c r="D51" i="23"/>
  <c r="I51" i="23" s="1"/>
  <c r="F56" i="23"/>
  <c r="G55" i="23" s="1"/>
  <c r="D57" i="23"/>
  <c r="I57" i="23" s="1"/>
  <c r="O63" i="23"/>
  <c r="V60" i="14"/>
  <c r="V61" i="14"/>
  <c r="F25" i="14"/>
  <c r="N37" i="14"/>
  <c r="K37" i="14"/>
  <c r="U25" i="14"/>
  <c r="U30" i="14" s="1"/>
  <c r="V24" i="14"/>
  <c r="V25" i="14"/>
  <c r="V27" i="14"/>
  <c r="V28" i="14"/>
  <c r="V29" i="14"/>
  <c r="O34" i="14"/>
  <c r="O38" i="14"/>
  <c r="D40" i="14"/>
  <c r="I40" i="14" s="1"/>
  <c r="F45" i="14"/>
  <c r="G44" i="14" s="1"/>
  <c r="D46" i="14"/>
  <c r="I46" i="14" s="1"/>
  <c r="O50" i="14"/>
  <c r="O56" i="14"/>
  <c r="D58" i="14"/>
  <c r="I58" i="14" s="1"/>
  <c r="K58" i="14" s="1"/>
  <c r="V58" i="14" s="1"/>
  <c r="D59" i="14"/>
  <c r="I59" i="14" s="1"/>
  <c r="K59" i="14" s="1"/>
  <c r="V59" i="14" s="1"/>
  <c r="D62" i="14"/>
  <c r="I62" i="14" s="1"/>
  <c r="O64" i="14"/>
  <c r="D69" i="14"/>
  <c r="I69" i="14" s="1"/>
  <c r="O71" i="14"/>
  <c r="O35" i="14"/>
  <c r="O39" i="14"/>
  <c r="O45" i="14"/>
  <c r="D47" i="14"/>
  <c r="I47" i="14" s="1"/>
  <c r="K47" i="14" s="1"/>
  <c r="V47" i="14" s="1"/>
  <c r="D48" i="14"/>
  <c r="I48" i="14" s="1"/>
  <c r="K48" i="14" s="1"/>
  <c r="V48" i="14" s="1"/>
  <c r="D49" i="14"/>
  <c r="I49" i="14" s="1"/>
  <c r="O51" i="14"/>
  <c r="O57" i="14"/>
  <c r="D63" i="14"/>
  <c r="I63" i="14" s="1"/>
  <c r="U64" i="14"/>
  <c r="D68" i="14"/>
  <c r="I68" i="14" s="1"/>
  <c r="O68" i="14"/>
  <c r="D70" i="14"/>
  <c r="I70" i="14" s="1"/>
  <c r="U71" i="14"/>
  <c r="D34" i="14"/>
  <c r="I34" i="14" s="1"/>
  <c r="U35" i="14"/>
  <c r="O36" i="14"/>
  <c r="Q36" i="14" s="1"/>
  <c r="D38" i="14"/>
  <c r="I38" i="14" s="1"/>
  <c r="U39" i="14"/>
  <c r="O40" i="14"/>
  <c r="U45" i="14"/>
  <c r="O46" i="14"/>
  <c r="D50" i="14"/>
  <c r="I50" i="14" s="1"/>
  <c r="U51" i="14"/>
  <c r="D55" i="14"/>
  <c r="I55" i="14" s="1"/>
  <c r="O55" i="14"/>
  <c r="D56" i="14"/>
  <c r="I56" i="14" s="1"/>
  <c r="U57" i="14"/>
  <c r="U58" i="14"/>
  <c r="U59" i="14"/>
  <c r="O62" i="14"/>
  <c r="D64" i="14"/>
  <c r="I64" i="14" s="1"/>
  <c r="O69" i="14"/>
  <c r="D71" i="14"/>
  <c r="I71" i="14" s="1"/>
  <c r="D33" i="14"/>
  <c r="I33" i="14" s="1"/>
  <c r="O33" i="14"/>
  <c r="D35" i="14"/>
  <c r="I35" i="14" s="1"/>
  <c r="O37" i="14"/>
  <c r="D39" i="14"/>
  <c r="I39" i="14" s="1"/>
  <c r="D44" i="14"/>
  <c r="I44" i="14" s="1"/>
  <c r="O44" i="14"/>
  <c r="D45" i="14"/>
  <c r="I45" i="14" s="1"/>
  <c r="O49" i="14"/>
  <c r="D51" i="14"/>
  <c r="I51" i="14" s="1"/>
  <c r="F56" i="14"/>
  <c r="G55" i="14" s="1"/>
  <c r="D57" i="14"/>
  <c r="I57" i="14" s="1"/>
  <c r="O63" i="14"/>
  <c r="V60" i="1"/>
  <c r="U59" i="1"/>
  <c r="U26" i="1"/>
  <c r="O35" i="1"/>
  <c r="R35" i="1"/>
  <c r="O36" i="1"/>
  <c r="R36" i="1"/>
  <c r="O37" i="1"/>
  <c r="R37" i="1"/>
  <c r="O38" i="1"/>
  <c r="R38" i="1"/>
  <c r="O39" i="1"/>
  <c r="R39" i="1"/>
  <c r="U35" i="1"/>
  <c r="U36" i="1"/>
  <c r="U37" i="1"/>
  <c r="U38" i="1"/>
  <c r="U39" i="1"/>
  <c r="U68" i="1"/>
  <c r="U69" i="1"/>
  <c r="U70" i="1"/>
  <c r="U57" i="1"/>
  <c r="U58" i="1"/>
  <c r="U61" i="1"/>
  <c r="U62" i="1"/>
  <c r="J13" i="1"/>
  <c r="J12" i="1"/>
  <c r="J11" i="1"/>
  <c r="J10" i="1"/>
  <c r="J9" i="1"/>
  <c r="J63" i="1"/>
  <c r="J62" i="1"/>
  <c r="J61" i="1"/>
  <c r="J58" i="1"/>
  <c r="J57" i="1"/>
  <c r="I63" i="1"/>
  <c r="I62" i="1"/>
  <c r="I61" i="1"/>
  <c r="I58" i="1"/>
  <c r="I57" i="1"/>
  <c r="J50" i="1"/>
  <c r="J49" i="1"/>
  <c r="J48" i="1"/>
  <c r="J47" i="1"/>
  <c r="J46" i="1"/>
  <c r="I50" i="1"/>
  <c r="I49" i="1"/>
  <c r="I48" i="1"/>
  <c r="I47" i="1"/>
  <c r="I46" i="1"/>
  <c r="I45" i="1"/>
  <c r="J36" i="1"/>
  <c r="J35" i="1"/>
  <c r="I36" i="1"/>
  <c r="I35" i="1"/>
  <c r="V28" i="27" l="1"/>
  <c r="V25" i="25"/>
  <c r="Q36" i="26"/>
  <c r="P36" i="26"/>
  <c r="V29" i="32"/>
  <c r="P36" i="30"/>
  <c r="L24" i="28"/>
  <c r="L9" i="28" s="1"/>
  <c r="V28" i="32"/>
  <c r="V30" i="32" s="1"/>
  <c r="G24" i="32"/>
  <c r="G24" i="14"/>
  <c r="Q37" i="29"/>
  <c r="Q36" i="23"/>
  <c r="V27" i="24"/>
  <c r="V28" i="25"/>
  <c r="G24" i="25"/>
  <c r="V27" i="26"/>
  <c r="V30" i="26" s="1"/>
  <c r="K70" i="30"/>
  <c r="Q70" i="30" s="1"/>
  <c r="V27" i="30"/>
  <c r="V28" i="28"/>
  <c r="L24" i="24"/>
  <c r="L9" i="24" s="1"/>
  <c r="F27" i="29"/>
  <c r="V25" i="32"/>
  <c r="V26" i="14"/>
  <c r="V26" i="23"/>
  <c r="V30" i="23" s="1"/>
  <c r="G24" i="24"/>
  <c r="V27" i="25"/>
  <c r="F25" i="27"/>
  <c r="G24" i="27" s="1"/>
  <c r="N63" i="30"/>
  <c r="P63" i="30" s="1"/>
  <c r="K34" i="31"/>
  <c r="P34" i="31" s="1"/>
  <c r="V27" i="32"/>
  <c r="L24" i="25"/>
  <c r="L9" i="25" s="1"/>
  <c r="P36" i="14"/>
  <c r="K36" i="1"/>
  <c r="V30" i="28"/>
  <c r="V36" i="14"/>
  <c r="L24" i="14"/>
  <c r="L9" i="14" s="1"/>
  <c r="V27" i="23"/>
  <c r="V25" i="24"/>
  <c r="G24" i="26"/>
  <c r="V68" i="29"/>
  <c r="K64" i="28"/>
  <c r="V64" i="28" s="1"/>
  <c r="F25" i="29"/>
  <c r="Q36" i="32"/>
  <c r="L24" i="31"/>
  <c r="L9" i="31" s="1"/>
  <c r="V29" i="23"/>
  <c r="L24" i="23"/>
  <c r="L9" i="23" s="1"/>
  <c r="L24" i="30"/>
  <c r="L9" i="30" s="1"/>
  <c r="K68" i="30"/>
  <c r="V68" i="30" s="1"/>
  <c r="V26" i="31"/>
  <c r="K50" i="31"/>
  <c r="V25" i="30"/>
  <c r="V37" i="29"/>
  <c r="K46" i="1"/>
  <c r="V46" i="1" s="1"/>
  <c r="K50" i="1"/>
  <c r="G24" i="30"/>
  <c r="L16" i="30" s="1"/>
  <c r="C42" i="9" s="1"/>
  <c r="L24" i="32"/>
  <c r="L9" i="32" s="1"/>
  <c r="L24" i="29"/>
  <c r="L9" i="29" s="1"/>
  <c r="V30" i="29"/>
  <c r="V25" i="27"/>
  <c r="V30" i="27" s="1"/>
  <c r="F25" i="31"/>
  <c r="G24" i="31" s="1"/>
  <c r="L16" i="31" s="1"/>
  <c r="C43" i="9" s="1"/>
  <c r="V30" i="31"/>
  <c r="K48" i="1"/>
  <c r="K57" i="1"/>
  <c r="V57" i="1" s="1"/>
  <c r="K63" i="1"/>
  <c r="K38" i="31"/>
  <c r="V38" i="31" s="1"/>
  <c r="U41" i="24"/>
  <c r="K63" i="29"/>
  <c r="Q63" i="29" s="1"/>
  <c r="C26" i="9"/>
  <c r="Q36" i="1"/>
  <c r="U41" i="29"/>
  <c r="U41" i="26"/>
  <c r="U41" i="32"/>
  <c r="B45" i="9"/>
  <c r="B33" i="9"/>
  <c r="B38" i="9"/>
  <c r="K49" i="1"/>
  <c r="K62" i="1"/>
  <c r="V62" i="1" s="1"/>
  <c r="U41" i="23"/>
  <c r="N49" i="29"/>
  <c r="K49" i="29"/>
  <c r="Q49" i="29" s="1"/>
  <c r="K47" i="1"/>
  <c r="V47" i="1" s="1"/>
  <c r="U41" i="25"/>
  <c r="K57" i="32"/>
  <c r="N57" i="32"/>
  <c r="K45" i="32"/>
  <c r="N45" i="32"/>
  <c r="N71" i="32"/>
  <c r="K71" i="32"/>
  <c r="N38" i="32"/>
  <c r="K38" i="32"/>
  <c r="N49" i="32"/>
  <c r="K49" i="32"/>
  <c r="V37" i="32"/>
  <c r="Q37" i="32"/>
  <c r="P37" i="32"/>
  <c r="L16" i="32"/>
  <c r="C44" i="9" s="1"/>
  <c r="K35" i="32"/>
  <c r="N35" i="32"/>
  <c r="K55" i="32"/>
  <c r="V55" i="32" s="1"/>
  <c r="N55" i="32"/>
  <c r="N70" i="32"/>
  <c r="K70" i="32"/>
  <c r="N63" i="32"/>
  <c r="K63" i="32"/>
  <c r="N62" i="32"/>
  <c r="K62" i="32"/>
  <c r="K51" i="32"/>
  <c r="N51" i="32"/>
  <c r="N44" i="32"/>
  <c r="K44" i="32"/>
  <c r="V44" i="32" s="1"/>
  <c r="N64" i="32"/>
  <c r="K64" i="32"/>
  <c r="N40" i="32"/>
  <c r="K40" i="32"/>
  <c r="K39" i="32"/>
  <c r="N39" i="32"/>
  <c r="N33" i="32"/>
  <c r="K33" i="32"/>
  <c r="N56" i="32"/>
  <c r="K56" i="32"/>
  <c r="V56" i="32" s="1"/>
  <c r="N50" i="32"/>
  <c r="K50" i="32"/>
  <c r="N34" i="32"/>
  <c r="K34" i="32"/>
  <c r="K68" i="32"/>
  <c r="V68" i="32" s="1"/>
  <c r="N68" i="32"/>
  <c r="N69" i="32"/>
  <c r="K69" i="32"/>
  <c r="N46" i="32"/>
  <c r="K46" i="32"/>
  <c r="K35" i="31"/>
  <c r="N35" i="31"/>
  <c r="N69" i="31"/>
  <c r="K69" i="31"/>
  <c r="K49" i="31"/>
  <c r="N49" i="31"/>
  <c r="K68" i="31"/>
  <c r="V68" i="31" s="1"/>
  <c r="N68" i="31"/>
  <c r="K33" i="31"/>
  <c r="N33" i="31"/>
  <c r="K39" i="31"/>
  <c r="N39" i="31"/>
  <c r="K55" i="31"/>
  <c r="V55" i="31" s="1"/>
  <c r="N55" i="31"/>
  <c r="N56" i="31"/>
  <c r="K56" i="31"/>
  <c r="V56" i="31" s="1"/>
  <c r="N46" i="31"/>
  <c r="K46" i="31"/>
  <c r="N64" i="31"/>
  <c r="K64" i="31"/>
  <c r="P36" i="31"/>
  <c r="Q36" i="31"/>
  <c r="N40" i="31"/>
  <c r="K40" i="31"/>
  <c r="K44" i="31"/>
  <c r="V44" i="31" s="1"/>
  <c r="N44" i="31"/>
  <c r="K51" i="31"/>
  <c r="N51" i="31"/>
  <c r="N62" i="31"/>
  <c r="K62" i="31"/>
  <c r="K70" i="31"/>
  <c r="N70" i="31"/>
  <c r="K57" i="31"/>
  <c r="N57" i="31"/>
  <c r="P50" i="31"/>
  <c r="V50" i="31"/>
  <c r="Q50" i="31"/>
  <c r="P38" i="31"/>
  <c r="K63" i="31"/>
  <c r="N63" i="31"/>
  <c r="N71" i="31"/>
  <c r="K71" i="31"/>
  <c r="K45" i="31"/>
  <c r="N45" i="31"/>
  <c r="U30" i="31"/>
  <c r="K35" i="30"/>
  <c r="N35" i="30"/>
  <c r="K45" i="30"/>
  <c r="N45" i="30"/>
  <c r="N71" i="30"/>
  <c r="K71" i="30"/>
  <c r="N56" i="30"/>
  <c r="K56" i="30"/>
  <c r="V56" i="30" s="1"/>
  <c r="N34" i="30"/>
  <c r="K34" i="30"/>
  <c r="K62" i="30"/>
  <c r="N62" i="30"/>
  <c r="K46" i="30"/>
  <c r="N46" i="30"/>
  <c r="V70" i="30"/>
  <c r="K39" i="29"/>
  <c r="N39" i="29"/>
  <c r="N33" i="29"/>
  <c r="K33" i="29"/>
  <c r="N71" i="29"/>
  <c r="K71" i="29"/>
  <c r="N56" i="29"/>
  <c r="K56" i="29"/>
  <c r="V56" i="29" s="1"/>
  <c r="N34" i="29"/>
  <c r="K34" i="29"/>
  <c r="V63" i="29"/>
  <c r="N50" i="28"/>
  <c r="K50" i="28"/>
  <c r="N38" i="28"/>
  <c r="K38" i="28"/>
  <c r="P36" i="28"/>
  <c r="Q36" i="28"/>
  <c r="V36" i="28"/>
  <c r="Q70" i="29"/>
  <c r="P70" i="29"/>
  <c r="N56" i="28"/>
  <c r="K56" i="28"/>
  <c r="V56" i="28" s="1"/>
  <c r="N40" i="28"/>
  <c r="K40" i="28"/>
  <c r="N62" i="28"/>
  <c r="K62" i="28"/>
  <c r="K49" i="28"/>
  <c r="N49" i="28"/>
  <c r="N68" i="28"/>
  <c r="K68" i="28"/>
  <c r="V68" i="28" s="1"/>
  <c r="N44" i="28"/>
  <c r="K44" i="28"/>
  <c r="V44" i="28" s="1"/>
  <c r="K51" i="28"/>
  <c r="N51" i="28"/>
  <c r="K45" i="29"/>
  <c r="N45" i="29"/>
  <c r="K46" i="29"/>
  <c r="N46" i="29"/>
  <c r="V63" i="30"/>
  <c r="Q63" i="30"/>
  <c r="Q64" i="28"/>
  <c r="K35" i="28"/>
  <c r="N35" i="28"/>
  <c r="K51" i="30"/>
  <c r="N51" i="30"/>
  <c r="N44" i="30"/>
  <c r="K44" i="30"/>
  <c r="V44" i="30" s="1"/>
  <c r="N64" i="30"/>
  <c r="K64" i="30"/>
  <c r="K55" i="30"/>
  <c r="V55" i="30" s="1"/>
  <c r="N55" i="30"/>
  <c r="N38" i="30"/>
  <c r="K38" i="30"/>
  <c r="K69" i="30"/>
  <c r="N69" i="30"/>
  <c r="K57" i="29"/>
  <c r="N57" i="29"/>
  <c r="K35" i="29"/>
  <c r="N35" i="29"/>
  <c r="N64" i="29"/>
  <c r="K64" i="29"/>
  <c r="K55" i="29"/>
  <c r="V55" i="29" s="1"/>
  <c r="N55" i="29"/>
  <c r="N38" i="29"/>
  <c r="K38" i="29"/>
  <c r="K40" i="29"/>
  <c r="N40" i="29"/>
  <c r="U41" i="30"/>
  <c r="N34" i="28"/>
  <c r="K34" i="28"/>
  <c r="N69" i="28"/>
  <c r="K69" i="28"/>
  <c r="K45" i="28"/>
  <c r="N45" i="28"/>
  <c r="G24" i="28"/>
  <c r="L16" i="28" s="1"/>
  <c r="C40" i="9" s="1"/>
  <c r="K57" i="30"/>
  <c r="N57" i="30"/>
  <c r="K40" i="30"/>
  <c r="N40" i="30"/>
  <c r="K62" i="29"/>
  <c r="N62" i="29"/>
  <c r="K57" i="28"/>
  <c r="N57" i="28"/>
  <c r="K39" i="30"/>
  <c r="N39" i="30"/>
  <c r="N33" i="30"/>
  <c r="K33" i="30"/>
  <c r="N50" i="30"/>
  <c r="K50" i="30"/>
  <c r="P37" i="30"/>
  <c r="V37" i="30"/>
  <c r="Q37" i="30"/>
  <c r="K51" i="29"/>
  <c r="N51" i="29"/>
  <c r="N44" i="29"/>
  <c r="K44" i="29"/>
  <c r="V44" i="29" s="1"/>
  <c r="N50" i="29"/>
  <c r="K50" i="29"/>
  <c r="K69" i="29"/>
  <c r="N69" i="29"/>
  <c r="U68" i="30"/>
  <c r="U72" i="30" s="1"/>
  <c r="Q68" i="29"/>
  <c r="L68" i="29"/>
  <c r="L13" i="29" s="1"/>
  <c r="P68" i="29"/>
  <c r="P49" i="30"/>
  <c r="V49" i="30"/>
  <c r="Q49" i="30"/>
  <c r="P71" i="28"/>
  <c r="Q71" i="28"/>
  <c r="V71" i="28"/>
  <c r="K55" i="28"/>
  <c r="V55" i="28" s="1"/>
  <c r="N55" i="28"/>
  <c r="N46" i="28"/>
  <c r="K46" i="28"/>
  <c r="K63" i="28"/>
  <c r="N63" i="28"/>
  <c r="N33" i="28"/>
  <c r="K33" i="28"/>
  <c r="K39" i="28"/>
  <c r="N39" i="28"/>
  <c r="K70" i="28"/>
  <c r="N70" i="28"/>
  <c r="K51" i="27"/>
  <c r="N51" i="27"/>
  <c r="N44" i="27"/>
  <c r="K44" i="27"/>
  <c r="V44" i="27" s="1"/>
  <c r="N64" i="27"/>
  <c r="K64" i="27"/>
  <c r="N56" i="27"/>
  <c r="K56" i="27"/>
  <c r="V56" i="27" s="1"/>
  <c r="N50" i="27"/>
  <c r="K50" i="27"/>
  <c r="N49" i="27"/>
  <c r="K49" i="27"/>
  <c r="K39" i="27"/>
  <c r="N39" i="27"/>
  <c r="N33" i="27"/>
  <c r="K33" i="27"/>
  <c r="N38" i="27"/>
  <c r="K38" i="27"/>
  <c r="N70" i="27"/>
  <c r="K70" i="27"/>
  <c r="N63" i="27"/>
  <c r="K63" i="27"/>
  <c r="P36" i="27"/>
  <c r="Q36" i="27"/>
  <c r="V37" i="27"/>
  <c r="Q37" i="27"/>
  <c r="P37" i="27"/>
  <c r="L16" i="27"/>
  <c r="C37" i="9" s="1"/>
  <c r="K57" i="27"/>
  <c r="N57" i="27"/>
  <c r="K45" i="27"/>
  <c r="N45" i="27"/>
  <c r="N71" i="27"/>
  <c r="K71" i="27"/>
  <c r="K55" i="27"/>
  <c r="V55" i="27" s="1"/>
  <c r="N55" i="27"/>
  <c r="N62" i="27"/>
  <c r="K62" i="27"/>
  <c r="N40" i="27"/>
  <c r="K40" i="27"/>
  <c r="K35" i="27"/>
  <c r="N35" i="27"/>
  <c r="N34" i="27"/>
  <c r="K34" i="27"/>
  <c r="K68" i="27"/>
  <c r="V68" i="27" s="1"/>
  <c r="N68" i="27"/>
  <c r="N69" i="27"/>
  <c r="K69" i="27"/>
  <c r="N46" i="27"/>
  <c r="K46" i="27"/>
  <c r="K57" i="26"/>
  <c r="N57" i="26"/>
  <c r="K45" i="26"/>
  <c r="N45" i="26"/>
  <c r="N71" i="26"/>
  <c r="K71" i="26"/>
  <c r="N38" i="26"/>
  <c r="K38" i="26"/>
  <c r="N49" i="26"/>
  <c r="K49" i="26"/>
  <c r="K35" i="26"/>
  <c r="N35" i="26"/>
  <c r="K55" i="26"/>
  <c r="V55" i="26" s="1"/>
  <c r="N55" i="26"/>
  <c r="N70" i="26"/>
  <c r="K70" i="26"/>
  <c r="N63" i="26"/>
  <c r="K63" i="26"/>
  <c r="N62" i="26"/>
  <c r="K62" i="26"/>
  <c r="V37" i="26"/>
  <c r="Q37" i="26"/>
  <c r="P37" i="26"/>
  <c r="L16" i="26"/>
  <c r="C36" i="9" s="1"/>
  <c r="K51" i="26"/>
  <c r="N51" i="26"/>
  <c r="N44" i="26"/>
  <c r="K44" i="26"/>
  <c r="V44" i="26" s="1"/>
  <c r="N64" i="26"/>
  <c r="K64" i="26"/>
  <c r="N40" i="26"/>
  <c r="K40" i="26"/>
  <c r="K39" i="26"/>
  <c r="N39" i="26"/>
  <c r="N33" i="26"/>
  <c r="K33" i="26"/>
  <c r="N56" i="26"/>
  <c r="K56" i="26"/>
  <c r="V56" i="26" s="1"/>
  <c r="N50" i="26"/>
  <c r="K50" i="26"/>
  <c r="N34" i="26"/>
  <c r="K34" i="26"/>
  <c r="K68" i="26"/>
  <c r="V68" i="26" s="1"/>
  <c r="N68" i="26"/>
  <c r="N69" i="26"/>
  <c r="K69" i="26"/>
  <c r="N46" i="26"/>
  <c r="K46" i="26"/>
  <c r="K35" i="25"/>
  <c r="N35" i="25"/>
  <c r="N56" i="25"/>
  <c r="K56" i="25"/>
  <c r="V56" i="25" s="1"/>
  <c r="N50" i="25"/>
  <c r="K50" i="25"/>
  <c r="N34" i="25"/>
  <c r="K34" i="25"/>
  <c r="K68" i="25"/>
  <c r="V68" i="25" s="1"/>
  <c r="N68" i="25"/>
  <c r="N62" i="25"/>
  <c r="K62" i="25"/>
  <c r="P36" i="25"/>
  <c r="Q36" i="25"/>
  <c r="V37" i="25"/>
  <c r="Q37" i="25"/>
  <c r="P37" i="25"/>
  <c r="K51" i="25"/>
  <c r="N51" i="25"/>
  <c r="N44" i="25"/>
  <c r="K44" i="25"/>
  <c r="V44" i="25" s="1"/>
  <c r="N64" i="25"/>
  <c r="K64" i="25"/>
  <c r="N38" i="25"/>
  <c r="K38" i="25"/>
  <c r="N40" i="25"/>
  <c r="K40" i="25"/>
  <c r="L16" i="25"/>
  <c r="C35" i="9" s="1"/>
  <c r="K39" i="25"/>
  <c r="N39" i="25"/>
  <c r="N33" i="25"/>
  <c r="K33" i="25"/>
  <c r="K55" i="25"/>
  <c r="V55" i="25" s="1"/>
  <c r="N55" i="25"/>
  <c r="N70" i="25"/>
  <c r="K70" i="25"/>
  <c r="N63" i="25"/>
  <c r="K63" i="25"/>
  <c r="N69" i="25"/>
  <c r="K69" i="25"/>
  <c r="N46" i="25"/>
  <c r="K46" i="25"/>
  <c r="K57" i="25"/>
  <c r="N57" i="25"/>
  <c r="K45" i="25"/>
  <c r="N45" i="25"/>
  <c r="N71" i="25"/>
  <c r="K71" i="25"/>
  <c r="N49" i="25"/>
  <c r="K49" i="25"/>
  <c r="V36" i="25"/>
  <c r="V30" i="25"/>
  <c r="K39" i="24"/>
  <c r="N39" i="24"/>
  <c r="N33" i="24"/>
  <c r="K33" i="24"/>
  <c r="N56" i="24"/>
  <c r="K56" i="24"/>
  <c r="V56" i="24" s="1"/>
  <c r="N50" i="24"/>
  <c r="K50" i="24"/>
  <c r="N34" i="24"/>
  <c r="K34" i="24"/>
  <c r="K68" i="24"/>
  <c r="V68" i="24" s="1"/>
  <c r="N68" i="24"/>
  <c r="N69" i="24"/>
  <c r="K69" i="24"/>
  <c r="N46" i="24"/>
  <c r="K46" i="24"/>
  <c r="K57" i="24"/>
  <c r="N57" i="24"/>
  <c r="K45" i="24"/>
  <c r="N45" i="24"/>
  <c r="N71" i="24"/>
  <c r="K71" i="24"/>
  <c r="N38" i="24"/>
  <c r="K38" i="24"/>
  <c r="N49" i="24"/>
  <c r="K49" i="24"/>
  <c r="K35" i="24"/>
  <c r="N35" i="24"/>
  <c r="K55" i="24"/>
  <c r="V55" i="24" s="1"/>
  <c r="N55" i="24"/>
  <c r="N70" i="24"/>
  <c r="K70" i="24"/>
  <c r="N63" i="24"/>
  <c r="K63" i="24"/>
  <c r="N62" i="24"/>
  <c r="K62" i="24"/>
  <c r="P36" i="24"/>
  <c r="Q36" i="24"/>
  <c r="K51" i="24"/>
  <c r="N51" i="24"/>
  <c r="N44" i="24"/>
  <c r="K44" i="24"/>
  <c r="V44" i="24" s="1"/>
  <c r="N64" i="24"/>
  <c r="K64" i="24"/>
  <c r="N40" i="24"/>
  <c r="K40" i="24"/>
  <c r="V37" i="24"/>
  <c r="Q37" i="24"/>
  <c r="P37" i="24"/>
  <c r="L16" i="24"/>
  <c r="C32" i="9" s="1"/>
  <c r="K35" i="23"/>
  <c r="N35" i="23"/>
  <c r="K55" i="23"/>
  <c r="V55" i="23" s="1"/>
  <c r="N55" i="23"/>
  <c r="N70" i="23"/>
  <c r="K70" i="23"/>
  <c r="N63" i="23"/>
  <c r="K63" i="23"/>
  <c r="V37" i="23"/>
  <c r="Q37" i="23"/>
  <c r="P37" i="23"/>
  <c r="L16" i="23"/>
  <c r="C31" i="9" s="1"/>
  <c r="K51" i="23"/>
  <c r="N51" i="23"/>
  <c r="N44" i="23"/>
  <c r="K44" i="23"/>
  <c r="V44" i="23" s="1"/>
  <c r="N64" i="23"/>
  <c r="K64" i="23"/>
  <c r="N62" i="23"/>
  <c r="K62" i="23"/>
  <c r="K39" i="23"/>
  <c r="N39" i="23"/>
  <c r="N33" i="23"/>
  <c r="K33" i="23"/>
  <c r="N56" i="23"/>
  <c r="K56" i="23"/>
  <c r="V56" i="23" s="1"/>
  <c r="N50" i="23"/>
  <c r="K50" i="23"/>
  <c r="N34" i="23"/>
  <c r="K34" i="23"/>
  <c r="K68" i="23"/>
  <c r="V68" i="23" s="1"/>
  <c r="N68" i="23"/>
  <c r="N69" i="23"/>
  <c r="K69" i="23"/>
  <c r="N40" i="23"/>
  <c r="K40" i="23"/>
  <c r="K57" i="23"/>
  <c r="N57" i="23"/>
  <c r="K45" i="23"/>
  <c r="N45" i="23"/>
  <c r="N71" i="23"/>
  <c r="K71" i="23"/>
  <c r="N38" i="23"/>
  <c r="K38" i="23"/>
  <c r="N49" i="23"/>
  <c r="K49" i="23"/>
  <c r="N46" i="23"/>
  <c r="K46" i="23"/>
  <c r="U41" i="14"/>
  <c r="K39" i="14"/>
  <c r="N39" i="14"/>
  <c r="N33" i="14"/>
  <c r="K33" i="14"/>
  <c r="N56" i="14"/>
  <c r="K56" i="14"/>
  <c r="V56" i="14" s="1"/>
  <c r="N50" i="14"/>
  <c r="K50" i="14"/>
  <c r="N34" i="14"/>
  <c r="K34" i="14"/>
  <c r="K68" i="14"/>
  <c r="V68" i="14" s="1"/>
  <c r="N68" i="14"/>
  <c r="N69" i="14"/>
  <c r="K69" i="14"/>
  <c r="N46" i="14"/>
  <c r="K46" i="14"/>
  <c r="V30" i="14"/>
  <c r="K57" i="14"/>
  <c r="N57" i="14"/>
  <c r="K45" i="14"/>
  <c r="N45" i="14"/>
  <c r="N71" i="14"/>
  <c r="K71" i="14"/>
  <c r="N38" i="14"/>
  <c r="K38" i="14"/>
  <c r="N49" i="14"/>
  <c r="K49" i="14"/>
  <c r="K35" i="14"/>
  <c r="N35" i="14"/>
  <c r="K55" i="14"/>
  <c r="V55" i="14" s="1"/>
  <c r="N55" i="14"/>
  <c r="N70" i="14"/>
  <c r="K70" i="14"/>
  <c r="N63" i="14"/>
  <c r="K63" i="14"/>
  <c r="N62" i="14"/>
  <c r="K62" i="14"/>
  <c r="K51" i="14"/>
  <c r="N51" i="14"/>
  <c r="N44" i="14"/>
  <c r="K44" i="14"/>
  <c r="V44" i="14" s="1"/>
  <c r="N64" i="14"/>
  <c r="K64" i="14"/>
  <c r="N40" i="14"/>
  <c r="K40" i="14"/>
  <c r="V37" i="14"/>
  <c r="Q37" i="14"/>
  <c r="P37" i="14"/>
  <c r="L16" i="14"/>
  <c r="C30" i="9" s="1"/>
  <c r="C27" i="9"/>
  <c r="U46" i="1"/>
  <c r="U47" i="1"/>
  <c r="V63" i="1"/>
  <c r="U63" i="1"/>
  <c r="K58" i="1"/>
  <c r="V58" i="1" s="1"/>
  <c r="U28" i="1"/>
  <c r="K61" i="1"/>
  <c r="V61" i="1" s="1"/>
  <c r="K35" i="1"/>
  <c r="V35" i="1" s="1"/>
  <c r="N35" i="1"/>
  <c r="N36" i="1"/>
  <c r="V36" i="1"/>
  <c r="U27" i="1"/>
  <c r="P36" i="1" l="1"/>
  <c r="P70" i="30"/>
  <c r="P68" i="30"/>
  <c r="Q34" i="31"/>
  <c r="V30" i="30"/>
  <c r="C33" i="9"/>
  <c r="P64" i="28"/>
  <c r="V34" i="31"/>
  <c r="Q68" i="30"/>
  <c r="L68" i="30"/>
  <c r="L13" i="30" s="1"/>
  <c r="Q38" i="31"/>
  <c r="G24" i="29"/>
  <c r="L16" i="29" s="1"/>
  <c r="C41" i="9" s="1"/>
  <c r="C45" i="9" s="1"/>
  <c r="V30" i="24"/>
  <c r="P63" i="29"/>
  <c r="C38" i="9"/>
  <c r="B47" i="9"/>
  <c r="P49" i="29"/>
  <c r="V49" i="29"/>
  <c r="P46" i="32"/>
  <c r="Q46" i="32"/>
  <c r="V46" i="32"/>
  <c r="Q50" i="32"/>
  <c r="P50" i="32"/>
  <c r="V50" i="32"/>
  <c r="V33" i="32"/>
  <c r="Q33" i="32"/>
  <c r="L33" i="32"/>
  <c r="L10" i="32" s="1"/>
  <c r="P33" i="32"/>
  <c r="P40" i="32"/>
  <c r="Q40" i="32"/>
  <c r="V40" i="32"/>
  <c r="Q44" i="32"/>
  <c r="L44" i="32"/>
  <c r="L11" i="32" s="1"/>
  <c r="P44" i="32"/>
  <c r="U44" i="32"/>
  <c r="U52" i="32" s="1"/>
  <c r="P62" i="32"/>
  <c r="V62" i="32"/>
  <c r="Q62" i="32"/>
  <c r="Q70" i="32"/>
  <c r="P70" i="32"/>
  <c r="V70" i="32"/>
  <c r="Q38" i="32"/>
  <c r="P38" i="32"/>
  <c r="V38" i="32"/>
  <c r="Q68" i="32"/>
  <c r="L68" i="32"/>
  <c r="L13" i="32" s="1"/>
  <c r="U68" i="32"/>
  <c r="U72" i="32" s="1"/>
  <c r="P68" i="32"/>
  <c r="Q35" i="32"/>
  <c r="P35" i="32"/>
  <c r="V35" i="32"/>
  <c r="Q45" i="32"/>
  <c r="P45" i="32"/>
  <c r="V45" i="32"/>
  <c r="P69" i="32"/>
  <c r="V69" i="32"/>
  <c r="Q69" i="32"/>
  <c r="Q34" i="32"/>
  <c r="P34" i="32"/>
  <c r="V34" i="32"/>
  <c r="Q56" i="32"/>
  <c r="U56" i="32"/>
  <c r="P56" i="32"/>
  <c r="Q64" i="32"/>
  <c r="P64" i="32"/>
  <c r="V64" i="32"/>
  <c r="Q63" i="32"/>
  <c r="P63" i="32"/>
  <c r="V63" i="32"/>
  <c r="V49" i="32"/>
  <c r="Q49" i="32"/>
  <c r="P49" i="32"/>
  <c r="Q71" i="32"/>
  <c r="P71" i="32"/>
  <c r="V71" i="32"/>
  <c r="Q39" i="32"/>
  <c r="P39" i="32"/>
  <c r="V39" i="32"/>
  <c r="Q51" i="32"/>
  <c r="P51" i="32"/>
  <c r="V51" i="32"/>
  <c r="P55" i="32"/>
  <c r="Q55" i="32"/>
  <c r="L55" i="32"/>
  <c r="L12" i="32" s="1"/>
  <c r="U55" i="32"/>
  <c r="Q57" i="32"/>
  <c r="P57" i="32"/>
  <c r="V57" i="32"/>
  <c r="Q68" i="31"/>
  <c r="L68" i="31"/>
  <c r="L13" i="31" s="1"/>
  <c r="U68" i="31"/>
  <c r="U72" i="31" s="1"/>
  <c r="P68" i="31"/>
  <c r="Q44" i="31"/>
  <c r="L44" i="31"/>
  <c r="L11" i="31" s="1"/>
  <c r="P44" i="31"/>
  <c r="U44" i="31"/>
  <c r="U52" i="31" s="1"/>
  <c r="Q64" i="31"/>
  <c r="P64" i="31"/>
  <c r="V64" i="31"/>
  <c r="U56" i="31"/>
  <c r="P56" i="31"/>
  <c r="Q56" i="31"/>
  <c r="P69" i="31"/>
  <c r="Q69" i="31"/>
  <c r="V69" i="31"/>
  <c r="Q39" i="31"/>
  <c r="P39" i="31"/>
  <c r="V39" i="31"/>
  <c r="Q45" i="31"/>
  <c r="P45" i="31"/>
  <c r="V45" i="31"/>
  <c r="Q63" i="31"/>
  <c r="P63" i="31"/>
  <c r="V63" i="31"/>
  <c r="P62" i="31"/>
  <c r="Q62" i="31"/>
  <c r="V62" i="31"/>
  <c r="Q51" i="31"/>
  <c r="P51" i="31"/>
  <c r="V51" i="31"/>
  <c r="P46" i="31"/>
  <c r="Q46" i="31"/>
  <c r="V46" i="31"/>
  <c r="Q70" i="31"/>
  <c r="P70" i="31"/>
  <c r="V70" i="31"/>
  <c r="P40" i="31"/>
  <c r="Q40" i="31"/>
  <c r="V40" i="31"/>
  <c r="P71" i="31"/>
  <c r="V71" i="31"/>
  <c r="Q71" i="31"/>
  <c r="Q57" i="31"/>
  <c r="P57" i="31"/>
  <c r="V57" i="31"/>
  <c r="P55" i="31"/>
  <c r="Q55" i="31"/>
  <c r="L55" i="31"/>
  <c r="L12" i="31" s="1"/>
  <c r="U55" i="31"/>
  <c r="V33" i="31"/>
  <c r="Q33" i="31"/>
  <c r="L33" i="31"/>
  <c r="L10" i="31" s="1"/>
  <c r="L14" i="31" s="1"/>
  <c r="P33" i="31"/>
  <c r="V49" i="31"/>
  <c r="Q49" i="31"/>
  <c r="P49" i="31"/>
  <c r="Q35" i="31"/>
  <c r="P35" i="31"/>
  <c r="V35" i="31"/>
  <c r="P55" i="28"/>
  <c r="Q55" i="28"/>
  <c r="L55" i="28"/>
  <c r="L12" i="28" s="1"/>
  <c r="U55" i="28"/>
  <c r="Q70" i="28"/>
  <c r="P70" i="28"/>
  <c r="V70" i="28"/>
  <c r="Q51" i="29"/>
  <c r="P51" i="29"/>
  <c r="V51" i="29"/>
  <c r="Q50" i="30"/>
  <c r="P50" i="30"/>
  <c r="V50" i="30"/>
  <c r="Q45" i="28"/>
  <c r="P45" i="28"/>
  <c r="V45" i="28"/>
  <c r="P40" i="29"/>
  <c r="V40" i="29"/>
  <c r="Q40" i="29"/>
  <c r="Q38" i="29"/>
  <c r="P38" i="29"/>
  <c r="V38" i="29"/>
  <c r="Q64" i="29"/>
  <c r="P64" i="29"/>
  <c r="V64" i="29"/>
  <c r="Q38" i="30"/>
  <c r="P38" i="30"/>
  <c r="V38" i="30"/>
  <c r="Q64" i="30"/>
  <c r="P64" i="30"/>
  <c r="V64" i="30"/>
  <c r="Q44" i="28"/>
  <c r="L44" i="28"/>
  <c r="L11" i="28" s="1"/>
  <c r="U44" i="28"/>
  <c r="U52" i="28" s="1"/>
  <c r="P44" i="28"/>
  <c r="P40" i="28"/>
  <c r="Q40" i="28"/>
  <c r="V40" i="28"/>
  <c r="Q39" i="29"/>
  <c r="P39" i="29"/>
  <c r="V39" i="29"/>
  <c r="P62" i="30"/>
  <c r="V62" i="30"/>
  <c r="Q62" i="30"/>
  <c r="Q45" i="30"/>
  <c r="P45" i="30"/>
  <c r="V45" i="30"/>
  <c r="Q39" i="28"/>
  <c r="P39" i="28"/>
  <c r="V39" i="28"/>
  <c r="U44" i="30"/>
  <c r="U52" i="30" s="1"/>
  <c r="P44" i="30"/>
  <c r="Q44" i="30"/>
  <c r="L44" i="30"/>
  <c r="L11" i="30" s="1"/>
  <c r="P62" i="28"/>
  <c r="Q62" i="28"/>
  <c r="V62" i="28"/>
  <c r="U44" i="29"/>
  <c r="U52" i="29" s="1"/>
  <c r="P44" i="29"/>
  <c r="Q44" i="29"/>
  <c r="L44" i="29"/>
  <c r="L11" i="29" s="1"/>
  <c r="Q39" i="30"/>
  <c r="P39" i="30"/>
  <c r="V39" i="30"/>
  <c r="P62" i="29"/>
  <c r="V62" i="29"/>
  <c r="Q62" i="29"/>
  <c r="Q57" i="30"/>
  <c r="P57" i="30"/>
  <c r="V57" i="30"/>
  <c r="P69" i="28"/>
  <c r="Q69" i="28"/>
  <c r="V69" i="28"/>
  <c r="Q57" i="29"/>
  <c r="P57" i="29"/>
  <c r="V57" i="29"/>
  <c r="Q51" i="30"/>
  <c r="P51" i="30"/>
  <c r="V51" i="30"/>
  <c r="Q45" i="29"/>
  <c r="P45" i="29"/>
  <c r="V45" i="29"/>
  <c r="V49" i="28"/>
  <c r="Q49" i="28"/>
  <c r="P49" i="28"/>
  <c r="P50" i="28"/>
  <c r="Q50" i="28"/>
  <c r="V50" i="28"/>
  <c r="Q56" i="29"/>
  <c r="P56" i="29"/>
  <c r="U56" i="29"/>
  <c r="P33" i="29"/>
  <c r="V33" i="29"/>
  <c r="Q33" i="29"/>
  <c r="L33" i="29"/>
  <c r="L10" i="29" s="1"/>
  <c r="Q34" i="30"/>
  <c r="P34" i="30"/>
  <c r="V34" i="30"/>
  <c r="Q71" i="30"/>
  <c r="P71" i="30"/>
  <c r="V71" i="30"/>
  <c r="Q63" i="28"/>
  <c r="P63" i="28"/>
  <c r="V63" i="28"/>
  <c r="P69" i="29"/>
  <c r="V69" i="29"/>
  <c r="Q69" i="29"/>
  <c r="P33" i="30"/>
  <c r="L33" i="30"/>
  <c r="L10" i="30" s="1"/>
  <c r="V33" i="30"/>
  <c r="Q33" i="30"/>
  <c r="Q68" i="28"/>
  <c r="L68" i="28"/>
  <c r="L13" i="28" s="1"/>
  <c r="P68" i="28"/>
  <c r="U68" i="28"/>
  <c r="U72" i="28" s="1"/>
  <c r="P56" i="28"/>
  <c r="Q56" i="28"/>
  <c r="U56" i="28"/>
  <c r="P46" i="30"/>
  <c r="V46" i="30"/>
  <c r="Q46" i="30"/>
  <c r="V33" i="28"/>
  <c r="P33" i="28"/>
  <c r="L33" i="28"/>
  <c r="L10" i="28" s="1"/>
  <c r="Q33" i="28"/>
  <c r="P46" i="28"/>
  <c r="Q46" i="28"/>
  <c r="V46" i="28"/>
  <c r="Q50" i="29"/>
  <c r="P50" i="29"/>
  <c r="V50" i="29"/>
  <c r="Q57" i="28"/>
  <c r="P57" i="28"/>
  <c r="V57" i="28"/>
  <c r="P40" i="30"/>
  <c r="V40" i="30"/>
  <c r="Q40" i="30"/>
  <c r="P34" i="28"/>
  <c r="Q34" i="28"/>
  <c r="V34" i="28"/>
  <c r="P55" i="29"/>
  <c r="Q55" i="29"/>
  <c r="L55" i="29"/>
  <c r="L12" i="29" s="1"/>
  <c r="U55" i="29"/>
  <c r="Q35" i="29"/>
  <c r="P35" i="29"/>
  <c r="V35" i="29"/>
  <c r="P69" i="30"/>
  <c r="V69" i="30"/>
  <c r="V72" i="30" s="1"/>
  <c r="Q69" i="30"/>
  <c r="P55" i="30"/>
  <c r="Q55" i="30"/>
  <c r="L55" i="30"/>
  <c r="L12" i="30" s="1"/>
  <c r="U55" i="30"/>
  <c r="Q35" i="28"/>
  <c r="P35" i="28"/>
  <c r="V35" i="28"/>
  <c r="P46" i="29"/>
  <c r="V46" i="29"/>
  <c r="Q46" i="29"/>
  <c r="Q51" i="28"/>
  <c r="P51" i="28"/>
  <c r="V51" i="28"/>
  <c r="P38" i="28"/>
  <c r="Q38" i="28"/>
  <c r="V38" i="28"/>
  <c r="Q34" i="29"/>
  <c r="P34" i="29"/>
  <c r="V34" i="29"/>
  <c r="P71" i="29"/>
  <c r="V71" i="29"/>
  <c r="Q71" i="29"/>
  <c r="Q56" i="30"/>
  <c r="U56" i="30"/>
  <c r="P56" i="30"/>
  <c r="Q35" i="30"/>
  <c r="P35" i="30"/>
  <c r="V35" i="30"/>
  <c r="P69" i="27"/>
  <c r="V69" i="27"/>
  <c r="Q69" i="27"/>
  <c r="P40" i="27"/>
  <c r="Q40" i="27"/>
  <c r="V40" i="27"/>
  <c r="Q57" i="27"/>
  <c r="P57" i="27"/>
  <c r="V57" i="27"/>
  <c r="Q39" i="27"/>
  <c r="P39" i="27"/>
  <c r="V39" i="27"/>
  <c r="Q68" i="27"/>
  <c r="L68" i="27"/>
  <c r="L13" i="27" s="1"/>
  <c r="U68" i="27"/>
  <c r="U72" i="27" s="1"/>
  <c r="P68" i="27"/>
  <c r="Q35" i="27"/>
  <c r="P35" i="27"/>
  <c r="V35" i="27"/>
  <c r="P62" i="27"/>
  <c r="Q62" i="27"/>
  <c r="V62" i="27"/>
  <c r="Q71" i="27"/>
  <c r="P71" i="27"/>
  <c r="V71" i="27"/>
  <c r="Q63" i="27"/>
  <c r="P63" i="27"/>
  <c r="V63" i="27"/>
  <c r="V38" i="27"/>
  <c r="Q38" i="27"/>
  <c r="P38" i="27"/>
  <c r="V49" i="27"/>
  <c r="Q49" i="27"/>
  <c r="P49" i="27"/>
  <c r="Q56" i="27"/>
  <c r="U56" i="27"/>
  <c r="P56" i="27"/>
  <c r="Q44" i="27"/>
  <c r="L44" i="27"/>
  <c r="L11" i="27" s="1"/>
  <c r="P44" i="27"/>
  <c r="U44" i="27"/>
  <c r="U52" i="27" s="1"/>
  <c r="V34" i="27"/>
  <c r="Q34" i="27"/>
  <c r="P34" i="27"/>
  <c r="Q70" i="27"/>
  <c r="P70" i="27"/>
  <c r="V70" i="27"/>
  <c r="V33" i="27"/>
  <c r="Q33" i="27"/>
  <c r="L33" i="27"/>
  <c r="L10" i="27" s="1"/>
  <c r="P33" i="27"/>
  <c r="Q50" i="27"/>
  <c r="P50" i="27"/>
  <c r="V50" i="27"/>
  <c r="Q64" i="27"/>
  <c r="P64" i="27"/>
  <c r="V64" i="27"/>
  <c r="P46" i="27"/>
  <c r="Q46" i="27"/>
  <c r="V46" i="27"/>
  <c r="P55" i="27"/>
  <c r="Q55" i="27"/>
  <c r="L55" i="27"/>
  <c r="L12" i="27" s="1"/>
  <c r="U55" i="27"/>
  <c r="U65" i="27" s="1"/>
  <c r="Q45" i="27"/>
  <c r="P45" i="27"/>
  <c r="V45" i="27"/>
  <c r="Q51" i="27"/>
  <c r="P51" i="27"/>
  <c r="V51" i="27"/>
  <c r="Q68" i="26"/>
  <c r="L68" i="26"/>
  <c r="L13" i="26" s="1"/>
  <c r="U68" i="26"/>
  <c r="U72" i="26" s="1"/>
  <c r="P68" i="26"/>
  <c r="Q35" i="26"/>
  <c r="P35" i="26"/>
  <c r="V35" i="26"/>
  <c r="Q38" i="26"/>
  <c r="P38" i="26"/>
  <c r="V38" i="26"/>
  <c r="P69" i="26"/>
  <c r="V69" i="26"/>
  <c r="Q69" i="26"/>
  <c r="Q34" i="26"/>
  <c r="P34" i="26"/>
  <c r="V34" i="26"/>
  <c r="Q56" i="26"/>
  <c r="U56" i="26"/>
  <c r="P56" i="26"/>
  <c r="Q64" i="26"/>
  <c r="P64" i="26"/>
  <c r="V64" i="26"/>
  <c r="Q63" i="26"/>
  <c r="P63" i="26"/>
  <c r="V63" i="26"/>
  <c r="Q45" i="26"/>
  <c r="P45" i="26"/>
  <c r="V45" i="26"/>
  <c r="Q39" i="26"/>
  <c r="P39" i="26"/>
  <c r="V39" i="26"/>
  <c r="Q51" i="26"/>
  <c r="P51" i="26"/>
  <c r="V51" i="26"/>
  <c r="P55" i="26"/>
  <c r="Q55" i="26"/>
  <c r="L55" i="26"/>
  <c r="L12" i="26" s="1"/>
  <c r="U55" i="26"/>
  <c r="U65" i="26" s="1"/>
  <c r="V49" i="26"/>
  <c r="Q49" i="26"/>
  <c r="P49" i="26"/>
  <c r="Q71" i="26"/>
  <c r="P71" i="26"/>
  <c r="V71" i="26"/>
  <c r="P46" i="26"/>
  <c r="Q46" i="26"/>
  <c r="V46" i="26"/>
  <c r="Q50" i="26"/>
  <c r="P50" i="26"/>
  <c r="V50" i="26"/>
  <c r="V33" i="26"/>
  <c r="Q33" i="26"/>
  <c r="L33" i="26"/>
  <c r="L10" i="26" s="1"/>
  <c r="P33" i="26"/>
  <c r="P40" i="26"/>
  <c r="Q40" i="26"/>
  <c r="V40" i="26"/>
  <c r="Q44" i="26"/>
  <c r="L44" i="26"/>
  <c r="L11" i="26" s="1"/>
  <c r="P44" i="26"/>
  <c r="U44" i="26"/>
  <c r="U52" i="26" s="1"/>
  <c r="P62" i="26"/>
  <c r="V62" i="26"/>
  <c r="Q62" i="26"/>
  <c r="Q70" i="26"/>
  <c r="P70" i="26"/>
  <c r="V70" i="26"/>
  <c r="Q57" i="26"/>
  <c r="P57" i="26"/>
  <c r="V57" i="26"/>
  <c r="Q57" i="25"/>
  <c r="P57" i="25"/>
  <c r="V57" i="25"/>
  <c r="P40" i="25"/>
  <c r="Q40" i="25"/>
  <c r="V40" i="25"/>
  <c r="Q64" i="25"/>
  <c r="P64" i="25"/>
  <c r="V64" i="25"/>
  <c r="P62" i="25"/>
  <c r="V62" i="25"/>
  <c r="Q62" i="25"/>
  <c r="Q34" i="25"/>
  <c r="P34" i="25"/>
  <c r="V34" i="25"/>
  <c r="Q56" i="25"/>
  <c r="P56" i="25"/>
  <c r="U56" i="25"/>
  <c r="V49" i="25"/>
  <c r="Q49" i="25"/>
  <c r="P49" i="25"/>
  <c r="P46" i="25"/>
  <c r="Q46" i="25"/>
  <c r="V46" i="25"/>
  <c r="Q63" i="25"/>
  <c r="P63" i="25"/>
  <c r="V63" i="25"/>
  <c r="Q51" i="25"/>
  <c r="P51" i="25"/>
  <c r="V51" i="25"/>
  <c r="Q45" i="25"/>
  <c r="P45" i="25"/>
  <c r="V45" i="25"/>
  <c r="P55" i="25"/>
  <c r="Q55" i="25"/>
  <c r="L55" i="25"/>
  <c r="L12" i="25" s="1"/>
  <c r="U55" i="25"/>
  <c r="Q39" i="25"/>
  <c r="P39" i="25"/>
  <c r="V39" i="25"/>
  <c r="Q38" i="25"/>
  <c r="P38" i="25"/>
  <c r="V38" i="25"/>
  <c r="Q44" i="25"/>
  <c r="L44" i="25"/>
  <c r="L11" i="25" s="1"/>
  <c r="P44" i="25"/>
  <c r="U44" i="25"/>
  <c r="U52" i="25" s="1"/>
  <c r="Q50" i="25"/>
  <c r="P50" i="25"/>
  <c r="V50" i="25"/>
  <c r="Q71" i="25"/>
  <c r="P71" i="25"/>
  <c r="V71" i="25"/>
  <c r="P69" i="25"/>
  <c r="V69" i="25"/>
  <c r="Q69" i="25"/>
  <c r="Q70" i="25"/>
  <c r="P70" i="25"/>
  <c r="V70" i="25"/>
  <c r="V33" i="25"/>
  <c r="Q33" i="25"/>
  <c r="L33" i="25"/>
  <c r="L10" i="25" s="1"/>
  <c r="P33" i="25"/>
  <c r="Q68" i="25"/>
  <c r="L68" i="25"/>
  <c r="L13" i="25" s="1"/>
  <c r="U68" i="25"/>
  <c r="U72" i="25" s="1"/>
  <c r="P68" i="25"/>
  <c r="Q35" i="25"/>
  <c r="P35" i="25"/>
  <c r="V35" i="25"/>
  <c r="P40" i="24"/>
  <c r="Q40" i="24"/>
  <c r="V40" i="24"/>
  <c r="Q44" i="24"/>
  <c r="L44" i="24"/>
  <c r="L11" i="24" s="1"/>
  <c r="U44" i="24"/>
  <c r="U52" i="24" s="1"/>
  <c r="P44" i="24"/>
  <c r="Q35" i="24"/>
  <c r="P35" i="24"/>
  <c r="V35" i="24"/>
  <c r="V38" i="24"/>
  <c r="Q38" i="24"/>
  <c r="P38" i="24"/>
  <c r="P46" i="24"/>
  <c r="Q46" i="24"/>
  <c r="V46" i="24"/>
  <c r="Q50" i="24"/>
  <c r="P50" i="24"/>
  <c r="V50" i="24"/>
  <c r="V33" i="24"/>
  <c r="Q33" i="24"/>
  <c r="L33" i="24"/>
  <c r="L10" i="24" s="1"/>
  <c r="P33" i="24"/>
  <c r="Q63" i="24"/>
  <c r="P63" i="24"/>
  <c r="V63" i="24"/>
  <c r="Q45" i="24"/>
  <c r="P45" i="24"/>
  <c r="V45" i="24"/>
  <c r="Q68" i="24"/>
  <c r="L68" i="24"/>
  <c r="L13" i="24" s="1"/>
  <c r="U68" i="24"/>
  <c r="U72" i="24" s="1"/>
  <c r="P68" i="24"/>
  <c r="Q64" i="24"/>
  <c r="P64" i="24"/>
  <c r="V64" i="24"/>
  <c r="P55" i="24"/>
  <c r="Q55" i="24"/>
  <c r="L55" i="24"/>
  <c r="L12" i="24" s="1"/>
  <c r="U55" i="24"/>
  <c r="V49" i="24"/>
  <c r="Q49" i="24"/>
  <c r="P49" i="24"/>
  <c r="Q71" i="24"/>
  <c r="P71" i="24"/>
  <c r="V71" i="24"/>
  <c r="P69" i="24"/>
  <c r="V69" i="24"/>
  <c r="Q69" i="24"/>
  <c r="V34" i="24"/>
  <c r="Q34" i="24"/>
  <c r="P34" i="24"/>
  <c r="Q56" i="24"/>
  <c r="U56" i="24"/>
  <c r="P56" i="24"/>
  <c r="Q51" i="24"/>
  <c r="P51" i="24"/>
  <c r="V51" i="24"/>
  <c r="P62" i="24"/>
  <c r="V62" i="24"/>
  <c r="Q62" i="24"/>
  <c r="Q70" i="24"/>
  <c r="P70" i="24"/>
  <c r="V70" i="24"/>
  <c r="Q57" i="24"/>
  <c r="P57" i="24"/>
  <c r="V57" i="24"/>
  <c r="Q39" i="24"/>
  <c r="P39" i="24"/>
  <c r="V39" i="24"/>
  <c r="P46" i="23"/>
  <c r="Q46" i="23"/>
  <c r="V46" i="23"/>
  <c r="Q38" i="23"/>
  <c r="P38" i="23"/>
  <c r="V38" i="23"/>
  <c r="P40" i="23"/>
  <c r="Q40" i="23"/>
  <c r="V40" i="23"/>
  <c r="Q50" i="23"/>
  <c r="P50" i="23"/>
  <c r="V50" i="23"/>
  <c r="V33" i="23"/>
  <c r="Q33" i="23"/>
  <c r="L33" i="23"/>
  <c r="L10" i="23" s="1"/>
  <c r="P33" i="23"/>
  <c r="P62" i="23"/>
  <c r="V62" i="23"/>
  <c r="Q62" i="23"/>
  <c r="Q44" i="23"/>
  <c r="L44" i="23"/>
  <c r="L11" i="23" s="1"/>
  <c r="P44" i="23"/>
  <c r="U44" i="23"/>
  <c r="U52" i="23" s="1"/>
  <c r="Q63" i="23"/>
  <c r="P63" i="23"/>
  <c r="V63" i="23"/>
  <c r="Q45" i="23"/>
  <c r="P45" i="23"/>
  <c r="V45" i="23"/>
  <c r="Q68" i="23"/>
  <c r="L68" i="23"/>
  <c r="L13" i="23" s="1"/>
  <c r="U68" i="23"/>
  <c r="U72" i="23" s="1"/>
  <c r="P68" i="23"/>
  <c r="P55" i="23"/>
  <c r="Q55" i="23"/>
  <c r="L55" i="23"/>
  <c r="L12" i="23" s="1"/>
  <c r="U55" i="23"/>
  <c r="V49" i="23"/>
  <c r="Q49" i="23"/>
  <c r="P49" i="23"/>
  <c r="Q71" i="23"/>
  <c r="P71" i="23"/>
  <c r="V71" i="23"/>
  <c r="P69" i="23"/>
  <c r="V69" i="23"/>
  <c r="Q69" i="23"/>
  <c r="Q34" i="23"/>
  <c r="P34" i="23"/>
  <c r="V34" i="23"/>
  <c r="Q56" i="23"/>
  <c r="U56" i="23"/>
  <c r="P56" i="23"/>
  <c r="Q64" i="23"/>
  <c r="P64" i="23"/>
  <c r="V64" i="23"/>
  <c r="Q70" i="23"/>
  <c r="P70" i="23"/>
  <c r="V70" i="23"/>
  <c r="Q57" i="23"/>
  <c r="P57" i="23"/>
  <c r="V57" i="23"/>
  <c r="Q39" i="23"/>
  <c r="P39" i="23"/>
  <c r="V39" i="23"/>
  <c r="Q51" i="23"/>
  <c r="P51" i="23"/>
  <c r="V51" i="23"/>
  <c r="Q35" i="23"/>
  <c r="P35" i="23"/>
  <c r="V35" i="23"/>
  <c r="Q64" i="14"/>
  <c r="P64" i="14"/>
  <c r="V64" i="14"/>
  <c r="Q35" i="14"/>
  <c r="P35" i="14"/>
  <c r="V35" i="14"/>
  <c r="Q45" i="14"/>
  <c r="P45" i="14"/>
  <c r="V45" i="14"/>
  <c r="P46" i="14"/>
  <c r="Q46" i="14"/>
  <c r="V46" i="14"/>
  <c r="Q50" i="14"/>
  <c r="P50" i="14"/>
  <c r="V50" i="14"/>
  <c r="V33" i="14"/>
  <c r="Q33" i="14"/>
  <c r="L33" i="14"/>
  <c r="L10" i="14" s="1"/>
  <c r="P33" i="14"/>
  <c r="Q51" i="14"/>
  <c r="P51" i="14"/>
  <c r="V51" i="14"/>
  <c r="Q63" i="14"/>
  <c r="P63" i="14"/>
  <c r="V63" i="14"/>
  <c r="V49" i="14"/>
  <c r="Q49" i="14"/>
  <c r="P49" i="14"/>
  <c r="Q71" i="14"/>
  <c r="P71" i="14"/>
  <c r="V71" i="14"/>
  <c r="Q68" i="14"/>
  <c r="L68" i="14"/>
  <c r="L13" i="14" s="1"/>
  <c r="U68" i="14"/>
  <c r="U72" i="14" s="1"/>
  <c r="P68" i="14"/>
  <c r="P40" i="14"/>
  <c r="Q40" i="14"/>
  <c r="V40" i="14"/>
  <c r="Q44" i="14"/>
  <c r="L44" i="14"/>
  <c r="L11" i="14" s="1"/>
  <c r="U44" i="14"/>
  <c r="U52" i="14" s="1"/>
  <c r="P44" i="14"/>
  <c r="P55" i="14"/>
  <c r="Q55" i="14"/>
  <c r="L55" i="14"/>
  <c r="L12" i="14" s="1"/>
  <c r="U55" i="14"/>
  <c r="Q57" i="14"/>
  <c r="P57" i="14"/>
  <c r="V57" i="14"/>
  <c r="P69" i="14"/>
  <c r="V69" i="14"/>
  <c r="Q69" i="14"/>
  <c r="Q34" i="14"/>
  <c r="P34" i="14"/>
  <c r="V34" i="14"/>
  <c r="Q56" i="14"/>
  <c r="U56" i="14"/>
  <c r="P56" i="14"/>
  <c r="P62" i="14"/>
  <c r="V62" i="14"/>
  <c r="Q62" i="14"/>
  <c r="Q70" i="14"/>
  <c r="P70" i="14"/>
  <c r="V70" i="14"/>
  <c r="Q38" i="14"/>
  <c r="P38" i="14"/>
  <c r="V38" i="14"/>
  <c r="Q39" i="14"/>
  <c r="P39" i="14"/>
  <c r="V39" i="14"/>
  <c r="P35" i="1"/>
  <c r="Q35" i="1"/>
  <c r="R32" i="1"/>
  <c r="R33" i="1"/>
  <c r="R34" i="1"/>
  <c r="R43" i="1"/>
  <c r="R48" i="1"/>
  <c r="R49" i="1"/>
  <c r="R50" i="1"/>
  <c r="R54" i="1"/>
  <c r="R62" i="1"/>
  <c r="R63" i="1"/>
  <c r="R67" i="1"/>
  <c r="R69" i="1"/>
  <c r="R70" i="1"/>
  <c r="O33" i="1"/>
  <c r="O34" i="1"/>
  <c r="O43" i="1"/>
  <c r="O48" i="1"/>
  <c r="O49" i="1"/>
  <c r="O50" i="1"/>
  <c r="O54" i="1"/>
  <c r="O62" i="1"/>
  <c r="O63" i="1"/>
  <c r="O67" i="1"/>
  <c r="O69" i="1"/>
  <c r="O70" i="1"/>
  <c r="O32" i="1"/>
  <c r="V65" i="30" l="1"/>
  <c r="V72" i="28"/>
  <c r="U65" i="31"/>
  <c r="U75" i="31" s="1"/>
  <c r="U65" i="29"/>
  <c r="U75" i="29" s="1"/>
  <c r="V65" i="23"/>
  <c r="U65" i="25"/>
  <c r="U75" i="25" s="1"/>
  <c r="V52" i="27"/>
  <c r="V72" i="23"/>
  <c r="D26" i="9"/>
  <c r="L14" i="24"/>
  <c r="E26" i="9"/>
  <c r="U75" i="27"/>
  <c r="N16" i="31"/>
  <c r="D43" i="9"/>
  <c r="U65" i="32"/>
  <c r="U75" i="32" s="1"/>
  <c r="V52" i="32"/>
  <c r="V41" i="32"/>
  <c r="V65" i="32"/>
  <c r="V72" i="32"/>
  <c r="L14" i="32"/>
  <c r="V52" i="31"/>
  <c r="V41" i="31"/>
  <c r="V65" i="31"/>
  <c r="V72" i="31"/>
  <c r="L14" i="29"/>
  <c r="V52" i="30"/>
  <c r="U65" i="28"/>
  <c r="U75" i="28" s="1"/>
  <c r="L14" i="30"/>
  <c r="U65" i="30"/>
  <c r="U75" i="30" s="1"/>
  <c r="V65" i="28"/>
  <c r="V41" i="28"/>
  <c r="V41" i="30"/>
  <c r="V72" i="29"/>
  <c r="V52" i="29"/>
  <c r="V41" i="29"/>
  <c r="L14" i="28"/>
  <c r="V65" i="29"/>
  <c r="V52" i="28"/>
  <c r="V41" i="27"/>
  <c r="L14" i="27"/>
  <c r="V72" i="27"/>
  <c r="V65" i="27"/>
  <c r="V52" i="26"/>
  <c r="V72" i="26"/>
  <c r="V41" i="26"/>
  <c r="U75" i="26"/>
  <c r="V65" i="26"/>
  <c r="L14" i="26"/>
  <c r="V41" i="25"/>
  <c r="V72" i="25"/>
  <c r="V65" i="25"/>
  <c r="L14" i="25"/>
  <c r="V52" i="25"/>
  <c r="V72" i="24"/>
  <c r="U65" i="24"/>
  <c r="U75" i="24" s="1"/>
  <c r="V41" i="24"/>
  <c r="V65" i="24"/>
  <c r="V52" i="24"/>
  <c r="L14" i="23"/>
  <c r="U65" i="23"/>
  <c r="U75" i="23" s="1"/>
  <c r="V52" i="23"/>
  <c r="V41" i="23"/>
  <c r="V72" i="14"/>
  <c r="V65" i="14"/>
  <c r="V41" i="14"/>
  <c r="U65" i="14"/>
  <c r="U75" i="14" s="1"/>
  <c r="L14" i="14"/>
  <c r="V52" i="14"/>
  <c r="J23" i="1"/>
  <c r="V75" i="31" l="1"/>
  <c r="U76" i="31" s="1"/>
  <c r="D27" i="9"/>
  <c r="N16" i="23"/>
  <c r="D31" i="9"/>
  <c r="N16" i="32"/>
  <c r="D44" i="9"/>
  <c r="V75" i="28"/>
  <c r="U76" i="28" s="1"/>
  <c r="V75" i="30"/>
  <c r="U76" i="30" s="1"/>
  <c r="N16" i="24"/>
  <c r="D32" i="9"/>
  <c r="N16" i="14"/>
  <c r="D30" i="9"/>
  <c r="V75" i="23"/>
  <c r="U76" i="23" s="1"/>
  <c r="V75" i="29"/>
  <c r="U76" i="29" s="1"/>
  <c r="N16" i="29"/>
  <c r="D41" i="9"/>
  <c r="N16" i="25"/>
  <c r="D35" i="9"/>
  <c r="N16" i="26"/>
  <c r="D36" i="9"/>
  <c r="N16" i="27"/>
  <c r="D37" i="9"/>
  <c r="N16" i="28"/>
  <c r="D40" i="9"/>
  <c r="N16" i="30"/>
  <c r="D42" i="9"/>
  <c r="V75" i="32"/>
  <c r="U76" i="32" s="1"/>
  <c r="V75" i="27"/>
  <c r="U76" i="27" s="1"/>
  <c r="V75" i="26"/>
  <c r="U76" i="26" s="1"/>
  <c r="V75" i="25"/>
  <c r="U76" i="25" s="1"/>
  <c r="V75" i="24"/>
  <c r="U76" i="24" s="1"/>
  <c r="V75" i="14"/>
  <c r="U76" i="14" s="1"/>
  <c r="D33" i="9" l="1"/>
  <c r="D38" i="9"/>
  <c r="D45" i="9"/>
  <c r="J37" i="1" l="1"/>
  <c r="J32" i="1"/>
  <c r="U49" i="1" l="1"/>
  <c r="U48" i="1" l="1"/>
  <c r="U50" i="1"/>
  <c r="I43" i="1"/>
  <c r="N43" i="1" s="1"/>
  <c r="N50" i="1"/>
  <c r="N48" i="1"/>
  <c r="J45" i="1"/>
  <c r="J44" i="1"/>
  <c r="J43" i="1"/>
  <c r="I32" i="1"/>
  <c r="N32" i="1" s="1"/>
  <c r="D44" i="1" l="1"/>
  <c r="F44" i="1" s="1"/>
  <c r="R44" i="1"/>
  <c r="O44" i="1"/>
  <c r="O45" i="1"/>
  <c r="R45" i="1"/>
  <c r="K43" i="1"/>
  <c r="V43" i="1" s="1"/>
  <c r="J70" i="1"/>
  <c r="I70" i="1"/>
  <c r="N70" i="1" s="1"/>
  <c r="J69" i="1"/>
  <c r="J68" i="1"/>
  <c r="J67" i="1"/>
  <c r="I67" i="1"/>
  <c r="N67" i="1" s="1"/>
  <c r="J28" i="1"/>
  <c r="J27" i="1"/>
  <c r="J26" i="1"/>
  <c r="J25" i="1"/>
  <c r="N62" i="1"/>
  <c r="J56" i="1"/>
  <c r="J55" i="1"/>
  <c r="J54" i="1"/>
  <c r="N54" i="1"/>
  <c r="J39" i="1"/>
  <c r="I39" i="1"/>
  <c r="N39" i="1" s="1"/>
  <c r="J38" i="1"/>
  <c r="I37" i="1"/>
  <c r="N37" i="1" s="1"/>
  <c r="J34" i="1"/>
  <c r="J33" i="1"/>
  <c r="I33" i="1"/>
  <c r="N33" i="1" s="1"/>
  <c r="I56" i="1" l="1"/>
  <c r="N56" i="1" s="1"/>
  <c r="O56" i="1"/>
  <c r="R56" i="1"/>
  <c r="P50" i="1"/>
  <c r="Q50" i="1"/>
  <c r="I68" i="1"/>
  <c r="N68" i="1" s="1"/>
  <c r="R68" i="1"/>
  <c r="O68" i="1"/>
  <c r="P48" i="1"/>
  <c r="Q48" i="1"/>
  <c r="R55" i="1"/>
  <c r="O55" i="1"/>
  <c r="R61" i="1"/>
  <c r="O61" i="1"/>
  <c r="Q43" i="1"/>
  <c r="P43" i="1"/>
  <c r="V50" i="1"/>
  <c r="V48" i="1"/>
  <c r="U43" i="1"/>
  <c r="I44" i="1"/>
  <c r="K33" i="1"/>
  <c r="K37" i="1"/>
  <c r="K39" i="1"/>
  <c r="K32" i="1"/>
  <c r="K54" i="1"/>
  <c r="U54" i="1" s="1"/>
  <c r="K67" i="1"/>
  <c r="V67" i="1" s="1"/>
  <c r="K70" i="1"/>
  <c r="V70" i="1" s="1"/>
  <c r="I25" i="1"/>
  <c r="I26" i="1"/>
  <c r="I27" i="1"/>
  <c r="I28" i="1"/>
  <c r="I34" i="1"/>
  <c r="N34" i="1" s="1"/>
  <c r="I38" i="1"/>
  <c r="N38" i="1" s="1"/>
  <c r="I69" i="1"/>
  <c r="N69" i="1" s="1"/>
  <c r="V33" i="1" l="1"/>
  <c r="U33" i="1"/>
  <c r="K68" i="1"/>
  <c r="V68" i="1" s="1"/>
  <c r="V39" i="1"/>
  <c r="Q39" i="1"/>
  <c r="P39" i="1"/>
  <c r="P37" i="1"/>
  <c r="Q37" i="1"/>
  <c r="V37" i="1"/>
  <c r="K56" i="1"/>
  <c r="Q67" i="1"/>
  <c r="P67" i="1"/>
  <c r="P33" i="1"/>
  <c r="Q33" i="1"/>
  <c r="Q54" i="1"/>
  <c r="P54" i="1"/>
  <c r="V32" i="1"/>
  <c r="P32" i="1"/>
  <c r="Q32" i="1"/>
  <c r="Q62" i="1"/>
  <c r="P62" i="1"/>
  <c r="P70" i="1"/>
  <c r="Q70" i="1"/>
  <c r="K45" i="1"/>
  <c r="V45" i="1" s="1"/>
  <c r="N45" i="1"/>
  <c r="N49" i="1"/>
  <c r="K44" i="1"/>
  <c r="V44" i="1" s="1"/>
  <c r="N44" i="1"/>
  <c r="U67" i="1"/>
  <c r="V54" i="1"/>
  <c r="U32" i="1"/>
  <c r="U44" i="1"/>
  <c r="U45" i="1"/>
  <c r="I23" i="1"/>
  <c r="K23" i="1" s="1"/>
  <c r="I55" i="1"/>
  <c r="V49" i="1"/>
  <c r="K28" i="1"/>
  <c r="K27" i="1"/>
  <c r="K26" i="1"/>
  <c r="K25" i="1"/>
  <c r="U25" i="1" s="1"/>
  <c r="K69" i="1"/>
  <c r="V69" i="1" s="1"/>
  <c r="K38" i="1"/>
  <c r="K34" i="1"/>
  <c r="V56" i="1" l="1"/>
  <c r="U56" i="1"/>
  <c r="V23" i="1"/>
  <c r="Q68" i="1"/>
  <c r="P68" i="1"/>
  <c r="V34" i="1"/>
  <c r="U34" i="1"/>
  <c r="U40" i="1" s="1"/>
  <c r="L23" i="1"/>
  <c r="L9" i="1" s="1"/>
  <c r="D52" i="9" s="1"/>
  <c r="U23" i="1"/>
  <c r="U29" i="1" s="1"/>
  <c r="V28" i="1"/>
  <c r="V26" i="1"/>
  <c r="V25" i="1"/>
  <c r="V27" i="1"/>
  <c r="P38" i="1"/>
  <c r="V38" i="1"/>
  <c r="Q38" i="1"/>
  <c r="P56" i="1"/>
  <c r="Q56" i="1"/>
  <c r="L43" i="1"/>
  <c r="L11" i="1" s="1"/>
  <c r="D54" i="9" s="1"/>
  <c r="V51" i="1"/>
  <c r="Q49" i="1"/>
  <c r="P49" i="1"/>
  <c r="Q69" i="1"/>
  <c r="P69" i="1"/>
  <c r="P44" i="1"/>
  <c r="Q44" i="1"/>
  <c r="Q45" i="1"/>
  <c r="P45" i="1"/>
  <c r="Q34" i="1"/>
  <c r="P34" i="1"/>
  <c r="K55" i="1"/>
  <c r="N55" i="1"/>
  <c r="N63" i="1"/>
  <c r="N61" i="1"/>
  <c r="U51" i="1"/>
  <c r="U71" i="1"/>
  <c r="G67" i="1"/>
  <c r="L67" i="1"/>
  <c r="L13" i="1" s="1"/>
  <c r="D56" i="9" s="1"/>
  <c r="L32" i="1"/>
  <c r="L10" i="1" s="1"/>
  <c r="D53" i="9" s="1"/>
  <c r="G23" i="1" l="1"/>
  <c r="U55" i="1"/>
  <c r="U64" i="1" s="1"/>
  <c r="V55" i="1"/>
  <c r="V64" i="1" s="1"/>
  <c r="V29" i="1"/>
  <c r="V40" i="1"/>
  <c r="V71" i="1"/>
  <c r="G43" i="1"/>
  <c r="P61" i="1"/>
  <c r="Q61" i="1"/>
  <c r="P63" i="1"/>
  <c r="Q63" i="1"/>
  <c r="L54" i="1"/>
  <c r="L12" i="1" s="1"/>
  <c r="P55" i="1"/>
  <c r="Q55" i="1"/>
  <c r="G32" i="1"/>
  <c r="L14" i="1" l="1"/>
  <c r="D25" i="9" s="1"/>
  <c r="D28" i="9" s="1"/>
  <c r="D47" i="9" s="1"/>
  <c r="AB24" i="9" s="1"/>
  <c r="D55" i="9"/>
  <c r="V74" i="1"/>
  <c r="U74" i="1"/>
  <c r="G54" i="1"/>
  <c r="L16" i="1" s="1"/>
  <c r="C25" i="9" s="1"/>
  <c r="C28" i="9" s="1"/>
  <c r="C47" i="9" s="1"/>
  <c r="D57" i="9" l="1"/>
  <c r="AB27" i="9"/>
  <c r="AB26" i="9"/>
  <c r="AB25" i="9"/>
  <c r="L15" i="1"/>
  <c r="C12" i="6" s="1"/>
  <c r="AB50" i="9" l="1"/>
  <c r="AB52" i="9"/>
  <c r="AB51" i="9"/>
  <c r="AB54" i="9"/>
  <c r="AB53" i="9"/>
  <c r="C16" i="6"/>
  <c r="C22" i="6" s="1"/>
  <c r="E25" i="9"/>
  <c r="E28" i="9" s="1"/>
  <c r="U75" i="1"/>
  <c r="N16" i="1"/>
  <c r="C10" i="37"/>
  <c r="C14" i="37" l="1"/>
  <c r="B59" i="43" s="1"/>
  <c r="C20" i="37" l="1"/>
  <c r="C110" i="43"/>
</calcChain>
</file>

<file path=xl/sharedStrings.xml><?xml version="1.0" encoding="utf-8"?>
<sst xmlns="http://schemas.openxmlformats.org/spreadsheetml/2006/main" count="2905" uniqueCount="500">
  <si>
    <t>Totaal</t>
  </si>
  <si>
    <t>Produk</t>
  </si>
  <si>
    <t>% Bespuit</t>
  </si>
  <si>
    <t>Amistar Top</t>
  </si>
  <si>
    <t>Callisto</t>
  </si>
  <si>
    <t xml:space="preserve">Camix </t>
  </si>
  <si>
    <t>Camix Pack</t>
  </si>
  <si>
    <t>Camix Plus</t>
  </si>
  <si>
    <t>Dual Gold 20lt</t>
  </si>
  <si>
    <t>Dual Gold 5lt</t>
  </si>
  <si>
    <t>Gardomil Gold</t>
  </si>
  <si>
    <t xml:space="preserve">Gesaprim Super </t>
  </si>
  <si>
    <t>Karate EC</t>
  </si>
  <si>
    <t>Lexar Pack</t>
  </si>
  <si>
    <t>Karate Zeon</t>
  </si>
  <si>
    <t>Metagan Gold 20lt</t>
  </si>
  <si>
    <t>Metagan Gold 5lt</t>
  </si>
  <si>
    <t>Primagram Gold</t>
  </si>
  <si>
    <t>Servian</t>
  </si>
  <si>
    <t>Synpack Top</t>
  </si>
  <si>
    <t>Sorgomil Gold</t>
  </si>
  <si>
    <t>Amistar 250 SC</t>
  </si>
  <si>
    <t>Touchdown</t>
  </si>
  <si>
    <t>Avicta</t>
  </si>
  <si>
    <t>Artea</t>
  </si>
  <si>
    <t>Complement Super 1lt</t>
  </si>
  <si>
    <t>Complement Super 5lt</t>
  </si>
  <si>
    <t>Cruiser 350 1lt</t>
  </si>
  <si>
    <t>Cruiser 600 1lt</t>
  </si>
  <si>
    <t>Cruiser 600 4x5lt</t>
  </si>
  <si>
    <t>Fung</t>
  </si>
  <si>
    <t>SC</t>
  </si>
  <si>
    <t>Herb</t>
  </si>
  <si>
    <t>Oth</t>
  </si>
  <si>
    <t>Insect</t>
  </si>
  <si>
    <t>Pre-m/Postem?</t>
  </si>
  <si>
    <t>Opsomming van chemiekostes</t>
  </si>
  <si>
    <t>Voor plant</t>
  </si>
  <si>
    <t>Saadbehandeling</t>
  </si>
  <si>
    <t>Agentbesonderhede</t>
  </si>
  <si>
    <t xml:space="preserve">Naam:     </t>
  </si>
  <si>
    <t xml:space="preserve">Kantoor tel:     </t>
  </si>
  <si>
    <t xml:space="preserve">Huis tel:     </t>
  </si>
  <si>
    <t xml:space="preserve">Sel:     </t>
  </si>
  <si>
    <t xml:space="preserve">E-pos:     </t>
  </si>
  <si>
    <t xml:space="preserve">Kode:     </t>
  </si>
  <si>
    <t xml:space="preserve">Hektare:     </t>
  </si>
  <si>
    <t xml:space="preserve">Adres:     </t>
  </si>
  <si>
    <t>Produsentbesonderhede</t>
  </si>
  <si>
    <t>Post</t>
  </si>
  <si>
    <t xml:space="preserve">Pre </t>
  </si>
  <si>
    <t>Pre &amp; Post</t>
  </si>
  <si>
    <t>Pre</t>
  </si>
  <si>
    <t>Tipe</t>
  </si>
  <si>
    <t>Produknaam</t>
  </si>
  <si>
    <t>TOTAAL</t>
  </si>
  <si>
    <t>Aantal verpakkings</t>
  </si>
  <si>
    <t>Prys per verpakking</t>
  </si>
  <si>
    <t>Koste per produk</t>
  </si>
  <si>
    <t>Lt per verpakking</t>
  </si>
  <si>
    <t>Program (R/ha)</t>
  </si>
  <si>
    <t>Prys per Lt (R/lt)</t>
  </si>
  <si>
    <t>Dosis (lt/ha)</t>
  </si>
  <si>
    <t>Insek</t>
  </si>
  <si>
    <t>Na-opkoms</t>
  </si>
  <si>
    <t>Voor-opkoms</t>
  </si>
  <si>
    <t>Voor en na-opkoms</t>
  </si>
  <si>
    <t>Ander</t>
  </si>
  <si>
    <t>Post/Insek</t>
  </si>
  <si>
    <t xml:space="preserve">Datum:     </t>
  </si>
  <si>
    <t>Totale koste per hektaar</t>
  </si>
  <si>
    <t>AgriSafe produkte</t>
  </si>
  <si>
    <t>Maatskappy</t>
  </si>
  <si>
    <t>Syngenta</t>
  </si>
  <si>
    <t>Totaal Syngenta</t>
  </si>
  <si>
    <t>Totaal ander</t>
  </si>
  <si>
    <t>Groottotaal</t>
  </si>
  <si>
    <t>Check</t>
  </si>
  <si>
    <t>Tonnemaat wat Syngenta sal verskans</t>
  </si>
  <si>
    <t>/ton</t>
  </si>
  <si>
    <t>Tonnemaat verskans deur Syngenta</t>
  </si>
  <si>
    <t xml:space="preserve">Naam:   </t>
  </si>
  <si>
    <t xml:space="preserve">Posadres:   </t>
  </si>
  <si>
    <t xml:space="preserve">Plaas:   </t>
  </si>
  <si>
    <t xml:space="preserve">Dorp:   </t>
  </si>
  <si>
    <t xml:space="preserve">Kode:   </t>
  </si>
  <si>
    <t xml:space="preserve">Huis tel:   </t>
  </si>
  <si>
    <t xml:space="preserve">Sel:   </t>
  </si>
  <si>
    <t xml:space="preserve">E-pos:   </t>
  </si>
  <si>
    <r>
      <rPr>
        <b/>
        <u/>
        <sz val="11"/>
        <color theme="1"/>
        <rFont val="Calibri"/>
        <family val="2"/>
        <scheme val="minor"/>
      </rPr>
      <t>Let wel</t>
    </r>
    <r>
      <rPr>
        <u/>
        <sz val="11"/>
        <color theme="1"/>
        <rFont val="Calibri"/>
        <family val="2"/>
        <scheme val="minor"/>
      </rPr>
      <t>:</t>
    </r>
    <r>
      <rPr>
        <sz val="11"/>
        <color theme="1"/>
        <rFont val="Calibri"/>
        <family val="2"/>
        <scheme val="minor"/>
      </rPr>
      <t xml:space="preserve"> Alhoewel hierdie aanbeveling deur 'n Syngenta-geaffilieerde agent gedoen is, is dit tot op hede nog nie deur Syngenta geverifeer nie en kan dus produkte bevat wat nie noodwendig deur Syngenta voorgeskryf word nie</t>
    </r>
  </si>
  <si>
    <t>ton</t>
  </si>
  <si>
    <t>Sal Syngenta `n kontantbetaling aan die boer maak ter waarde van</t>
  </si>
  <si>
    <t>Produsent se totale Syngenta rekening  (R)</t>
  </si>
  <si>
    <t>Liters benodig</t>
  </si>
  <si>
    <t>Koste/ha (R/ha)</t>
  </si>
  <si>
    <t>Dosis (lt/sak)</t>
  </si>
  <si>
    <t>Aantal sakkies</t>
  </si>
  <si>
    <t xml:space="preserve">Plantestand (pitte/ha):   </t>
  </si>
  <si>
    <t xml:space="preserve">Pitte/sak:   </t>
  </si>
  <si>
    <t>Sakkies/ha</t>
  </si>
  <si>
    <t>Werklik ha</t>
  </si>
  <si>
    <t>Ha "gekoop"</t>
  </si>
  <si>
    <t>R/gekoopte ha</t>
  </si>
  <si>
    <t>R/werklike ha</t>
  </si>
  <si>
    <t>Oorspronklike R/ha</t>
  </si>
  <si>
    <t>2012/09/12</t>
  </si>
  <si>
    <t xml:space="preserve">Handelaar:     </t>
  </si>
  <si>
    <t>Voor-opkoms (met plant)</t>
  </si>
  <si>
    <t>AgriSafe aankope totaal</t>
  </si>
  <si>
    <t>Apron XL 250ml</t>
  </si>
  <si>
    <t>Gekombineerd na-opkoms</t>
  </si>
  <si>
    <t>Gekombineerd onkruid</t>
  </si>
  <si>
    <t>Halex GT</t>
  </si>
  <si>
    <t>AgriSafe berekening</t>
  </si>
  <si>
    <t>Totaal mielies</t>
  </si>
  <si>
    <t>Sojabone 1</t>
  </si>
  <si>
    <t>Sojabone 2</t>
  </si>
  <si>
    <t>Sojabone 3</t>
  </si>
  <si>
    <t>Totaal sojabone</t>
  </si>
  <si>
    <t>Sonneblom 1</t>
  </si>
  <si>
    <t>Sonneblom 2</t>
  </si>
  <si>
    <t>Sonneblom 3</t>
  </si>
  <si>
    <t>Totaal sonneblom</t>
  </si>
  <si>
    <t>Gewas</t>
  </si>
  <si>
    <t>Ander 1</t>
  </si>
  <si>
    <t>Ander 2</t>
  </si>
  <si>
    <t>Ander 3</t>
  </si>
  <si>
    <t>Ander 4</t>
  </si>
  <si>
    <t>Ander 5</t>
  </si>
  <si>
    <t>Hektare</t>
  </si>
  <si>
    <t>Koste /ha</t>
  </si>
  <si>
    <t>Totaal (R)</t>
  </si>
  <si>
    <t>GROOTTOTAAL</t>
  </si>
  <si>
    <t>AgriSafe aankope</t>
  </si>
  <si>
    <t xml:space="preserve">Gewas:   </t>
  </si>
  <si>
    <t xml:space="preserve">Saadbehandeling   </t>
  </si>
  <si>
    <t xml:space="preserve">Voor plant   </t>
  </si>
  <si>
    <t xml:space="preserve">Voor-opkoms   </t>
  </si>
  <si>
    <t xml:space="preserve">Na-opkoms   </t>
  </si>
  <si>
    <t xml:space="preserve">Ander   </t>
  </si>
  <si>
    <t xml:space="preserve">TOTAAL   </t>
  </si>
  <si>
    <t>Opsomming per behandeling</t>
  </si>
  <si>
    <t>Opsomming</t>
  </si>
  <si>
    <t>Jaque Fourie</t>
  </si>
  <si>
    <t>Japan</t>
  </si>
  <si>
    <t>0001</t>
  </si>
  <si>
    <t>0878522233</t>
  </si>
  <si>
    <t>jfourie@gmail.com</t>
  </si>
  <si>
    <t>Bakkies Botha</t>
  </si>
  <si>
    <t xml:space="preserve">Bus 524 </t>
  </si>
  <si>
    <t>Brakfontein</t>
  </si>
  <si>
    <t>Humansdorp</t>
  </si>
  <si>
    <t>2587</t>
  </si>
  <si>
    <t>0768543221</t>
  </si>
  <si>
    <t>bb@bok.co.za</t>
  </si>
  <si>
    <t>0112548798</t>
  </si>
  <si>
    <t>Produk 1</t>
  </si>
  <si>
    <t>Produk 2</t>
  </si>
  <si>
    <t>Produk 3</t>
  </si>
  <si>
    <t>Co</t>
  </si>
  <si>
    <t>Product</t>
  </si>
  <si>
    <t>Product type</t>
  </si>
  <si>
    <t>CM</t>
  </si>
  <si>
    <t>Erik</t>
  </si>
  <si>
    <t>Ernest</t>
  </si>
  <si>
    <t>Kerien</t>
  </si>
  <si>
    <t>Logran</t>
  </si>
  <si>
    <t>Peak</t>
  </si>
  <si>
    <t>Topik</t>
  </si>
  <si>
    <t>Aphox</t>
  </si>
  <si>
    <t>Dividend</t>
  </si>
  <si>
    <t>Vooropkoms (met plant)</t>
  </si>
  <si>
    <t>Koring 1</t>
  </si>
  <si>
    <t xml:space="preserve">Plantdigtheid (kg/ha):   </t>
  </si>
  <si>
    <t xml:space="preserve">Kg/sak:   </t>
  </si>
  <si>
    <t>Dosis lt/100kg</t>
  </si>
  <si>
    <t>Verpak</t>
  </si>
  <si>
    <t>SaadbehandelingVerpak</t>
  </si>
  <si>
    <t>Gramoxone</t>
  </si>
  <si>
    <t>Cruiser 350 FS</t>
  </si>
  <si>
    <t>Cruiser 600 FS</t>
  </si>
  <si>
    <t>Amistar Xtra</t>
  </si>
  <si>
    <t>Axial</t>
  </si>
  <si>
    <t>Unix</t>
  </si>
  <si>
    <t>Tilt</t>
  </si>
  <si>
    <t>Boxer</t>
  </si>
  <si>
    <t>Ha bespuit</t>
  </si>
  <si>
    <t>Indien die koringprys verander na</t>
  </si>
  <si>
    <t>AgriSafe koringprys op die dag van aankope (R/ton)</t>
  </si>
  <si>
    <t>Preeglone</t>
  </si>
  <si>
    <t>Aantal kg saad</t>
  </si>
  <si>
    <t>Complement Super</t>
  </si>
  <si>
    <t>Totaal AgriSafe</t>
  </si>
  <si>
    <t>_Ctrl_1</t>
  </si>
  <si>
    <t>_Ctrl_2</t>
  </si>
  <si>
    <t>_Ctrl_3</t>
  </si>
  <si>
    <t>_Ctrl_4</t>
  </si>
  <si>
    <t>_Ctrl_5</t>
  </si>
  <si>
    <t>_Ctrl_6</t>
  </si>
  <si>
    <t>{"WidgetClassification":0,"State":1,"IsRequire":false,"DefaultChecked":false,"Label":"","EnableSubmit":false,"CellName":"_Ctrl_6","CellAddress":"='Sheet2'!$D$41","WidgetName":2,"HiddenRow":6,"SheetCodeName":null,"ControlId":"Ja/Nee"}</t>
  </si>
  <si>
    <t>_Ctrl_7</t>
  </si>
  <si>
    <t>{"WidgetClassification":0,"State":1,"IsRequired":true,"DDLDefaultRequiredText":"Please Select","ListItem":"Ja - ek stem saam\r\nNee - ek stem nie saam nie","VlookupRange":"","CellName":"_Ctrl_7","CellAddress":"='Sheet2'!$D$44","WidgetName":3,"HiddenRow":7,"SheetCodeName":null,"ControlId":null}</t>
  </si>
  <si>
    <t>Ja - ek stem saam</t>
  </si>
  <si>
    <t>Nee - ek stem nie saam nie</t>
  </si>
  <si>
    <t>_Ctrl_8</t>
  </si>
  <si>
    <t>{"WidgetClassification":0,"State":1,"IsRequired":true,"IsMultiline":false,"IsHidden":false,"Placeholder":"","InputType":0,"Rows":3,"IsMergeJustify":false,"CellName":"_Ctrl_8","CellAddress":"='Sheet2'!$D$16","WidgetName":4,"HiddenRow":8,"SheetCodeName":null,"ControlId":"Akantnr"}</t>
  </si>
  <si>
    <t>_Ctrl_9</t>
  </si>
  <si>
    <t>{"WidgetClassification":0,"State":1,"IsRequired":true,"IsMultiline":false,"IsHidden":false,"Placeholder":"","InputType":0,"Rows":3,"IsMergeJustify":false,"CellName":"_Ctrl_9","CellAddress":"='Sheet2'!$D$17","WidgetName":4,"HiddenRow":9,"SheetCodeName":null,"ControlId":"Ahuisnr"}</t>
  </si>
  <si>
    <t>_Ctrl_10</t>
  </si>
  <si>
    <t>{"WidgetClassification":0,"State":1,"IsRequired":true,"IsMultiline":false,"IsHidden":false,"Placeholder":"","InputType":0,"Rows":3,"IsMergeJustify":false,"CellName":"_Ctrl_10","CellAddress":"='Sheet2'!$D$18","WidgetName":4,"HiddenRow":10,"SheetCodeName":null,"ControlId":"Asel"}</t>
  </si>
  <si>
    <t>_Ctrl_11</t>
  </si>
  <si>
    <t>{"WidgetClassification":0,"State":1,"IsRequired":true,"IsMultiline":false,"IsHidden":false,"Placeholder":"","InputType":0,"Rows":3,"IsMergeJustify":false,"CellName":"_Ctrl_11","CellAddress":"='Sheet2'!$D$19","WidgetName":4,"HiddenRow":11,"SheetCodeName":null,"ControlId":"Aepos"}</t>
  </si>
  <si>
    <t>_Ctrl_12</t>
  </si>
  <si>
    <t>{"WidgetClassification":0,"State":1,"IsRequired":true,"IsMultiline":false,"IsHidden":false,"Placeholder":"","InputType":0,"Rows":3,"IsMergeJustify":false,"CellName":"_Ctrl_12","CellAddress":"='Sheet2'!$D$21","WidgetName":4,"HiddenRow":12,"SheetCodeName":null,"ControlId":"Handelaar"}</t>
  </si>
  <si>
    <t>_Ctrl_13</t>
  </si>
  <si>
    <t>{"WidgetClassification":0,"State":1,"IsRequired":true,"IsMultiline":false,"IsHidden":false,"Placeholder":"","InputType":0,"Rows":3,"IsMergeJustify":false,"CellName":"_Ctrl_13","CellAddress":"='Sheet2'!$D$25","WidgetName":4,"HiddenRow":13,"SheetCodeName":null,"ControlId":"Pnaam"}</t>
  </si>
  <si>
    <t>_Ctrl_14</t>
  </si>
  <si>
    <t>{"WidgetClassification":0,"State":1,"IsRequired":true,"IsMultiline":false,"IsHidden":false,"Placeholder":"","InputType":0,"Rows":3,"IsMergeJustify":false,"CellName":"_Ctrl_14","CellAddress":"='Sheet2'!$D$26","WidgetName":4,"HiddenRow":14,"SheetCodeName":null,"ControlId":"Padres"}</t>
  </si>
  <si>
    <t>_Ctrl_15</t>
  </si>
  <si>
    <t>{"WidgetClassification":0,"State":1,"IsRequired":true,"IsMultiline":false,"IsHidden":false,"Placeholder":"","InputType":0,"Rows":3,"IsMergeJustify":false,"CellName":"_Ctrl_15","CellAddress":"='Sheet2'!$D$27","WidgetName":4,"HiddenRow":15,"SheetCodeName":null,"ControlId":"Pplaas"}</t>
  </si>
  <si>
    <t>_Ctrl_16</t>
  </si>
  <si>
    <t>{"WidgetClassification":0,"State":1,"IsRequired":true,"IsMultiline":false,"IsHidden":false,"Placeholder":"","InputType":0,"Rows":3,"IsMergeJustify":false,"CellName":"_Ctrl_16","CellAddress":"='Sheet2'!$D$28","WidgetName":4,"HiddenRow":16,"SheetCodeName":null,"ControlId":"Pdorp"}</t>
  </si>
  <si>
    <t>_Ctrl_17</t>
  </si>
  <si>
    <t>{"WidgetClassification":0,"State":1,"IsRequired":true,"IsMultiline":false,"IsHidden":false,"Placeholder":"","InputType":0,"Rows":3,"IsMergeJustify":false,"CellName":"_Ctrl_17","CellAddress":"='Sheet2'!$D$29","WidgetName":4,"HiddenRow":17,"SheetCodeName":null,"ControlId":"Pkode"}</t>
  </si>
  <si>
    <t>_Ctrl_18</t>
  </si>
  <si>
    <t>{"WidgetClassification":0,"State":1,"IsRequired":true,"IsMultiline":false,"IsHidden":false,"Placeholder":"","InputType":0,"Rows":3,"IsMergeJustify":false,"CellName":"_Ctrl_18","CellAddress":"='Sheet2'!$D$30","WidgetName":4,"HiddenRow":18,"SheetCodeName":null,"ControlId":"Phuisnr"}</t>
  </si>
  <si>
    <t>_Ctrl_19</t>
  </si>
  <si>
    <t>{"WidgetClassification":0,"State":1,"IsRequired":true,"IsMultiline":false,"IsHidden":false,"Placeholder":"","InputType":0,"Rows":3,"IsMergeJustify":false,"CellName":"_Ctrl_19","CellAddress":"='Sheet2'!$D$31","WidgetName":4,"HiddenRow":19,"SheetCodeName":null,"ControlId":"Psel"}</t>
  </si>
  <si>
    <t>_Ctrl_20</t>
  </si>
  <si>
    <t>{"WidgetClassification":0,"State":1,"IsRequired":true,"IsMultiline":false,"IsHidden":false,"Placeholder":"","InputType":0,"Rows":3,"IsMergeJustify":false,"CellName":"_Ctrl_20","CellAddress":"='Sheet2'!$D$32","WidgetName":4,"HiddenRow":20,"SheetCodeName":null,"ControlId":"Pepos"}</t>
  </si>
  <si>
    <t>_Ctrl_21</t>
  </si>
  <si>
    <t>{"WidgetClassification":0,"State":1,"IsRequired":false,"IsMergeJustify":false,"DefaultValue":"2013/03/06","CalendarFlavor":3,"CellName":"_Ctrl_21","CellAddress":"='Sheet2'!$D$34","WidgetName":1,"HiddenRow":21,"SheetCodeName":null,"ControlId":"Datum"}</t>
  </si>
  <si>
    <t>_Ctrl_22</t>
  </si>
  <si>
    <t>{"WidgetClassification":0,"State":1,"IsRequired":true,"IsMultiline":false,"IsHidden":false,"Placeholder":"","InputType":0,"Rows":3,"IsMergeJustify":false,"CellName":"_Ctrl_22","CellAddress":"='Sheet2'!$D$35","WidgetName":4,"HiddenRow":22,"SheetCodeName":null,"ControlId":"Hektare"}</t>
  </si>
  <si>
    <t>{"IsHide":true,"SheetId":2,"Name":"Koring 1 (dont use)","HiddenRow":2,"VisibleRange":"","SheetTheme":{"TabColor":"","BodyColor":"","BodyImage":""}}</t>
  </si>
  <si>
    <t>{"IsHide":true,"SheetId":3,"Name":"AgriSafe calc (dont use)","HiddenRow":3,"VisibleRange":"","SheetTheme":{"TabColor":"","BodyColor":"","BodyImage":""}}</t>
  </si>
  <si>
    <t>{"IsHide":true,"SheetId":4,"Name":"VLOOKUPS","HiddenRow":4,"VisibleRange":"","SheetTheme":{"TabColor":"","BodyColor":"","BodyImage":""}}</t>
  </si>
  <si>
    <t>{"IsHide":true,"SheetId":5,"Name":"Produklys","HiddenRow":5,"VisibleRange":"","SheetTheme":{"TabColor":"","BodyColor":"","BodyImage":""}}</t>
  </si>
  <si>
    <t>{"IsHide":true,"SheetId":6,"Name":"Working sheet (dont use)","HiddenRow":6,"VisibleRange":"","SheetTheme":{"TabColor":"","BodyColor":"","BodyImage":""}}</t>
  </si>
  <si>
    <t>REMOVED</t>
  </si>
  <si>
    <t>_Ctrl_23</t>
  </si>
  <si>
    <t>{"WidgetClassification":3,"State":1,"HyperlinkFlavor":1,"Placement":1,"LinkTarget":0,"CellName":"_Ctrl_23","CellAddress":"='Koring'!$E$11","WidgetName":8,"HiddenRow":23,"SheetCodeName":null,"ControlId":"Home"}</t>
  </si>
  <si>
    <t>_Ctrl_24</t>
  </si>
  <si>
    <t>{"WidgetClassification":3,"State":1,"HyperlinkFlavor":0,"Placement":0,"LinkTarget":3,"CellName":"_Ctrl_24","CellAddress":"='Koring'!$G$9","WidgetName":8,"HiddenRow":24,"SheetCodeName":null,"ControlId":null}</t>
  </si>
  <si>
    <t>_Ctrl_25</t>
  </si>
  <si>
    <t>_Ctrl_26</t>
  </si>
  <si>
    <t>{"WidgetClassification":0,"State":1,"IsRequired":false,"DDLDefaultRequiredText":"Please Select","ListItem":"\r\nCruiser 350 FS\r\nCruiser 600 FS\r\nDividend","VlookupRange":"","CellName":"_Ctrl_26","CellAddress":"='Koring'!$B$26","WidgetName":3,"HiddenRow":26,"SheetCodeName":null,"ControlId":null}</t>
  </si>
  <si>
    <t/>
  </si>
  <si>
    <t>_Ctrl_27</t>
  </si>
  <si>
    <t>1</t>
  </si>
  <si>
    <t>5</t>
  </si>
  <si>
    <t>_Ctrl_28</t>
  </si>
  <si>
    <t>_Ctrl_29</t>
  </si>
  <si>
    <t>_Ctrl_30</t>
  </si>
  <si>
    <t>{"WidgetClassification":3,"State":1,"HyperlinkFlavor":0,"Placement":0,"LinkTarget":0,"CellName":"_Ctrl_25","CellAddress":"='Koring'!$G$11","WidgetName":8,"HiddenRow":25,"SheetCodeName":null,"ControlId":"Home"}</t>
  </si>
  <si>
    <t>20</t>
  </si>
  <si>
    <t>195</t>
  </si>
  <si>
    <t>AgriSafe</t>
  </si>
  <si>
    <t>TM</t>
  </si>
  <si>
    <t>Plaasinligtingsblad</t>
  </si>
  <si>
    <t>Produsent naam &amp; van:</t>
  </si>
  <si>
    <t>Maatskappy / Plaasnaam:</t>
  </si>
  <si>
    <t>Gewasse verbou</t>
  </si>
  <si>
    <t>Handelaarskap se naam:</t>
  </si>
  <si>
    <t>Agent se Naam:</t>
  </si>
  <si>
    <t>Posadres:</t>
  </si>
  <si>
    <t>Landlyn:</t>
  </si>
  <si>
    <t>Selfoon:</t>
  </si>
  <si>
    <t>Fisiese adres:</t>
  </si>
  <si>
    <t>Toestemming om Bekendgemaakte Inligting te gebruik</t>
  </si>
  <si>
    <t>Ek, __________________________________________, (“die Kliënt”) stem hiermee vrywillig in en gee toestemming dat die</t>
  </si>
  <si>
    <t>inligting vervat in hierdie Inligtingsblad (“die Bekendgemaakte Inligting”) gebruik kan word deur Syngenta Suid-Afrika</t>
  </si>
  <si>
    <t>Eiendoms Beperk (“Syngenta”) vir die doeleindes van bemarking en bevordering van Syngenta-produkte aan die Kliënt en</t>
  </si>
  <si>
    <t>verskaffing van inligting aan die Kliënt wat volgens Syngenta se oortuiging van belang vir die Kliënt kan wees.</t>
  </si>
  <si>
    <t>Die Kliënt kan beswaar maak teen die gebruik deur Syngenta van die Bekendgemaakte Inligting en weier om enige gratis</t>
  </si>
  <si>
    <t>bemarkingskommunikasie van Syngenta te ontvang, of eenvoudig “uittree” deur ‘n skriftelike versoek in dier voege te stuur</t>
  </si>
  <si>
    <t>aan agri.safe@syngenta.com of te faks na 086 773 8671.</t>
  </si>
  <si>
    <t>(“die Kliënt”) stem hiermee vrywillig in en gee toestemming dat die</t>
  </si>
  <si>
    <t>Syngenta Suid Afrika, Privaatsak X60, Halfway House, 1685. Tel (011) 541 4000 Faks (011) 541 4072 www.syngenta.co.za</t>
  </si>
  <si>
    <t>AgriSafe TM is ‘n geregistreerde handelsmerk van ‘n Syngenta Groep Maatskappy.</t>
  </si>
  <si>
    <t>{"IsHide":false,"SheetId":9,"Name":"Plaasinligting","HiddenRow":9,"VisibleRange":"","SheetTheme":{"TabColor":"","BodyColor":"","BodyImage":""}}</t>
  </si>
  <si>
    <t>Nuwe/bestaande Syngenta produsent</t>
  </si>
  <si>
    <t>Ek verkies om inligting te ontvang deur sms</t>
  </si>
  <si>
    <t>of epos</t>
  </si>
  <si>
    <t xml:space="preserve">Kliënt se handtekening </t>
  </si>
  <si>
    <t>e-pos: agri.safe@syngenta.com</t>
  </si>
  <si>
    <t>{"WidgetClassification":0,"State":1,"IsRequired":true,"IsMultiline":false,"IsHidden":false,"Placeholder":"","InputType":0,"Rows":3,"IsMergeJustify":false,"CellName":"_Ctrl_27","CellAddress":"='Plaasinligting'!$E$9","WidgetName":4,"HiddenRow":27,"SheetCodeName":null,"ControlId":"produsentnaam"}</t>
  </si>
  <si>
    <t>{"WidgetClassification":0,"State":1,"IsRequired":true,"IsMultiline":false,"IsHidden":false,"Placeholder":"","InputType":0,"Rows":3,"IsMergeJustify":false,"CellName":"_Ctrl_28","CellAddress":"='Plaasinligting'!$E$11","WidgetName":4,"HiddenRow":28,"SheetCodeName":null,"ControlId":"fisiese adres"}</t>
  </si>
  <si>
    <t>{"WidgetClassification":0,"State":1,"IsRequired":true,"IsMultiline":false,"IsHidden":false,"Placeholder":"","InputType":0,"Rows":3,"IsMergeJustify":false,"CellName":"_Ctrl_29","CellAddress":"='Plaasinligting'!$E$13","WidgetName":4,"HiddenRow":29,"SheetCodeName":null,"ControlId":"eposadres"}</t>
  </si>
  <si>
    <t>{"WidgetClassification":0,"State":1,"IsRequired":false,"IsMultiline":false,"IsHidden":false,"Placeholder":"","InputType":0,"Rows":3,"IsMergeJustify":false,"CellName":"_Ctrl_30","CellAddress":"='Plaasinligting'!$E$21","WidgetName":4,"HiddenRow":30,"SheetCodeName":null,"ControlId":"gewasse1"}</t>
  </si>
  <si>
    <t>_Ctrl_31</t>
  </si>
  <si>
    <t>{"WidgetClassification":0,"State":1,"IsRequired":false,"IsMultiline":false,"IsHidden":false,"Placeholder":"","InputType":0,"Rows":3,"IsMergeJustify":false,"CellName":"_Ctrl_31","CellAddress":"='Plaasinligting'!$E$23","WidgetName":4,"HiddenRow":31,"SheetCodeName":null,"ControlId":"gewasse2"}</t>
  </si>
  <si>
    <t>_Ctrl_32</t>
  </si>
  <si>
    <t>{"WidgetClassification":0,"State":1,"IsRequired":false,"IsMultiline":false,"IsHidden":false,"Placeholder":"","InputType":0,"Rows":3,"IsMergeJustify":false,"CellName":"_Ctrl_32","CellAddress":"='Plaasinligting'!$E$25","WidgetName":4,"HiddenRow":32,"SheetCodeName":null,"ControlId":"gewasse3"}</t>
  </si>
  <si>
    <t>_Ctrl_33</t>
  </si>
  <si>
    <t>{"WidgetClassification":0,"State":1,"IsRequired":false,"IsMultiline":false,"IsHidden":false,"Placeholder":"","InputType":0,"Rows":3,"IsMergeJustify":false,"CellName":"_Ctrl_33","CellAddress":"='Plaasinligting'!$J$21","WidgetName":4,"HiddenRow":33,"SheetCodeName":null,"ControlId":"hektare1"}</t>
  </si>
  <si>
    <t>_Ctrl_34</t>
  </si>
  <si>
    <t>{"WidgetClassification":0,"State":1,"IsRequired":false,"IsMultiline":false,"IsHidden":false,"Placeholder":"","InputType":0,"Rows":3,"IsMergeJustify":false,"CellName":"_Ctrl_34","CellAddress":"='Plaasinligting'!$J$25","WidgetName":4,"HiddenRow":34,"SheetCodeName":null,"ControlId":"hektare3"}</t>
  </si>
  <si>
    <t>_Ctrl_35</t>
  </si>
  <si>
    <t>{"WidgetClassification":0,"State":1,"IsRequired":false,"IsMultiline":false,"IsHidden":false,"Placeholder":"","InputType":0,"Rows":3,"IsMergeJustify":false,"CellName":"_Ctrl_35","CellAddress":"='Plaasinligting'!$J$23","WidgetName":4,"HiddenRow":35,"SheetCodeName":null,"ControlId":"hektare2"}</t>
  </si>
  <si>
    <t>_Ctrl_36</t>
  </si>
  <si>
    <t>{"WidgetClassification":0,"State":1,"IsRequired":true,"IsMultiline":false,"IsHidden":false,"Placeholder":"","InputType":0,"Rows":3,"IsMergeJustify":false,"CellName":"_Ctrl_36","CellAddress":"='Plaasinligting'!$E$27","WidgetName":4,"HiddenRow":36,"SheetCodeName":null,"ControlId":"agantnaam"}</t>
  </si>
  <si>
    <t>_Ctrl_37</t>
  </si>
  <si>
    <t>{"WidgetClassification":0,"State":1,"IsRequired":true,"IsMultiline":false,"IsHidden":false,"Placeholder":"","InputType":0,"Rows":3,"IsMergeJustify":false,"CellName":"_Ctrl_37","CellAddress":"='Plaasinligting'!$E$29","WidgetName":4,"HiddenRow":37,"SheetCodeName":null,"ControlId":"handelaarnaam"}</t>
  </si>
  <si>
    <t>_Ctrl_38</t>
  </si>
  <si>
    <t>_Ctrl_39</t>
  </si>
  <si>
    <t>{"WidgetClassification":0,"State":1,"IsRequired":false,"IsMergeJustify":false,"DefaultValue":"2013/04/19","CalendarFlavor":3,"CellName":"_Ctrl_39","CellAddress":"='Plaasinligting'!$E$33","WidgetName":1,"HiddenRow":39,"SheetCodeName":null,"ControlId":"Datum"}</t>
  </si>
  <si>
    <t>_Ctrl_40</t>
  </si>
  <si>
    <t>{"WidgetClassification":0,"State":1,"IsRequired":true,"IsMultiline":false,"IsHidden":false,"Placeholder":"","InputType":0,"Rows":3,"IsMergeJustify":false,"CellName":"_Ctrl_40","CellAddress":"='Plaasinligting'!$C$37","WidgetName":4,"HiddenRow":40,"SheetCodeName":null,"ControlId":"tekennaam"}</t>
  </si>
  <si>
    <t>_Ctrl_41</t>
  </si>
  <si>
    <t>{"WidgetClassification":0,"State":1,"IsRequire":false,"DefaultChecked":false,"Label":"","EnableSubmit":false,"CellName":"_Ctrl_41","CellAddress":"='Plaasinligting'!$G$48","WidgetName":2,"HiddenRow":41,"SheetCodeName":null,"ControlId":"sms"}</t>
  </si>
  <si>
    <t>_Ctrl_42</t>
  </si>
  <si>
    <t>{"WidgetClassification":0,"State":1,"IsRequire":false,"DefaultChecked":false,"Label":"","EnableSubmit":false,"CellName":"_Ctrl_42","CellAddress":"='Plaasinligting'!$J$48","WidgetName":2,"HiddenRow":42,"SheetCodeName":null,"ControlId":"epos"}</t>
  </si>
  <si>
    <t>tussen</t>
  </si>
  <si>
    <t>("Kliënt")</t>
  </si>
  <si>
    <t>en</t>
  </si>
  <si>
    <t>SYNGENTA SOUTH AFRICA (PTY) LTD</t>
  </si>
  <si>
    <t>("Syngenta")</t>
  </si>
  <si>
    <t>Tensy anders vermeld, of die samehang anders vereis, sal die woorde en uitdrukkings wat hieronder gelys word die betekenisse dra wat aan hulle toegeskryf is:</t>
  </si>
  <si>
    <t>Hierdie Ooreenkoms is aangegaan tussen die Partye om die Kliënt in staat te stel om 'n moontlike opbrengs te maak op die Minimum Aankoopwaarde van die Produkte wat aangekoop is van die Handelaar in terme van hierdie Ooreenkoms.</t>
  </si>
  <si>
    <t>Hierdie Ooreenkoms sal in werking tree op die Ondertekenings Datum.</t>
  </si>
  <si>
    <t>Uitbetaling te ontvang in ooreenstemming met klousule 7 nie, tensy die volgende voorwaardes nagekom is:</t>
  </si>
  <si>
    <r>
      <t>Die Kliënt sal die Produkte net gebruik en toepas in ooreenstemming met die Handelaar se aanbevelings, die terme en voorwaardes van die Produk of daaraan verbonde, die aanbevole gebruik van die Produk en die geregistreerde etiket van elke Produk, by gebreke waarvan die Kliënt nie geregtig sal wees om die AgriSafe</t>
    </r>
    <r>
      <rPr>
        <vertAlign val="superscript"/>
        <sz val="11"/>
        <color theme="1"/>
        <rFont val="Arial"/>
        <family val="2"/>
      </rPr>
      <t>TM</t>
    </r>
    <r>
      <rPr>
        <sz val="11"/>
        <color theme="1"/>
        <rFont val="Arial"/>
        <family val="2"/>
      </rPr>
      <t xml:space="preserve"> Uitbetaling te ontvang nie.</t>
    </r>
  </si>
  <si>
    <r>
      <t>AgriSafe</t>
    </r>
    <r>
      <rPr>
        <vertAlign val="superscript"/>
        <sz val="11"/>
        <color theme="1"/>
        <rFont val="Arial"/>
        <family val="2"/>
      </rPr>
      <t>TM</t>
    </r>
    <r>
      <rPr>
        <sz val="11"/>
        <color theme="1"/>
        <rFont val="Arial"/>
        <family val="2"/>
      </rPr>
      <t xml:space="preserve"> Uitbetaling (Net indien &gt; 0) = Minimum Aankoopwaarde – Tonnemaat x Verwysingsprys</t>
    </r>
  </si>
  <si>
    <t xml:space="preserve">Syngenta South Africa (Pty) Ltd </t>
  </si>
  <si>
    <t>Die Suid-Afrikaanse reg is van toepassing op hierdie Ooreenkoms.</t>
  </si>
  <si>
    <t>Hierdie Ooreenkoms verteenwoordig die enigste rekord van die ooreenkoms tussen die Partye met betrekking tot die onderwerp hiervan. Geen Party sal verbind word deur enige uitdruklike of geïmpliseerde term, verteenwoordiging, waarborg, belofte of soortgelyk, wat nie hierin vervat is nie.</t>
  </si>
  <si>
    <t>Die Partye sal die bepalings van hierdie Ooreenkoms vertroulik hou.</t>
  </si>
  <si>
    <t>Geeneen van die Partye het die reg om sy regte of verpligtinge onder hierdie Ooreenkoms te sedeer of oor te maak nie. 'n Party mag dit slegs doen as die skriftelike toestemming van die ander Party vooraf verkry is.</t>
  </si>
  <si>
    <t>Enige wysigings  aan hierdie Ooreenkoms moet op skrif gestel word en deur die Partye onderteken word.</t>
  </si>
  <si>
    <t xml:space="preserve">Kliënt </t>
  </si>
  <si>
    <t xml:space="preserve">Behoorlik daartoe gemagtig welke magtiging gewaarborg word. </t>
  </si>
  <si>
    <t>Die Minimum Aankoopwaarde sal: ZAR</t>
  </si>
  <si>
    <t>wees.</t>
  </si>
  <si>
    <t>1. Definisies</t>
  </si>
  <si>
    <r>
      <t>1.1</t>
    </r>
    <r>
      <rPr>
        <sz val="7"/>
        <color theme="1"/>
        <rFont val="Arial"/>
        <family val="2"/>
      </rPr>
      <t xml:space="preserve">             </t>
    </r>
    <r>
      <rPr>
        <b/>
        <sz val="11"/>
        <color theme="1"/>
        <rFont val="Arial"/>
        <family val="2"/>
      </rPr>
      <t>AgriSafe</t>
    </r>
    <r>
      <rPr>
        <b/>
        <vertAlign val="superscript"/>
        <sz val="11"/>
        <color theme="1"/>
        <rFont val="Arial"/>
        <family val="2"/>
      </rPr>
      <t>TM</t>
    </r>
    <r>
      <rPr>
        <b/>
        <sz val="11"/>
        <color theme="1"/>
        <rFont val="Arial"/>
        <family val="2"/>
      </rPr>
      <t xml:space="preserve"> Uitbetaling</t>
    </r>
    <r>
      <rPr>
        <sz val="11"/>
        <color theme="1"/>
        <rFont val="Arial"/>
        <family val="2"/>
      </rPr>
      <t> – beteken die betaling in Suid-Afrikaanse Rand (ZAR) wat die Kliënt van Syngenta af  mag ontvang, in terme van die Ooreenkoms, mits die voorwaardes vir sodanige betaling soos uiteengesit in lousule 5 nagekom is;</t>
    </r>
  </si>
  <si>
    <r>
      <t>1.2</t>
    </r>
    <r>
      <rPr>
        <sz val="7"/>
        <color theme="1"/>
        <rFont val="Arial"/>
        <family val="2"/>
      </rPr>
      <t xml:space="preserve">             </t>
    </r>
    <r>
      <rPr>
        <b/>
        <sz val="11"/>
        <color theme="1"/>
        <rFont val="Arial"/>
        <family val="2"/>
      </rPr>
      <t>AgriSafe</t>
    </r>
    <r>
      <rPr>
        <b/>
        <vertAlign val="superscript"/>
        <sz val="11"/>
        <color theme="1"/>
        <rFont val="Arial"/>
        <family val="2"/>
      </rPr>
      <t>TM</t>
    </r>
    <r>
      <rPr>
        <b/>
        <sz val="11"/>
        <color theme="1"/>
        <rFont val="Arial"/>
        <family val="2"/>
      </rPr>
      <t xml:space="preserve"> Vestigings Datum </t>
    </r>
    <r>
      <rPr>
        <sz val="11"/>
        <color theme="1"/>
        <rFont val="Arial"/>
        <family val="2"/>
      </rPr>
      <t> – beteken 25 November 2013, wat die datum is waarop die AgriSafe</t>
    </r>
    <r>
      <rPr>
        <vertAlign val="superscript"/>
        <sz val="11"/>
        <color theme="1"/>
        <rFont val="Arial"/>
        <family val="2"/>
      </rPr>
      <t>TM</t>
    </r>
    <r>
      <rPr>
        <sz val="11"/>
        <color theme="1"/>
        <rFont val="Arial"/>
        <family val="2"/>
      </rPr>
      <t xml:space="preserve"> Uitbetaling bereken word;</t>
    </r>
  </si>
  <si>
    <r>
      <t>1.3</t>
    </r>
    <r>
      <rPr>
        <sz val="7"/>
        <color theme="1"/>
        <rFont val="Arial"/>
        <family val="2"/>
      </rPr>
      <t xml:space="preserve">             </t>
    </r>
    <r>
      <rPr>
        <b/>
        <sz val="11"/>
        <color theme="1"/>
        <rFont val="Arial"/>
        <family val="2"/>
      </rPr>
      <t>Kleingraan</t>
    </r>
    <r>
      <rPr>
        <sz val="11"/>
        <color theme="1"/>
        <rFont val="Arial"/>
        <family val="2"/>
      </rPr>
      <t> – beteken koring en/of gars;</t>
    </r>
  </si>
  <si>
    <r>
      <t>1.4</t>
    </r>
    <r>
      <rPr>
        <sz val="7"/>
        <color theme="1"/>
        <rFont val="Arial"/>
        <family val="2"/>
      </rPr>
      <t xml:space="preserve">             </t>
    </r>
    <r>
      <rPr>
        <b/>
        <sz val="11"/>
        <color theme="1"/>
        <rFont val="Arial"/>
        <family val="2"/>
      </rPr>
      <t>Handelaar</t>
    </r>
    <r>
      <rPr>
        <sz val="11"/>
        <color theme="1"/>
        <rFont val="Arial"/>
        <family val="2"/>
      </rPr>
      <t xml:space="preserve"> beteken</t>
    </r>
  </si>
  <si>
    <r>
      <t>1.5</t>
    </r>
    <r>
      <rPr>
        <sz val="7"/>
        <color theme="1"/>
        <rFont val="Arial"/>
        <family val="2"/>
      </rPr>
      <t xml:space="preserve">             </t>
    </r>
    <r>
      <rPr>
        <b/>
        <sz val="11"/>
        <color theme="1"/>
        <rFont val="Arial"/>
        <family val="2"/>
      </rPr>
      <t>Laatste  Aankoop Datum</t>
    </r>
    <r>
      <rPr>
        <sz val="11"/>
        <color theme="1"/>
        <rFont val="Arial"/>
        <family val="2"/>
      </rPr>
      <t> – beteken middernag op 30 September 2013;</t>
    </r>
  </si>
  <si>
    <r>
      <t>1.6</t>
    </r>
    <r>
      <rPr>
        <sz val="7"/>
        <color theme="1"/>
        <rFont val="Arial"/>
        <family val="2"/>
      </rPr>
      <t xml:space="preserve">             </t>
    </r>
    <r>
      <rPr>
        <b/>
        <sz val="11"/>
        <color theme="1"/>
        <rFont val="Arial"/>
        <family val="2"/>
      </rPr>
      <t xml:space="preserve">Minimum Aankoopwaarde </t>
    </r>
    <r>
      <rPr>
        <sz val="11"/>
        <color theme="1"/>
        <rFont val="Arial"/>
        <family val="2"/>
      </rPr>
      <t> – beteken die eindtotaal (aggregaat) van die gefaktureerde waarde (BTW uitgesluit) van die Produkte wat deur die Kliënt aangekoop moet word vanaf die Handelaar teen die Handelaar se heersende pryslys soos uiteengesit in klousule 4;</t>
    </r>
  </si>
  <si>
    <r>
      <t>1.7</t>
    </r>
    <r>
      <rPr>
        <sz val="7"/>
        <color theme="1"/>
        <rFont val="Arial"/>
        <family val="2"/>
      </rPr>
      <t xml:space="preserve">             </t>
    </r>
    <r>
      <rPr>
        <b/>
        <sz val="11"/>
        <color theme="1"/>
        <rFont val="Arial"/>
        <family val="2"/>
      </rPr>
      <t xml:space="preserve">Ondertekenings datum </t>
    </r>
    <r>
      <rPr>
        <sz val="11"/>
        <color theme="1"/>
        <rFont val="Arial"/>
        <family val="2"/>
      </rPr>
      <t> – beteken die datum waarop hierdie Ooreenkoms onderteken word deur die laaste Party;</t>
    </r>
  </si>
  <si>
    <r>
      <t>1.8</t>
    </r>
    <r>
      <rPr>
        <sz val="7"/>
        <color theme="1"/>
        <rFont val="Arial"/>
        <family val="2"/>
      </rPr>
      <t xml:space="preserve">             </t>
    </r>
    <r>
      <rPr>
        <b/>
        <sz val="11"/>
        <color theme="1"/>
        <rFont val="Arial"/>
        <family val="2"/>
      </rPr>
      <t>Ooreenkoms</t>
    </r>
    <r>
      <rPr>
        <sz val="11"/>
        <color theme="1"/>
        <rFont val="Arial"/>
        <family val="2"/>
      </rPr>
      <t> – beteken hierdie Kleingraan AgriSafe</t>
    </r>
    <r>
      <rPr>
        <vertAlign val="superscript"/>
        <sz val="11"/>
        <color theme="1"/>
        <rFont val="Arial"/>
        <family val="2"/>
      </rPr>
      <t>TM</t>
    </r>
    <r>
      <rPr>
        <sz val="11"/>
        <color theme="1"/>
        <rFont val="Arial"/>
        <family val="2"/>
      </rPr>
      <t xml:space="preserve"> Ooreenkoms en al die bylae en aanhangsels hierby;</t>
    </r>
  </si>
  <si>
    <r>
      <t>1.9</t>
    </r>
    <r>
      <rPr>
        <sz val="7"/>
        <color theme="1"/>
        <rFont val="Arial"/>
        <family val="2"/>
      </rPr>
      <t xml:space="preserve">             </t>
    </r>
    <r>
      <rPr>
        <b/>
        <sz val="11"/>
        <color theme="1"/>
        <rFont val="Arial"/>
        <family val="2"/>
      </rPr>
      <t>Partye</t>
    </r>
    <r>
      <rPr>
        <sz val="11"/>
        <color theme="1"/>
        <rFont val="Arial"/>
        <family val="2"/>
      </rPr>
      <t> – beteken die partye tot hierdie Ooreenkoms en "Party" beteken  enige een van hulle, soos die samehang vereis;</t>
    </r>
  </si>
  <si>
    <r>
      <t>1.10</t>
    </r>
    <r>
      <rPr>
        <sz val="7"/>
        <color theme="1"/>
        <rFont val="Arial"/>
        <family val="2"/>
      </rPr>
      <t xml:space="preserve">          </t>
    </r>
    <r>
      <rPr>
        <b/>
        <sz val="11"/>
        <color theme="1"/>
        <rFont val="Arial"/>
        <family val="2"/>
      </rPr>
      <t xml:space="preserve">Produkte </t>
    </r>
    <r>
      <rPr>
        <sz val="11"/>
        <color theme="1"/>
        <rFont val="Arial"/>
        <family val="2"/>
      </rPr>
      <t xml:space="preserve"> – beteken die Syngenta gewasbeskerming produkte en Syngenta saadsorg produkte wat gelys is in Bylaag 1 wat deur die Kliënt aangekoop is vir  doeleindes van die vervulling van die Minimum Aankoopwaarde verpligting; </t>
    </r>
  </si>
  <si>
    <r>
      <t>1.11</t>
    </r>
    <r>
      <rPr>
        <sz val="7"/>
        <color theme="1"/>
        <rFont val="Arial"/>
        <family val="2"/>
      </rPr>
      <t xml:space="preserve">          </t>
    </r>
    <r>
      <rPr>
        <b/>
        <sz val="11"/>
        <color theme="1"/>
        <rFont val="Arial"/>
        <family val="2"/>
      </rPr>
      <t xml:space="preserve">Tonnemaat </t>
    </r>
    <r>
      <rPr>
        <sz val="11"/>
        <color theme="1"/>
        <rFont val="Arial"/>
        <family val="2"/>
      </rPr>
      <t> – beteken die tonnemaat van Kleingraan wat ingesluit moet word in die berekening van die AgriSafe</t>
    </r>
    <r>
      <rPr>
        <vertAlign val="superscript"/>
        <sz val="11"/>
        <color theme="1"/>
        <rFont val="Arial"/>
        <family val="2"/>
      </rPr>
      <t>TM</t>
    </r>
    <r>
      <rPr>
        <sz val="11"/>
        <color theme="1"/>
        <rFont val="Arial"/>
        <family val="2"/>
      </rPr>
      <t xml:space="preserve"> Uitbetaling gestipuleer in klousule 7.1;</t>
    </r>
  </si>
  <si>
    <r>
      <t>1.12</t>
    </r>
    <r>
      <rPr>
        <sz val="7"/>
        <color theme="1"/>
        <rFont val="Arial"/>
        <family val="2"/>
      </rPr>
      <t xml:space="preserve">          </t>
    </r>
    <r>
      <rPr>
        <b/>
        <sz val="11"/>
        <color theme="1"/>
        <rFont val="Arial"/>
        <family val="2"/>
      </rPr>
      <t>Verwysingsprys</t>
    </r>
    <r>
      <rPr>
        <sz val="11"/>
        <color theme="1"/>
        <rFont val="Arial"/>
        <family val="2"/>
      </rPr>
      <t>– beteken die uitbetalingsprys van die Desember 2013 Koring SAFEX termynbeurs op die AgriSafe</t>
    </r>
    <r>
      <rPr>
        <vertAlign val="superscript"/>
        <sz val="11"/>
        <color theme="1"/>
        <rFont val="Arial"/>
        <family val="2"/>
      </rPr>
      <t>TM</t>
    </r>
    <r>
      <rPr>
        <sz val="11"/>
        <color theme="1"/>
        <rFont val="Arial"/>
        <family val="2"/>
      </rPr>
      <t xml:space="preserve"> Vestigings Datum. Die Verwysingsprys sal beskikbaar wees op www.safex.co.za. </t>
    </r>
  </si>
  <si>
    <r>
      <t>2.</t>
    </r>
    <r>
      <rPr>
        <sz val="7"/>
        <color theme="1"/>
        <rFont val="Arial"/>
        <family val="2"/>
      </rPr>
      <t xml:space="preserve">         </t>
    </r>
    <r>
      <rPr>
        <b/>
        <sz val="11.5"/>
        <color theme="1"/>
        <rFont val="Arial"/>
        <family val="2"/>
      </rPr>
      <t>Inleiding</t>
    </r>
  </si>
  <si>
    <r>
      <t>3.</t>
    </r>
    <r>
      <rPr>
        <sz val="7"/>
        <color theme="1"/>
        <rFont val="Arial"/>
        <family val="2"/>
      </rPr>
      <t xml:space="preserve">         </t>
    </r>
    <r>
      <rPr>
        <b/>
        <sz val="11.5"/>
        <color theme="1"/>
        <rFont val="Arial"/>
        <family val="2"/>
      </rPr>
      <t>Ondertekenings Datum</t>
    </r>
  </si>
  <si>
    <r>
      <t>4.</t>
    </r>
    <r>
      <rPr>
        <sz val="7"/>
        <color theme="1"/>
        <rFont val="Arial"/>
        <family val="2"/>
      </rPr>
      <t xml:space="preserve">         </t>
    </r>
    <r>
      <rPr>
        <b/>
        <sz val="11.5"/>
        <color theme="1"/>
        <rFont val="Arial"/>
        <family val="2"/>
      </rPr>
      <t>Minimum Aankoopwaarde</t>
    </r>
  </si>
  <si>
    <r>
      <t>5.</t>
    </r>
    <r>
      <rPr>
        <sz val="7"/>
        <color theme="1"/>
        <rFont val="Arial"/>
        <family val="2"/>
      </rPr>
      <t xml:space="preserve">         </t>
    </r>
    <r>
      <rPr>
        <b/>
        <sz val="11.5"/>
        <color theme="1"/>
        <rFont val="Arial"/>
        <family val="2"/>
      </rPr>
      <t>Voorwaardes van Betaling van die AgriSafe</t>
    </r>
    <r>
      <rPr>
        <b/>
        <vertAlign val="superscript"/>
        <sz val="11.5"/>
        <color theme="1"/>
        <rFont val="Arial"/>
        <family val="2"/>
      </rPr>
      <t>TM</t>
    </r>
    <r>
      <rPr>
        <b/>
        <sz val="11.5"/>
        <color theme="1"/>
        <rFont val="Arial"/>
        <family val="2"/>
      </rPr>
      <t xml:space="preserve"> Uitbetaling</t>
    </r>
  </si>
  <si>
    <r>
      <t>5.1</t>
    </r>
    <r>
      <rPr>
        <sz val="7"/>
        <color theme="1"/>
        <rFont val="Arial"/>
        <family val="2"/>
      </rPr>
      <t xml:space="preserve">             </t>
    </r>
    <r>
      <rPr>
        <sz val="11"/>
        <color theme="1"/>
        <rFont val="Arial"/>
        <family val="2"/>
      </rPr>
      <t>Die Kliënt sal nie geregtig wees om die betaling van die AgriSafe</t>
    </r>
    <r>
      <rPr>
        <vertAlign val="superscript"/>
        <sz val="11"/>
        <color theme="1"/>
        <rFont val="Arial"/>
        <family val="2"/>
      </rPr>
      <t>TM</t>
    </r>
    <r>
      <rPr>
        <sz val="11"/>
        <color theme="1"/>
        <rFont val="Arial"/>
        <family val="2"/>
      </rPr>
      <t xml:space="preserve"> </t>
    </r>
  </si>
  <si>
    <r>
      <t>5.1.1</t>
    </r>
    <r>
      <rPr>
        <sz val="7"/>
        <color theme="1"/>
        <rFont val="Arial"/>
        <family val="2"/>
      </rPr>
      <t xml:space="preserve">               </t>
    </r>
    <r>
      <rPr>
        <sz val="11"/>
        <color theme="1"/>
        <rFont val="Arial"/>
        <family val="2"/>
      </rPr>
      <t>die Kliënt skriftelike bewys van bestellings tot die waarde van die Minimum Aankoopwaarde verskaf het aan Sygenta op die Ondertekenings Datum;</t>
    </r>
  </si>
  <si>
    <r>
      <t>5.1.2</t>
    </r>
    <r>
      <rPr>
        <sz val="7"/>
        <color theme="1"/>
        <rFont val="Arial"/>
        <family val="2"/>
      </rPr>
      <t xml:space="preserve">               </t>
    </r>
    <r>
      <rPr>
        <sz val="11"/>
        <color theme="1"/>
        <rFont val="Arial"/>
        <family val="2"/>
      </rPr>
      <t xml:space="preserve">die Kliënt die volle bedrag van die Minimum Aankoopwaarde aan die Handelaar betaal het voor of op die AgriSafe </t>
    </r>
    <r>
      <rPr>
        <vertAlign val="superscript"/>
        <sz val="11"/>
        <color theme="1"/>
        <rFont val="Arial"/>
        <family val="2"/>
      </rPr>
      <t>TM</t>
    </r>
    <r>
      <rPr>
        <sz val="11"/>
        <color theme="1"/>
        <rFont val="Arial"/>
        <family val="2"/>
      </rPr>
      <t xml:space="preserve"> Vestigings Datum; en</t>
    </r>
  </si>
  <si>
    <r>
      <t>5.1.3</t>
    </r>
    <r>
      <rPr>
        <sz val="7"/>
        <color theme="1"/>
        <rFont val="Arial"/>
        <family val="2"/>
      </rPr>
      <t xml:space="preserve">               </t>
    </r>
    <r>
      <rPr>
        <sz val="11"/>
        <color theme="1"/>
        <rFont val="Arial"/>
        <family val="2"/>
      </rPr>
      <t>die Kliënt Produkte vir ten minste die Minimum Aankoopwaarde gekoop het voor of op die Laatste  Aankoop Datum.</t>
    </r>
  </si>
  <si>
    <r>
      <t>5.2</t>
    </r>
    <r>
      <rPr>
        <sz val="7"/>
        <color theme="1"/>
        <rFont val="Arial"/>
        <family val="2"/>
      </rPr>
      <t xml:space="preserve">             </t>
    </r>
    <r>
      <rPr>
        <sz val="11"/>
        <color theme="1"/>
        <rFont val="Arial"/>
        <family val="2"/>
      </rPr>
      <t>Nieteenstaande klousule 5.1.1 mag Syngenta (in sy uitsluitlike en absolute diskressie) die Kliënt versoek om die oorspronklike BTW-fakture in te dien, binne 5 (vyf) dae van so 'n skriftelike versoek, om die Minimum Aankoopwaarde te motiveer, by gebreke waarvan die Kliënt nie geregtig sal wees om die AgriSafe</t>
    </r>
    <r>
      <rPr>
        <vertAlign val="superscript"/>
        <sz val="11"/>
        <color theme="1"/>
        <rFont val="Arial"/>
        <family val="2"/>
      </rPr>
      <t>TM</t>
    </r>
    <r>
      <rPr>
        <sz val="11"/>
        <color theme="1"/>
        <rFont val="Arial"/>
        <family val="2"/>
      </rPr>
      <t xml:space="preserve"> Uitbetaling, in ooreenstemming met klousule 7, te ontvang nie.</t>
    </r>
  </si>
  <si>
    <r>
      <t>5.3</t>
    </r>
    <r>
      <rPr>
        <sz val="7"/>
        <color theme="1"/>
        <rFont val="Arial"/>
        <family val="2"/>
      </rPr>
      <t xml:space="preserve">             </t>
    </r>
    <r>
      <rPr>
        <sz val="11"/>
        <color theme="1"/>
        <rFont val="Arial"/>
        <family val="2"/>
      </rPr>
      <t>Ter wille van duidelikheid word dit aangeteken dat aankope van  Produkte vanaf die Handelaar deur die Kliënt na die Laatste  Aankoop Datum, nie in ag geneem sal word om te bepaal of die Kliënt die Minimum Aankoopwaarde bereik het of nie.</t>
    </r>
  </si>
  <si>
    <r>
      <t>5.4</t>
    </r>
    <r>
      <rPr>
        <sz val="7"/>
        <color theme="1"/>
        <rFont val="Arial"/>
        <family val="2"/>
      </rPr>
      <t xml:space="preserve">             </t>
    </r>
    <r>
      <rPr>
        <sz val="11"/>
        <color theme="1"/>
        <rFont val="Arial"/>
        <family val="2"/>
      </rPr>
      <t>Nieteenstaande die bepalings van klousule 5.1 beskik Syngenta oor die diskresionêre bevoegdheid om die AgriSafe Uitbetaling aan die Kliënt te betaal as die werklike aankoopwaarde nie meer as 1% minder is as die Minimum Aankoopwaarde nie.</t>
    </r>
  </si>
  <si>
    <r>
      <t>6.</t>
    </r>
    <r>
      <rPr>
        <sz val="7"/>
        <color theme="1"/>
        <rFont val="Arial"/>
        <family val="2"/>
      </rPr>
      <t xml:space="preserve">         </t>
    </r>
    <r>
      <rPr>
        <b/>
        <sz val="11.5"/>
        <color theme="1"/>
        <rFont val="Arial"/>
        <family val="2"/>
      </rPr>
      <t>Gebruik van die Produkte</t>
    </r>
  </si>
  <si>
    <r>
      <t>7.</t>
    </r>
    <r>
      <rPr>
        <sz val="7"/>
        <color theme="1"/>
        <rFont val="Arial"/>
        <family val="2"/>
      </rPr>
      <t xml:space="preserve">         </t>
    </r>
    <r>
      <rPr>
        <b/>
        <sz val="11.5"/>
        <color theme="1"/>
        <rFont val="Arial"/>
        <family val="2"/>
      </rPr>
      <t>Berekening van die AgriSafe</t>
    </r>
    <r>
      <rPr>
        <b/>
        <vertAlign val="superscript"/>
        <sz val="11.5"/>
        <color theme="1"/>
        <rFont val="Arial"/>
        <family val="2"/>
      </rPr>
      <t>TM</t>
    </r>
    <r>
      <rPr>
        <b/>
        <sz val="11.5"/>
        <color theme="1"/>
        <rFont val="Arial"/>
        <family val="2"/>
      </rPr>
      <t xml:space="preserve"> Uitbetaling</t>
    </r>
  </si>
  <si>
    <r>
      <t>7.2</t>
    </r>
    <r>
      <rPr>
        <sz val="7"/>
        <color theme="1"/>
        <rFont val="Arial"/>
        <family val="2"/>
      </rPr>
      <t xml:space="preserve">             </t>
    </r>
    <r>
      <rPr>
        <sz val="11"/>
        <color theme="1"/>
        <rFont val="Arial"/>
        <family val="2"/>
      </rPr>
      <t>Die AgriSafe</t>
    </r>
    <r>
      <rPr>
        <vertAlign val="superscript"/>
        <sz val="11"/>
        <color theme="1"/>
        <rFont val="Arial"/>
        <family val="2"/>
      </rPr>
      <t>TM</t>
    </r>
    <r>
      <rPr>
        <sz val="11"/>
        <color theme="1"/>
        <rFont val="Arial"/>
        <family val="2"/>
      </rPr>
      <t xml:space="preserve"> Uitbetaling sal soos volg bereken word: </t>
    </r>
  </si>
  <si>
    <r>
      <t>7.3</t>
    </r>
    <r>
      <rPr>
        <sz val="7"/>
        <color theme="1"/>
        <rFont val="Arial"/>
        <family val="2"/>
      </rPr>
      <t xml:space="preserve">             </t>
    </r>
    <r>
      <rPr>
        <sz val="11"/>
        <color theme="1"/>
        <rFont val="Arial"/>
        <family val="2"/>
      </rPr>
      <t>Binne 7 (sewe) dae van die AgriSafe</t>
    </r>
    <r>
      <rPr>
        <vertAlign val="superscript"/>
        <sz val="11"/>
        <color theme="1"/>
        <rFont val="Arial"/>
        <family val="2"/>
      </rPr>
      <t>TM</t>
    </r>
    <r>
      <rPr>
        <sz val="11"/>
        <color theme="1"/>
        <rFont val="Arial"/>
        <family val="2"/>
      </rPr>
      <t xml:space="preserve"> Vestigings Datum sal Syngenta die Kliënt skriftelik in kennis stel of die AgriSafe</t>
    </r>
    <r>
      <rPr>
        <vertAlign val="superscript"/>
        <sz val="11"/>
        <color theme="1"/>
        <rFont val="Arial"/>
        <family val="2"/>
      </rPr>
      <t>TM</t>
    </r>
    <r>
      <rPr>
        <sz val="11"/>
        <color theme="1"/>
        <rFont val="Arial"/>
        <family val="2"/>
      </rPr>
      <t xml:space="preserve"> Uitbetaling aan die Kliënt gemaak gaan  word of nie.</t>
    </r>
  </si>
  <si>
    <r>
      <t>7.4</t>
    </r>
    <r>
      <rPr>
        <sz val="7"/>
        <color theme="1"/>
        <rFont val="Arial"/>
        <family val="2"/>
      </rPr>
      <t xml:space="preserve">             </t>
    </r>
    <r>
      <rPr>
        <sz val="11"/>
        <color theme="1"/>
        <rFont val="Arial"/>
        <family val="2"/>
      </rPr>
      <t>Indien die AgriSafe</t>
    </r>
    <r>
      <rPr>
        <vertAlign val="superscript"/>
        <sz val="11"/>
        <color theme="1"/>
        <rFont val="Arial"/>
        <family val="2"/>
      </rPr>
      <t>TM</t>
    </r>
    <r>
      <rPr>
        <sz val="11"/>
        <color theme="1"/>
        <rFont val="Arial"/>
        <family val="2"/>
      </rPr>
      <t xml:space="preserve"> Uitbetaling gemaak gaan word, sal die Kliënt Syngenta verskaf van sy bankrekening besonderhede waarin die AgriSafe</t>
    </r>
    <r>
      <rPr>
        <vertAlign val="superscript"/>
        <sz val="11"/>
        <color theme="1"/>
        <rFont val="Arial"/>
        <family val="2"/>
      </rPr>
      <t>TM</t>
    </r>
    <r>
      <rPr>
        <sz val="11"/>
        <color theme="1"/>
        <rFont val="Arial"/>
        <family val="2"/>
      </rPr>
      <t xml:space="preserve"> Uitbetaling gemaak moet word. Die Kliënt sal sodanige besonderhede verskaf binne 5 (vyf) dae na ontvangs van die kennisgewing verwys na in klousule 7.3 hierbo.</t>
    </r>
  </si>
  <si>
    <r>
      <t>7.5</t>
    </r>
    <r>
      <rPr>
        <sz val="7"/>
        <color theme="1"/>
        <rFont val="Arial"/>
        <family val="2"/>
      </rPr>
      <t xml:space="preserve">             </t>
    </r>
    <r>
      <rPr>
        <sz val="11"/>
        <color theme="1"/>
        <rFont val="Arial"/>
        <family val="2"/>
      </rPr>
      <t>Die AgriSafe</t>
    </r>
    <r>
      <rPr>
        <vertAlign val="superscript"/>
        <sz val="11"/>
        <color theme="1"/>
        <rFont val="Arial"/>
        <family val="2"/>
      </rPr>
      <t>TM</t>
    </r>
    <r>
      <rPr>
        <sz val="11"/>
        <color theme="1"/>
        <rFont val="Arial"/>
        <family val="2"/>
      </rPr>
      <t xml:space="preserve"> Uitbetaling sal gemaak word deur Syngenta aan die Kliënt binne 60 (sestig) dae vanaf die datum waarop die Kliënt Syngenta verskaf het met die bankrekening besonderhede verwys na in klousule 7.4 hierbo.</t>
    </r>
  </si>
  <si>
    <r>
      <t>8.</t>
    </r>
    <r>
      <rPr>
        <sz val="7"/>
        <color theme="1"/>
        <rFont val="Arial"/>
        <family val="2"/>
      </rPr>
      <t xml:space="preserve">         </t>
    </r>
    <r>
      <rPr>
        <b/>
        <sz val="11.5"/>
        <color theme="1"/>
        <rFont val="Arial"/>
        <family val="2"/>
      </rPr>
      <t xml:space="preserve">Algemeen </t>
    </r>
  </si>
  <si>
    <r>
      <t>8.1</t>
    </r>
    <r>
      <rPr>
        <sz val="7"/>
        <color theme="1"/>
        <rFont val="Arial"/>
        <family val="2"/>
      </rPr>
      <t xml:space="preserve">             </t>
    </r>
    <r>
      <rPr>
        <b/>
        <sz val="11"/>
        <color theme="1"/>
        <rFont val="Arial"/>
        <family val="2"/>
      </rPr>
      <t xml:space="preserve">Kennisgewings </t>
    </r>
  </si>
  <si>
    <r>
      <t>8.1.1</t>
    </r>
    <r>
      <rPr>
        <sz val="7"/>
        <color theme="1"/>
        <rFont val="Arial"/>
        <family val="2"/>
      </rPr>
      <t xml:space="preserve">               </t>
    </r>
    <r>
      <rPr>
        <sz val="11"/>
        <color theme="1"/>
        <rFont val="Arial"/>
        <family val="2"/>
      </rPr>
      <t>Elke party kies hierdie adres vir alle doeleindes kragtens hierdie Ooreenkoms ("</t>
    </r>
    <r>
      <rPr>
        <b/>
        <sz val="11"/>
        <color theme="1"/>
        <rFont val="Arial"/>
        <family val="2"/>
      </rPr>
      <t>Gekose Adres</t>
    </r>
    <r>
      <rPr>
        <sz val="11"/>
        <color theme="1"/>
        <rFont val="Arial"/>
        <family val="2"/>
      </rPr>
      <t>"), of dit nou vir die bediening van hofproses is of aflewering van dokumente, 'n kennisgewing, of enige ander kommunikasie is, van watter aard ookal en vir alle doeleindes kragtens hierdie Ooreenkoms:</t>
    </r>
  </si>
  <si>
    <r>
      <t>8.1.2</t>
    </r>
    <r>
      <rPr>
        <sz val="7"/>
        <color theme="1"/>
        <rFont val="Arial"/>
        <family val="2"/>
      </rPr>
      <t xml:space="preserve">               </t>
    </r>
    <r>
      <rPr>
        <sz val="11"/>
        <color theme="1"/>
        <rFont val="Arial"/>
        <family val="2"/>
      </rPr>
      <t>Enige kennisgewing wat vereis word of toegelaat word kragtens hierdie Ooreenkoms is slegs geldig indien dit skriftelik gedoen word.</t>
    </r>
  </si>
  <si>
    <r>
      <t>8.1.3</t>
    </r>
    <r>
      <rPr>
        <sz val="7"/>
        <color theme="1"/>
        <rFont val="Arial"/>
        <family val="2"/>
      </rPr>
      <t xml:space="preserve">               </t>
    </r>
    <r>
      <rPr>
        <sz val="11"/>
        <color theme="1"/>
        <rFont val="Arial"/>
        <family val="2"/>
      </rPr>
      <t>Enige Party kan deur 'n kennisgewing aan die ander Party sy Gekose Adres verander na 'n ander fisiese adres in die Republiek van Suid-Afrika en daardie verandering sal in werking optree op die sewende dag na die datum van ontvangs deur die Party wat die kennisgewing laaste ontvang het.</t>
    </r>
  </si>
  <si>
    <r>
      <t>8.1.4</t>
    </r>
    <r>
      <rPr>
        <sz val="7"/>
        <color theme="1"/>
        <rFont val="Arial"/>
        <family val="2"/>
      </rPr>
      <t xml:space="preserve">               </t>
    </r>
    <r>
      <rPr>
        <sz val="11"/>
        <color theme="1"/>
        <rFont val="Arial"/>
        <family val="2"/>
      </rPr>
      <t>Enige kennisgewing wat per hand by die Gekose Adres van 'n Party voor 17h00 afgelewer is, word geag as ontvang te wees op die datum van aflewering.</t>
    </r>
  </si>
  <si>
    <r>
      <t>8.1.5</t>
    </r>
    <r>
      <rPr>
        <sz val="7"/>
        <color theme="1"/>
        <rFont val="Arial"/>
        <family val="2"/>
      </rPr>
      <t xml:space="preserve">               </t>
    </r>
    <r>
      <rPr>
        <sz val="11"/>
        <color theme="1"/>
        <rFont val="Arial"/>
        <family val="2"/>
      </rPr>
      <t>Ondanks enigiets tot die teendeel in hierdie Ooreenkoms, 'n skriftelike kennisgewing wat werklik ontvang is deur 'n Party, insluitend 'n kennisgewing wat per telefaks gestuur is, is 'n voldoende kennisgewing selfs al is dit nie gestuur of afgelewer by die Gekose Adres nie.</t>
    </r>
  </si>
  <si>
    <r>
      <t>8.2</t>
    </r>
    <r>
      <rPr>
        <sz val="7"/>
        <color theme="1"/>
        <rFont val="Arial"/>
        <family val="2"/>
      </rPr>
      <t xml:space="preserve">             </t>
    </r>
    <r>
      <rPr>
        <b/>
        <sz val="11"/>
        <color theme="1"/>
        <rFont val="Arial"/>
        <family val="2"/>
      </rPr>
      <t>Toepaslike Wet</t>
    </r>
  </si>
  <si>
    <r>
      <t>8.3</t>
    </r>
    <r>
      <rPr>
        <sz val="7"/>
        <color theme="1"/>
        <rFont val="Arial"/>
        <family val="2"/>
      </rPr>
      <t xml:space="preserve">             </t>
    </r>
    <r>
      <rPr>
        <b/>
        <sz val="11"/>
        <color theme="1"/>
        <rFont val="Arial"/>
        <family val="2"/>
      </rPr>
      <t>Enigste Rekord van Ooreenkoms</t>
    </r>
  </si>
  <si>
    <r>
      <t>8.4</t>
    </r>
    <r>
      <rPr>
        <sz val="7"/>
        <color theme="1"/>
        <rFont val="Arial"/>
        <family val="2"/>
      </rPr>
      <t xml:space="preserve">             </t>
    </r>
    <r>
      <rPr>
        <b/>
        <sz val="11"/>
        <color theme="1"/>
        <rFont val="Arial"/>
        <family val="2"/>
      </rPr>
      <t>Vertroulikheid</t>
    </r>
  </si>
  <si>
    <r>
      <t>8.5</t>
    </r>
    <r>
      <rPr>
        <sz val="7"/>
        <color theme="1"/>
        <rFont val="Arial"/>
        <family val="2"/>
      </rPr>
      <t xml:space="preserve">             </t>
    </r>
    <r>
      <rPr>
        <b/>
        <sz val="11"/>
        <color theme="1"/>
        <rFont val="Arial"/>
        <family val="2"/>
      </rPr>
      <t>Sessie of Oordrag</t>
    </r>
  </si>
  <si>
    <r>
      <t>8.6</t>
    </r>
    <r>
      <rPr>
        <sz val="7"/>
        <color theme="1"/>
        <rFont val="Arial"/>
        <family val="2"/>
      </rPr>
      <t xml:space="preserve">             </t>
    </r>
    <r>
      <rPr>
        <b/>
        <sz val="11"/>
        <color theme="1"/>
        <rFont val="Arial"/>
        <family val="2"/>
      </rPr>
      <t xml:space="preserve">Wysigings </t>
    </r>
  </si>
  <si>
    <r>
      <t>9.</t>
    </r>
    <r>
      <rPr>
        <sz val="7"/>
        <color theme="1"/>
        <rFont val="Arial"/>
        <family val="2"/>
      </rPr>
      <t xml:space="preserve">         </t>
    </r>
    <r>
      <rPr>
        <b/>
        <sz val="11.5"/>
        <color theme="1"/>
        <rFont val="Arial"/>
        <family val="2"/>
      </rPr>
      <t>Opsommings Klousule</t>
    </r>
  </si>
  <si>
    <r>
      <t>9.1</t>
    </r>
    <r>
      <rPr>
        <sz val="7"/>
        <color theme="1"/>
        <rFont val="Arial"/>
        <family val="2"/>
      </rPr>
      <t xml:space="preserve">             </t>
    </r>
    <r>
      <rPr>
        <sz val="11"/>
        <color theme="1"/>
        <rFont val="Arial"/>
        <family val="2"/>
      </rPr>
      <t>Kliënt naam:</t>
    </r>
  </si>
  <si>
    <r>
      <t>9.2</t>
    </r>
    <r>
      <rPr>
        <sz val="7"/>
        <color theme="1"/>
        <rFont val="Arial"/>
        <family val="2"/>
      </rPr>
      <t xml:space="preserve">             </t>
    </r>
    <r>
      <rPr>
        <sz val="11"/>
        <color theme="1"/>
        <rFont val="Arial"/>
        <family val="2"/>
      </rPr>
      <t>Datum:</t>
    </r>
  </si>
  <si>
    <r>
      <t>9.4</t>
    </r>
    <r>
      <rPr>
        <sz val="7"/>
        <color theme="1"/>
        <rFont val="Arial"/>
        <family val="2"/>
      </rPr>
      <t xml:space="preserve">             </t>
    </r>
    <r>
      <rPr>
        <sz val="11"/>
        <color theme="1"/>
        <rFont val="Arial"/>
        <family val="2"/>
      </rPr>
      <t>Aankoopwaarde:</t>
    </r>
  </si>
  <si>
    <r>
      <t>9.5</t>
    </r>
    <r>
      <rPr>
        <sz val="7"/>
        <color theme="1"/>
        <rFont val="Arial"/>
        <family val="2"/>
      </rPr>
      <t xml:space="preserve">             </t>
    </r>
    <r>
      <rPr>
        <sz val="11"/>
        <color theme="1"/>
        <rFont val="Arial"/>
        <family val="2"/>
      </rPr>
      <t>Tonnemaat:</t>
    </r>
  </si>
  <si>
    <r>
      <t>7.1</t>
    </r>
    <r>
      <rPr>
        <sz val="7"/>
        <color theme="1"/>
        <rFont val="Arial"/>
        <family val="2"/>
      </rPr>
      <t xml:space="preserve">             </t>
    </r>
    <r>
      <rPr>
        <sz val="11"/>
        <color theme="1"/>
        <rFont val="Arial"/>
        <family val="2"/>
      </rPr>
      <t>Vir die berekening van die AgriSafe</t>
    </r>
    <r>
      <rPr>
        <vertAlign val="superscript"/>
        <sz val="11"/>
        <color theme="1"/>
        <rFont val="Arial"/>
        <family val="2"/>
      </rPr>
      <t>TM</t>
    </r>
    <r>
      <rPr>
        <sz val="11"/>
        <color theme="1"/>
        <rFont val="Arial"/>
        <family val="2"/>
      </rPr>
      <t xml:space="preserve"> Uitbetaling, gebaseer op die Verwysingsprys, sal Syngenta</t>
    </r>
  </si>
  <si>
    <t>metrieke ton gebruik.</t>
  </si>
  <si>
    <t>Syngenta South Africa (Pty) Ltd      Gemerk vir aandag van:</t>
  </si>
  <si>
    <t>metrieke ton</t>
  </si>
  <si>
    <t>Geteken te</t>
  </si>
  <si>
    <t>op</t>
  </si>
  <si>
    <t>{"IsHide":false,"SheetId":10,"Name":"Ooreenkoms","HiddenRow":10,"VisibleRange":"","SheetTheme":{"TabColor":"","BodyColor":"","BodyImage":""}}</t>
  </si>
  <si>
    <t>_Ctrl_43</t>
  </si>
  <si>
    <t>{"WidgetClassification":0,"State":1,"IsRequired":true,"IsMultiline":false,"IsHidden":false,"Placeholder":"","InputType":0,"Rows":3,"IsMergeJustify":false,"CellName":"_Ctrl_43","CellAddress":"='Ooreenkoms'!$C$9","WidgetName":4,"HiddenRow":43,"SheetCodeName":null,"ControlId":"klient"}</t>
  </si>
  <si>
    <t>_Ctrl_44</t>
  </si>
  <si>
    <t>{"WidgetClassification":0,"State":1,"IsRequired":true,"IsMultiline":false,"IsHidden":false,"Placeholder":"","InputType":0,"Rows":3,"IsMergeJustify":false,"CellName":"_Ctrl_44","CellAddress":"='Ooreenkoms'!$C$22","WidgetName":4,"HiddenRow":44,"SheetCodeName":null,"ControlId":"handelaar"}</t>
  </si>
  <si>
    <t>_Ctrl_45</t>
  </si>
  <si>
    <t>{"WidgetClassification":0,"State":1,"IsRequired":true,"IsMultiline":false,"IsHidden":false,"Placeholder":"","InputType":0,"Rows":3,"IsMergeJustify":false,"CellName":"_Ctrl_45","CellAddress":"='Ooreenkoms'!$C$39","WidgetName":4,"HiddenRow":45,"SheetCodeName":null,"ControlId":"aankoopwaarde"}</t>
  </si>
  <si>
    <t>_Ctrl_46</t>
  </si>
  <si>
    <t>{"WidgetClassification":0,"State":1,"IsRequired":false,"IsMultiline":false,"IsHidden":false,"Placeholder":"","InputType":0,"Rows":3,"IsMergeJustify":false,"CellName":"_Ctrl_46","CellAddress":"='Ooreenkoms'!$B$57","WidgetName":4,"HiddenRow":46,"SheetCodeName":null,"ControlId":"metrieketon"}</t>
  </si>
  <si>
    <t>_Ctrl_47</t>
  </si>
  <si>
    <t>{"WidgetClassification":0,"State":1,"IsRequired":true,"IsMultiline":false,"IsHidden":false,"Placeholder":"","InputType":0,"Rows":3,"IsMergeJustify":false,"CellName":"_Ctrl_47","CellAddress":"='Ooreenkoms'!$B$67","WidgetName":4,"HiddenRow":47,"SheetCodeName":null,"ControlId":"gekoseadres"}</t>
  </si>
  <si>
    <t>_Ctrl_48</t>
  </si>
  <si>
    <t>{"WidgetClassification":0,"State":1,"IsRequired":true,"IsMultiline":false,"IsHidden":false,"Placeholder":"","InputType":0,"Rows":3,"IsMergeJustify":false,"CellName":"_Ctrl_48","CellAddress":"='Ooreenkoms'!$E$67","WidgetName":4,"HiddenRow":48,"SheetCodeName":null,"ControlId":"blok1"}</t>
  </si>
  <si>
    <t>_Ctrl_49</t>
  </si>
  <si>
    <t>{"WidgetClassification":0,"State":1,"IsRequired":true,"IsMultiline":false,"IsHidden":false,"Placeholder":"","InputType":0,"Rows":3,"IsMergeJustify":false,"CellName":"_Ctrl_49","CellAddress":"='Ooreenkoms'!$E$69","WidgetName":4,"HiddenRow":49,"SheetCodeName":null,"ControlId":"blok2"}</t>
  </si>
  <si>
    <t>_Ctrl_50</t>
  </si>
  <si>
    <t>{"WidgetClassification":0,"State":1,"IsRequired":false,"IsMultiline":false,"IsHidden":false,"Placeholder":"","InputType":0,"Rows":3,"IsMergeJustify":false,"CellName":"_Ctrl_50","CellAddress":"='Ooreenkoms'!$E$71","WidgetName":4,"HiddenRow":50,"SheetCodeName":null,"ControlId":"blok3"}</t>
  </si>
  <si>
    <t>_Ctrl_51</t>
  </si>
  <si>
    <t>{"WidgetClassification":0,"State":1,"IsRequired":false,"IsMultiline":false,"IsHidden":false,"Placeholder":"","InputType":0,"Rows":3,"IsMergeJustify":false,"CellName":"_Ctrl_51","CellAddress":"='Ooreenkoms'!$E$73","WidgetName":4,"HiddenRow":51,"SheetCodeName":null,"ControlId":"blok4"}</t>
  </si>
  <si>
    <t>_Ctrl_52</t>
  </si>
  <si>
    <t>{"WidgetClassification":0,"State":1,"IsRequired":true,"IsMultiline":false,"IsHidden":false,"Placeholder":"","InputType":0,"Rows":3,"IsMergeJustify":false,"CellName":"_Ctrl_52","CellAddress":"='Ooreenkoms'!$C$100","WidgetName":4,"HiddenRow":52,"SheetCodeName":null,"ControlId":"klientnaam"}</t>
  </si>
  <si>
    <t>_Ctrl_53</t>
  </si>
  <si>
    <t>{"WidgetClassification":0,"State":1,"IsRequired":false,"IsMergeJustify":false,"DefaultValue":"2013/04/19","CalendarFlavor":3,"CellName":"_Ctrl_53","CellAddress":"='Ooreenkoms'!$C$102","WidgetName":1,"HiddenRow":53,"SheetCodeName":null,"ControlId":"datum1"}</t>
  </si>
  <si>
    <t>_Ctrl_54</t>
  </si>
  <si>
    <t>_Ctrl_55</t>
  </si>
  <si>
    <t>{"WidgetClassification":0,"State":1,"IsRequired":true,"IsMultiline":false,"IsHidden":false,"Placeholder":"","InputType":0,"Rows":3,"IsMergeJustify":false,"CellName":"_Ctrl_55","CellAddress":"='Ooreenkoms'!$C$106","WidgetName":4,"HiddenRow":55,"SheetCodeName":null,"ControlId":"aankoopwaarde"}</t>
  </si>
  <si>
    <t>_Ctrl_56</t>
  </si>
  <si>
    <t>{"WidgetClassification":0,"State":1,"IsRequired":true,"IsMultiline":false,"IsHidden":false,"Placeholder":"","InputType":0,"Rows":3,"IsMergeJustify":false,"CellName":"_Ctrl_56","CellAddress":"='Ooreenkoms'!$C$108","WidgetName":4,"HiddenRow":56,"SheetCodeName":null,"ControlId":"tonnemaat"}</t>
  </si>
  <si>
    <t>_Ctrl_57</t>
  </si>
  <si>
    <t>{"WidgetClassification":0,"State":1,"IsRequired":true,"IsMultiline":false,"IsHidden":false,"Placeholder":"","InputType":0,"Rows":3,"IsMergeJustify":false,"CellName":"_Ctrl_57","CellAddress":"='Ooreenkoms'!$C$110","WidgetName":4,"HiddenRow":57,"SheetCodeName":null,"ControlId":"geteken_te1"}</t>
  </si>
  <si>
    <t>_Ctrl_58</t>
  </si>
  <si>
    <t>{"WidgetClassification":0,"State":1,"IsRequired":false,"IsMergeJustify":false,"DefaultValue":"2013/04/19","CalendarFlavor":3,"CellName":"_Ctrl_58","CellAddress":"='Ooreenkoms'!$C$111","WidgetName":1,"HiddenRow":58,"SheetCodeName":null,"ControlId":"datum3"}</t>
  </si>
  <si>
    <t>_Ctrl_59</t>
  </si>
  <si>
    <t>{"WidgetClassification":0,"State":1,"IsRequired":true,"IsMultiline":false,"IsHidden":false,"Placeholder":"","InputType":0,"Rows":3,"IsMergeJustify":false,"CellName":"_Ctrl_59","CellAddress":"='Ooreenkoms'!$C$114","WidgetName":4,"HiddenRow":59,"SheetCodeName":null,"ControlId":"geteken_te2"}</t>
  </si>
  <si>
    <t>_Ctrl_60</t>
  </si>
  <si>
    <t>{"WidgetClassification":0,"State":1,"IsRequired":false,"IsMergeJustify":false,"DefaultValue":"2013/04/19","CalendarFlavor":3,"CellName":"_Ctrl_60","CellAddress":"='Ooreenkoms'!$C$115","WidgetName":1,"HiddenRow":60,"SheetCodeName":null,"ControlId":"datum4"}</t>
  </si>
  <si>
    <t>Block 10  Thornhill Office Park   94 Bekker Street    Midrand Gauteng   Tel: +27 11 541 4000 Fax: +27 11 541 4022</t>
  </si>
  <si>
    <t>Syngenta Produk</t>
  </si>
  <si>
    <t>Ander produk</t>
  </si>
  <si>
    <t>Ander Produkte</t>
  </si>
  <si>
    <t>_Ctrl_61</t>
  </si>
  <si>
    <t>{"WidgetClassification":0,"State":1,"IsRequired":true,"IsMultiline":false,"IsHidden":false,"Placeholder":"","InputType":0,"Rows":3,"IsMergeJustify":false,"CellName":"_Ctrl_61","CellAddress":"='Plaasinligting'!$E$23","WidgetName":4,"HiddenRow":61,"SheetCodeName":null,"ControlId":"posadres"}</t>
  </si>
  <si>
    <t>_Ctrl_62</t>
  </si>
  <si>
    <t>{"WidgetClassification":0,"State":1,"IsRequired":false,"IsMultiline":false,"IsHidden":false,"Placeholder":"","InputType":0,"Rows":3,"IsMergeJustify":false,"CellName":"_Ctrl_62","CellAddress":"='Plaasinligting'!$D$53","WidgetName":4,"HiddenRow":62,"SheetCodeName":null,"ControlId":"getekenop"}</t>
  </si>
  <si>
    <t>Datum</t>
  </si>
  <si>
    <t>_Ctrl_63</t>
  </si>
  <si>
    <t xml:space="preserve">Indien nodig, Faks voltooide vorm na: 086 773 8671 of </t>
  </si>
  <si>
    <t>_Ctrl_64</t>
  </si>
  <si>
    <t>JA</t>
  </si>
  <si>
    <t>NEE</t>
  </si>
  <si>
    <t>_Ctrl_65</t>
  </si>
  <si>
    <t>_Ctrl_66</t>
  </si>
  <si>
    <t xml:space="preserve">Hierdie elektroniese bladsy kan nie onderteken word nie.  U word wel versoek om hier langsaan JA of NEE te antwoord. JA beteken u aanvaar die voorwaardes en terme soos vervat in en geimpliseer deur die ooreenkoms </t>
  </si>
  <si>
    <t>Kliënt</t>
  </si>
  <si>
    <t>Lt/kg per verpakking</t>
  </si>
  <si>
    <t>{"IsHide":true,"SheetId":11,"Name":"epos inligting aan Syngenta","HiddenRow":11,"VisibleRange":"","SheetTheme":{"TabColor":"","BodyColor":"","BodyImage":""}}</t>
  </si>
  <si>
    <t>Produkte</t>
  </si>
  <si>
    <t>E-pos adres:</t>
  </si>
  <si>
    <t>{"WidgetClassification":0,"State":1,"IsRequire":false,"DefaultChecked":false,"Label":"","EnableSubmit":false,"CellName":"_Ctrl_38","CellAddress":"=Plaasinligting!$F$35","WidgetName":2,"HiddenRow":38,"SheetCodeName":null,"ControlId":"JA"}</t>
  </si>
  <si>
    <t>{"WidgetClassification":0,"State":1,"IsRequire":false,"DefaultChecked":false,"Label":"","EnableSubmit":false,"CellName":"_Ctrl_66","CellAddress":"='Plaasinligting'!$J$35","WidgetName":2,"HiddenRow":66,"SheetCodeName":null,"ControlId":"NEE"}</t>
  </si>
  <si>
    <t>_Ctrl_67</t>
  </si>
  <si>
    <t>{"WidgetClassification":0,"State":1,"IsRequired":false,"IsMergeJustify":false,"DefaultValue":"2013/05/01","CalendarFlavor":3,"CellName":"_Ctrl_67","CellAddress":"='Plaasinligting'!$I$53","WidgetName":1,"HiddenRow":67,"SheetCodeName":null,"ControlId":"plaasdatum"}</t>
  </si>
  <si>
    <t>{"IsHide":false,"SheetId":7,"Name":"Gewasbeskermingsprogram","HiddenRow":7,"VisibleRange":"","SheetTheme":{"TabColor":"","BodyColor":"","BodyImage":""}}</t>
  </si>
  <si>
    <t>{"IsHide":false,"SheetId":8,"Name":"Verskansingsvoordeel","HiddenRow":8,"VisibleRange":"","SheetTheme":{"TabColor":"","BodyColor":"","BodyImage":""}}</t>
  </si>
  <si>
    <t>_Ctrl_68</t>
  </si>
  <si>
    <t>{"WidgetClassification":0,"State":1,"IsRequired":false,"DDLDefaultRequiredText":"Please Select","ListItem":"\r\nCruiser 350 FS\r\nCruiser 600 FS\r\nDividend","VlookupRange":"","CellName":"_Ctrl_68","CellAddress":"='Gewasbeskermingsprogram'!$C$27","WidgetName":3,"HiddenRow":68,"SheetCodeName":null,"ControlId":null}</t>
  </si>
  <si>
    <t>_Ctrl_69</t>
  </si>
  <si>
    <t>{"WidgetClassification":0,"State":1,"IsRequired":false,"DDLDefaultRequiredText":"Please Select","ListItem":"\r\nCruiser 350 FS\r\nCruiser 600 FS\r\nDividend","VlookupRange":"","CellName":"_Ctrl_69","CellAddress":"='Gewasbeskermingsprogram'!$D$27","WidgetName":3,"HiddenRow":69,"SheetCodeName":null,"ControlId":null}</t>
  </si>
  <si>
    <t>_Ctrl_70</t>
  </si>
  <si>
    <t>_Ctrl_71</t>
  </si>
  <si>
    <t>{"WidgetClassification":0,"State":1,"IsRequired":false,"DDLDefaultRequiredText":"Please Select","ListItem":"\r\nGramoxone\r\nPreeglone","VlookupRange":"","CellName":"_Ctrl_71","CellAddress":"='Gewasbeskermingsprogram'!$B$55","WidgetName":3,"HiddenRow":71,"SheetCodeName":null,"ControlId":null}</t>
  </si>
  <si>
    <t>_Ctrl_72</t>
  </si>
  <si>
    <t>{"WidgetClassification":0,"State":1,"IsRequired":false,"DDLDefaultRequiredText":"Please Select","ListItem":"\r\nGramoxone\r\nPreeglone","VlookupRange":"","CellName":"_Ctrl_72","CellAddress":"='Gewasbeskermingsprogram'!$C$55","WidgetName":3,"HiddenRow":72,"SheetCodeName":null,"ControlId":null}</t>
  </si>
  <si>
    <t>_Ctrl_73</t>
  </si>
  <si>
    <t>{"WidgetClassification":0,"State":1,"IsRequired":false,"DDLDefaultRequiredText":"Please Select","ListItem":"\r\nGramoxone\r\nPreeglone","VlookupRange":"","CellName":"_Ctrl_73","CellAddress":"='Gewasbeskermingsprogram'!$D$55","WidgetName":3,"HiddenRow":73,"SheetCodeName":null,"ControlId":null}</t>
  </si>
  <si>
    <t>_Ctrl_74</t>
  </si>
  <si>
    <t>{"WidgetClassification":0,"State":1,"IsRequired":false,"DDLDefaultRequiredText":"Please Select","ListItem":"\r\nBoxer\r\nLogran","VlookupRange":"","CellName":"_Ctrl_74","CellAddress":"='Gewasbeskermingsprogram'!$B$83","WidgetName":3,"HiddenRow":74,"SheetCodeName":null,"ControlId":null}</t>
  </si>
  <si>
    <t>_Ctrl_75</t>
  </si>
  <si>
    <t>{"WidgetClassification":0,"State":1,"IsRequired":false,"DDLDefaultRequiredText":"Please Select","ListItem":"\r\nBoxer\r\nLogran","VlookupRange":"","CellName":"_Ctrl_75","CellAddress":"='Gewasbeskermingsprogram'!$C$83","WidgetName":3,"HiddenRow":75,"SheetCodeName":null,"ControlId":null}</t>
  </si>
  <si>
    <t>_Ctrl_76</t>
  </si>
  <si>
    <t>{"WidgetClassification":0,"State":1,"IsRequired":false,"DDLDefaultRequiredText":"Please Select","ListItem":"\r\nBoxer\r\nLogran","VlookupRange":"","CellName":"_Ctrl_76","CellAddress":"='Gewasbeskermingsprogram'!$D$83","WidgetName":3,"HiddenRow":76,"SheetCodeName":null,"ControlId":null}</t>
  </si>
  <si>
    <t>_Ctrl_77</t>
  </si>
  <si>
    <t>{"WidgetClassification":0,"State":1,"IsRequired":false,"DDLDefaultRequiredText":"Please Select","ListItem":"\r\nAmistar Xtra\r\nAphox\r\nArtea\r\nAxial\r\nLogran\r\nPeak\r\nTilt\r\nTopik\r\nUnix","VlookupRange":"","CellName":"_Ctrl_77","CellAddress":"='Gewasbeskermingsprogram'!$B$111","WidgetName":3,"HiddenRow":77,"SheetCodeName":null,"ControlId":null}</t>
  </si>
  <si>
    <t>_Ctrl_78</t>
  </si>
  <si>
    <t>{"WidgetClassification":0,"State":1,"IsRequired":false,"DDLDefaultRequiredText":"Please Select","ListItem":"\r\nAmistar Xtra\r\nAphox\r\nArtea\r\nAxial\r\nLogran\r\nPeak\r\nTilt\r\nTopik\r\nUnix","VlookupRange":"","CellName":"_Ctrl_78","CellAddress":"='Gewasbeskermingsprogram'!$C$111","WidgetName":3,"HiddenRow":78,"SheetCodeName":null,"ControlId":null}</t>
  </si>
  <si>
    <t>_Ctrl_79</t>
  </si>
  <si>
    <t>{"WidgetClassification":0,"State":1,"IsRequired":false,"DDLDefaultRequiredText":"Please Select","ListItem":"\r\nAmistar Xtra\r\nAphox\r\nArtea\r\nAxial\r\nLogran\r\nPeak\r\nTilt\r\nTopik\r\nUnix","VlookupRange":"","CellName":"_Ctrl_79","CellAddress":"='Gewasbeskermingsprogram'!$D$111","WidgetName":3,"HiddenRow":79,"SheetCodeName":null,"ControlId":null}</t>
  </si>
  <si>
    <t>_Ctrl_80</t>
  </si>
  <si>
    <t>_Ctrl_81</t>
  </si>
  <si>
    <t>{"WidgetClassification":3,"State":1,"IsHidden":true,"CellName":"_Ctrl_81","CellAddress":"='Gewasbeskermingsprogram'!$G$24","WidgetName":20,"HiddenRow":81,"SheetCodeName":null,"ControlId":"sel1"}</t>
  </si>
  <si>
    <t>Apron XL</t>
  </si>
  <si>
    <t>Dual Gold</t>
  </si>
  <si>
    <t>Metagan Gold</t>
  </si>
  <si>
    <t>AgriSafe mielieprys op die dag van aankope (R/ton)</t>
  </si>
  <si>
    <t>Maak Syngenta kontantbetaling aan boer vir bedrag</t>
  </si>
  <si>
    <r>
      <t>9.3</t>
    </r>
    <r>
      <rPr>
        <sz val="7"/>
        <color theme="1"/>
        <rFont val="Arial"/>
        <family val="2"/>
      </rPr>
      <t xml:space="preserve">             </t>
    </r>
    <r>
      <rPr>
        <sz val="11"/>
        <color theme="1"/>
        <rFont val="Arial"/>
        <family val="2"/>
      </rPr>
      <t>Laaste Aankoopdatum: 31 Januarie 2014</t>
    </r>
  </si>
  <si>
    <t>{"WidgetClassification":0,"State":1,"IsRequired":false,"DDLDefaultRequiredText":"Kies 'n produk","ListItem":"\r\nAvicta\r\nApron XL\r\nCruiser 350 FS\r\nCruiser 600 FS","VlookupRange":"","CellName":"_Ctrl_1","CellAddress":"=Gewasbeskermingsprogram!$C$27","WidgetName":3,"HiddenRow":1,"SheetCodeName":null,"ControlId":null}</t>
  </si>
  <si>
    <t>{"WidgetClassification":0,"State":1,"IsRequired":false,"DDLDefaultRequiredText":"Kies 'n produk","ListItem":"\r\nCallisto\r\nCamix \r\nCamix Pack\r\nCamix Plus\r\nComplement Super\r\nDual Gold\r\nGardomil Gold\r\nGesaprim Super \r\nHalex GT\r\nKarate EC\r\nKarate Zeon\r\nLexar Pack\r\nMetagan Gold\r\nPrimagram Gold\r\nServian\r\nSorgomil Gold\r\nSynpack Top\r\nTouchdown","VlookupRange":"","CellName":"_Ctrl_2","CellAddress":"=Gewasbeskermingsprogram!$B$55","WidgetName":3,"HiddenRow":2,"SheetCodeName":null,"ControlId":null}</t>
  </si>
  <si>
    <t>{"WidgetClassification":0,"State":1,"IsRequired":false,"DDLDefaultRequiredText":"Kies 'n produk","ListItem":"\r\nCallisto\r\nCamix \r\nCamix Pack\r\nCamix Plus\r\nComplement Super\r\nDual Gold\r\nGardomil Gold\r\nGesaprim Super \r\nHalex GT\r\nKarate EC\r\nKarate Zeon\r\nLexar Pack\r\nMetagan Gold\r\nPrimagram Gold\r\nServian\r\nSorgomil Gold\r\nSynpack Top\r\nTouchdown","VlookupRange":"","CellName":"_Ctrl_3","CellAddress":"=Gewasbeskermingsprogram!$B$83","WidgetName":3,"HiddenRow":3,"SheetCodeName":null,"ControlId":null}</t>
  </si>
  <si>
    <t>{"WidgetClassification":0,"State":1,"IsRequired":false,"DDLDefaultRequiredText":"Kies 'n produk","ListItem":"\r\nAmistar 250 SC\r\nAmistar Top\r\nArtea\r\nCallisto\r\nCamix \r\nCamix Pack\r\nCamix Plus\r\nComplement Super\r\nDual Gold\r\nGardomil Gold\r\nGesaprim Super \r\nHalex GT\r\nKarate EC\r\nKarate Zeon\r\nLexar Pack\r\nMetagan Gold\r\nPrimagram Gold\r\nServian\r\nSorgomil Gold\r\nSynpack Top\r\nTouchdown","VlookupRange":"","CellName":"_Ctrl_4","CellAddress":"=Gewasbeskermingsprogram!$C$111","WidgetName":3,"HiddenRow":4,"SheetCodeName":null,"ControlId":null}</t>
  </si>
  <si>
    <t>_Ctrl_82</t>
  </si>
  <si>
    <t>_Ctrl_83</t>
  </si>
  <si>
    <t>{"Captcha":{"Heading":"Enter the number displayed below.","Message":"This is to verify that you are a human visitor, to prevent automated form submissions.","OkButton":"OK","CancelButton":"Cancel","ErrorMessage":"Your answer is incorrect, please try again."},"RequiredField":{"ErrorMessage":"The fields with the red border are required.","OkButton":"OK","DDLDefaultRequiredText":"Kies 'n produk"},"WizardButton":{"Next":"Next","Previous":"Previous","Cancel":"Cancel","Finish":"Finish"},"ToolbarButton":{"Submit":"Submit","Print":"Print","PrintAll":"Print All","Reset":"Reset","Update":"Update","Back":"Back"},"BrowserAndLocation":{"Browsers":[{"Name":"chrome.exe"},{"Name":"iexplore.exe"},{"Name":"firefox.exe"}],"ConversionPath":"C:\\Users\\user\\Documents\\SpreadsheetConverter"},"AdvancedSettingsModels":[],"Dropbox":{"AccessToken":"","AccessSecret":""},"SpreadsheetServer":{"Username":"","Password":"","ServerUrl":""},"ConfigureSubmitDefault":{"Email":"syntagmresearch@gmail.com; stefan.van_zyl@syngenta.com; Louise.Swart@syngenta.com"}}</t>
  </si>
  <si>
    <t>{"WidgetClassification":0,"State":1,"IsRequired":true,"IsMultiline":false,"IsHidden":false,"Placeholder":"","InputType":0,"Rows":3,"IsMergeJustify":false,"CellName":"_Ctrl_82","CellAddress":"=Plaasinligting!$J$56","WidgetName":4,"HiddenRow":82,"SheetCodeName":null,"ControlId":"jaofnee"}</t>
  </si>
  <si>
    <t>Hierdie blokkie moet voltooi word om voort te gaan.</t>
  </si>
  <si>
    <t>Vul in; JA of NEE</t>
  </si>
  <si>
    <t>…</t>
  </si>
  <si>
    <t>{"ButtonStyle":0,"Name":"agrisafe","HideSscPoweredlogo":false,"CopyProtect":{"IsEnabled":false,"DomainName":""},"Theme":{"BgColor":"#FFFFFFFF","BgImage":"","InputBorderStyle":2},"Layout":3,"SmartphoneSettings":{"ViewportLock":true,"UseOldViewEngine":false,"EnableZoom":false,"EnableSwipe":false,"HideToolbar":false,"CheckboxFlavor":1},"SmartphoneTheme":0,"InputDetection":0,"Toolbar":{"Position":2,"IsSubmit":true,"IsPrint":true,"IsPrintAll":false,"IsReset":true,"IsUpdate":true},"AspnetConfig":{"BrowseUrl":"http://localhost/ssc","FileExtension":0},"ConfigureSubmit":{"IsShowCaptcha":false,"IsUseSscWebServer":true,"ReceiverCode":"syntagmresearch@gmail.com; stefan.van_zyl@syngenta.com; Louise.Swart@syngenta.com","IsFreeService":false,"IsAdvanceService":true,"IsDemonstrationService":false,"AfterSuccessfulSubmit":"","AfterFailSubmit":"","AfterCancelWizard":"","IsUseOwnWebServer":false,"OwnWebServerURL":"","OwnWebServerTarget":"","SubmitTarget":0},"Flavor":0,"Edition":3,"IgnoreBgInputCell":false}</t>
  </si>
  <si>
    <r>
      <t>SOMERGRAAN AGRISAFE</t>
    </r>
    <r>
      <rPr>
        <b/>
        <vertAlign val="superscript"/>
        <sz val="14"/>
        <color theme="1"/>
        <rFont val="Arial"/>
        <family val="2"/>
      </rPr>
      <t>TM</t>
    </r>
    <r>
      <rPr>
        <b/>
        <sz val="14"/>
        <color theme="1"/>
        <rFont val="Arial"/>
        <family val="2"/>
      </rPr>
      <t xml:space="preserve"> OOREENKOMS</t>
    </r>
  </si>
  <si>
    <t>AgriSafe 2012 deelnemer</t>
  </si>
  <si>
    <t>Verander na somergraan</t>
  </si>
  <si>
    <t>kleingraan</t>
  </si>
  <si>
    <t>koring</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</si>
</sst>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8" formatCode="&quot;R&quot;\ #,##0.00;[Red]&quot;R&quot;\ \-#,##0.00"/>
    <numFmt numFmtId="164" formatCode="_(&quot;$&quot;* #,##0.00_);_(&quot;$&quot;* \(#,##0.00\);_(&quot;$&quot;* &quot;-&quot;??_);_(@_)"/>
    <numFmt numFmtId="165" formatCode="_(* #,##0.00_);_(* \(#,##0.00\);_(* &quot;-&quot;??_);_(@_)"/>
    <numFmt numFmtId="166" formatCode="_ [$R-1C09]\ * #,##0.00_ ;_ [$R-1C09]\ * \-#,##0.00_ ;_ [$R-1C09]\ * &quot;-&quot;??_ ;_ @_ "/>
    <numFmt numFmtId="167" formatCode="_(* #,##0_);_(* \(#,##0\);_(* &quot;-&quot;??_);_(@_)"/>
    <numFmt numFmtId="168" formatCode="[$R-1C09]\ #,##0.00"/>
    <numFmt numFmtId="169" formatCode="[$R-436]\ #,##0.00"/>
    <numFmt numFmtId="170" formatCode="&quot;R&quot;\ #,##0.00"/>
  </numFmts>
  <fonts count="46" x14ac:knownFonts="1">
    <font>
      <sz val="11"/>
      <color theme="1"/>
      <name val="Calibri"/>
      <family val="2"/>
      <scheme val="minor"/>
    </font>
    <font>
      <sz val="12"/>
      <color theme="1"/>
      <name val="Arial"/>
      <family val="2"/>
    </font>
    <font>
      <sz val="12"/>
      <color theme="1"/>
      <name val="Arial"/>
      <family val="2"/>
    </font>
    <font>
      <b/>
      <sz val="11"/>
      <color theme="1"/>
      <name val="Calibri"/>
      <family val="2"/>
      <scheme val="minor"/>
    </font>
    <font>
      <b/>
      <u/>
      <sz val="11"/>
      <color theme="1"/>
      <name val="Calibri"/>
      <family val="2"/>
      <scheme val="minor"/>
    </font>
    <font>
      <b/>
      <sz val="13"/>
      <color theme="1"/>
      <name val="Calibri"/>
      <family val="2"/>
      <scheme val="minor"/>
    </font>
    <font>
      <b/>
      <sz val="11"/>
      <color rgb="FF00B050"/>
      <name val="Calibri"/>
      <family val="2"/>
      <scheme val="minor"/>
    </font>
    <font>
      <u/>
      <sz val="11"/>
      <color theme="1"/>
      <name val="Calibri"/>
      <family val="2"/>
      <scheme val="minor"/>
    </font>
    <font>
      <b/>
      <sz val="11"/>
      <name val="Calibri"/>
      <family val="2"/>
      <scheme val="minor"/>
    </font>
    <font>
      <sz val="11"/>
      <color theme="1"/>
      <name val="Calibri"/>
      <family val="2"/>
      <scheme val="minor"/>
    </font>
    <font>
      <sz val="14"/>
      <color theme="1"/>
      <name val="Calibri"/>
      <family val="2"/>
      <scheme val="minor"/>
    </font>
    <font>
      <b/>
      <sz val="14"/>
      <color theme="1"/>
      <name val="Calibri"/>
      <family val="2"/>
      <scheme val="minor"/>
    </font>
    <font>
      <b/>
      <sz val="20"/>
      <color theme="1"/>
      <name val="Calibri"/>
      <family val="2"/>
      <scheme val="minor"/>
    </font>
    <font>
      <sz val="20"/>
      <color theme="1"/>
      <name val="Calibri"/>
      <family val="2"/>
      <scheme val="minor"/>
    </font>
    <font>
      <b/>
      <sz val="28"/>
      <color theme="1"/>
      <name val="Calibri"/>
      <family val="2"/>
      <scheme val="minor"/>
    </font>
    <font>
      <b/>
      <sz val="16"/>
      <color theme="1"/>
      <name val="Calibri"/>
      <family val="2"/>
      <scheme val="minor"/>
    </font>
    <font>
      <b/>
      <sz val="16"/>
      <name val="Calibri"/>
      <family val="2"/>
      <scheme val="minor"/>
    </font>
    <font>
      <b/>
      <sz val="11"/>
      <color rgb="FFFF0000"/>
      <name val="Calibri"/>
      <family val="2"/>
      <scheme val="minor"/>
    </font>
    <font>
      <b/>
      <sz val="10.5"/>
      <color theme="1"/>
      <name val="Calibri"/>
      <family val="2"/>
      <scheme val="minor"/>
    </font>
    <font>
      <sz val="11"/>
      <name val="Calibri"/>
      <family val="2"/>
      <scheme val="minor"/>
    </font>
    <font>
      <sz val="11"/>
      <color rgb="FFFF0000"/>
      <name val="Calibri"/>
      <family val="2"/>
      <scheme val="minor"/>
    </font>
    <font>
      <b/>
      <sz val="18"/>
      <color theme="1"/>
      <name val="Calibri"/>
      <family val="2"/>
      <scheme val="minor"/>
    </font>
    <font>
      <u/>
      <sz val="11"/>
      <color theme="10"/>
      <name val="Calibri"/>
      <family val="2"/>
      <scheme val="minor"/>
    </font>
    <font>
      <sz val="11"/>
      <color theme="1"/>
      <name val="Arial"/>
      <family val="2"/>
    </font>
    <font>
      <b/>
      <sz val="11"/>
      <color theme="1"/>
      <name val="Arial"/>
      <family val="2"/>
    </font>
    <font>
      <sz val="22"/>
      <color rgb="FF728430"/>
      <name val="Arial"/>
      <family val="2"/>
    </font>
    <font>
      <sz val="11"/>
      <color rgb="FF728430"/>
      <name val="Arial"/>
      <family val="2"/>
    </font>
    <font>
      <b/>
      <sz val="11"/>
      <color rgb="FF728430"/>
      <name val="Arial"/>
      <family val="2"/>
    </font>
    <font>
      <sz val="18"/>
      <color rgb="FF728430"/>
      <name val="Arial"/>
      <family val="2"/>
    </font>
    <font>
      <sz val="11"/>
      <name val="Arial"/>
      <family val="2"/>
    </font>
    <font>
      <b/>
      <sz val="11.5"/>
      <color theme="1"/>
      <name val="Arial"/>
      <family val="2"/>
    </font>
    <font>
      <b/>
      <vertAlign val="superscript"/>
      <sz val="11"/>
      <color theme="1"/>
      <name val="Arial"/>
      <family val="2"/>
    </font>
    <font>
      <vertAlign val="superscript"/>
      <sz val="11"/>
      <color theme="1"/>
      <name val="Arial"/>
      <family val="2"/>
    </font>
    <font>
      <b/>
      <vertAlign val="superscript"/>
      <sz val="11.5"/>
      <color theme="1"/>
      <name val="Arial"/>
      <family val="2"/>
    </font>
    <font>
      <sz val="7"/>
      <color theme="1"/>
      <name val="Arial"/>
      <family val="2"/>
    </font>
    <font>
      <sz val="14"/>
      <color theme="1"/>
      <name val="Arial"/>
      <family val="2"/>
    </font>
    <font>
      <b/>
      <vertAlign val="superscript"/>
      <sz val="14"/>
      <color theme="1"/>
      <name val="Arial"/>
      <family val="2"/>
    </font>
    <font>
      <b/>
      <sz val="14"/>
      <color theme="1"/>
      <name val="Arial"/>
      <family val="2"/>
    </font>
    <font>
      <sz val="22"/>
      <color theme="1"/>
      <name val="Arial"/>
      <family val="2"/>
    </font>
    <font>
      <sz val="16"/>
      <color theme="0"/>
      <name val="Arial"/>
      <family val="2"/>
    </font>
    <font>
      <u/>
      <sz val="11"/>
      <color theme="10"/>
      <name val="Arial"/>
      <family val="2"/>
    </font>
    <font>
      <sz val="11"/>
      <color theme="0"/>
      <name val="Arial"/>
      <family val="2"/>
    </font>
    <font>
      <b/>
      <sz val="14"/>
      <color theme="0"/>
      <name val="Arial"/>
      <family val="2"/>
    </font>
    <font>
      <sz val="16"/>
      <color theme="1"/>
      <name val="Arial"/>
      <family val="2"/>
    </font>
    <font>
      <b/>
      <sz val="11"/>
      <color theme="0"/>
      <name val="Arial"/>
      <family val="2"/>
    </font>
    <font>
      <sz val="10"/>
      <color theme="1"/>
      <name val="Arial"/>
      <family val="2"/>
    </font>
  </fonts>
  <fills count="24">
    <fill>
      <patternFill patternType="none"/>
    </fill>
    <fill>
      <patternFill patternType="gray125"/>
    </fill>
    <fill>
      <patternFill patternType="solid">
        <fgColor theme="6"/>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theme="0" tint="-0.34998626667073579"/>
        <bgColor indexed="64"/>
      </patternFill>
    </fill>
    <fill>
      <patternFill patternType="solid">
        <fgColor theme="0"/>
        <bgColor indexed="64"/>
      </patternFill>
    </fill>
    <fill>
      <patternFill patternType="solid">
        <fgColor theme="0" tint="-0.249977111117893"/>
        <bgColor indexed="64"/>
      </patternFill>
    </fill>
    <fill>
      <patternFill patternType="solid">
        <fgColor rgb="FFFF0000"/>
        <bgColor indexed="64"/>
      </patternFill>
    </fill>
    <fill>
      <patternFill patternType="solid">
        <fgColor theme="6" tint="-0.249977111117893"/>
        <bgColor indexed="64"/>
      </patternFill>
    </fill>
    <fill>
      <patternFill patternType="solid">
        <fgColor theme="6" tint="-0.499984740745262"/>
        <bgColor indexed="64"/>
      </patternFill>
    </fill>
    <fill>
      <patternFill patternType="solid">
        <fgColor theme="6" tint="0.59999389629810485"/>
        <bgColor indexed="64"/>
      </patternFill>
    </fill>
    <fill>
      <patternFill patternType="solid">
        <fgColor theme="5" tint="0.59999389629810485"/>
        <bgColor indexed="64"/>
      </patternFill>
    </fill>
    <fill>
      <patternFill patternType="solid">
        <fgColor theme="3" tint="0.59999389629810485"/>
        <bgColor indexed="64"/>
      </patternFill>
    </fill>
    <fill>
      <patternFill patternType="solid">
        <fgColor theme="3" tint="0.79998168889431442"/>
        <bgColor indexed="64"/>
      </patternFill>
    </fill>
    <fill>
      <patternFill patternType="solid">
        <fgColor theme="2" tint="-9.9978637043366805E-2"/>
        <bgColor indexed="64"/>
      </patternFill>
    </fill>
    <fill>
      <patternFill patternType="solid">
        <fgColor theme="2"/>
        <bgColor indexed="64"/>
      </patternFill>
    </fill>
    <fill>
      <patternFill patternType="solid">
        <fgColor theme="6" tint="0.39997558519241921"/>
        <bgColor indexed="64"/>
      </patternFill>
    </fill>
    <fill>
      <patternFill patternType="solid">
        <fgColor theme="0" tint="-4.9989318521683403E-2"/>
        <bgColor indexed="64"/>
      </patternFill>
    </fill>
    <fill>
      <patternFill patternType="solid">
        <fgColor rgb="FFDADFBB"/>
        <bgColor indexed="64"/>
      </patternFill>
    </fill>
    <fill>
      <patternFill patternType="solid">
        <fgColor rgb="FF728430"/>
        <bgColor indexed="64"/>
      </patternFill>
    </fill>
    <fill>
      <patternFill patternType="solid">
        <fgColor rgb="FFD5D6A2"/>
        <bgColor indexed="64"/>
      </patternFill>
    </fill>
    <fill>
      <patternFill patternType="solid">
        <fgColor theme="3" tint="-0.249977111117893"/>
        <bgColor indexed="64"/>
      </patternFill>
    </fill>
    <fill>
      <patternFill patternType="solid">
        <fgColor rgb="FFFFFF00"/>
        <bgColor indexed="64"/>
      </patternFill>
    </fill>
  </fills>
  <borders count="116">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hair">
        <color indexed="64"/>
      </left>
      <right style="hair">
        <color indexed="64"/>
      </right>
      <top style="hair">
        <color indexed="64"/>
      </top>
      <bottom style="hair">
        <color indexed="64"/>
      </bottom>
      <diagonal/>
    </border>
    <border>
      <left style="medium">
        <color indexed="64"/>
      </left>
      <right style="hair">
        <color indexed="64"/>
      </right>
      <top style="medium">
        <color indexed="64"/>
      </top>
      <bottom style="hair">
        <color indexed="64"/>
      </bottom>
      <diagonal/>
    </border>
    <border>
      <left style="hair">
        <color indexed="64"/>
      </left>
      <right style="hair">
        <color indexed="64"/>
      </right>
      <top style="medium">
        <color indexed="64"/>
      </top>
      <bottom style="hair">
        <color indexed="64"/>
      </bottom>
      <diagonal/>
    </border>
    <border>
      <left style="hair">
        <color indexed="64"/>
      </left>
      <right style="medium">
        <color indexed="64"/>
      </right>
      <top style="medium">
        <color indexed="64"/>
      </top>
      <bottom style="hair">
        <color indexed="64"/>
      </bottom>
      <diagonal/>
    </border>
    <border>
      <left style="medium">
        <color indexed="64"/>
      </left>
      <right style="hair">
        <color indexed="64"/>
      </right>
      <top style="hair">
        <color indexed="64"/>
      </top>
      <bottom style="hair">
        <color indexed="64"/>
      </bottom>
      <diagonal/>
    </border>
    <border>
      <left style="hair">
        <color indexed="64"/>
      </left>
      <right style="medium">
        <color indexed="64"/>
      </right>
      <top style="hair">
        <color indexed="64"/>
      </top>
      <bottom style="hair">
        <color indexed="64"/>
      </bottom>
      <diagonal/>
    </border>
    <border>
      <left style="medium">
        <color indexed="64"/>
      </left>
      <right style="hair">
        <color indexed="64"/>
      </right>
      <top style="hair">
        <color indexed="64"/>
      </top>
      <bottom style="medium">
        <color indexed="64"/>
      </bottom>
      <diagonal/>
    </border>
    <border>
      <left style="hair">
        <color indexed="64"/>
      </left>
      <right style="hair">
        <color indexed="64"/>
      </right>
      <top style="hair">
        <color indexed="64"/>
      </top>
      <bottom style="medium">
        <color indexed="64"/>
      </bottom>
      <diagonal/>
    </border>
    <border>
      <left style="hair">
        <color indexed="64"/>
      </left>
      <right style="medium">
        <color indexed="64"/>
      </right>
      <top style="hair">
        <color indexed="64"/>
      </top>
      <bottom style="medium">
        <color indexed="64"/>
      </bottom>
      <diagonal/>
    </border>
    <border>
      <left style="hair">
        <color indexed="64"/>
      </left>
      <right/>
      <top style="medium">
        <color indexed="64"/>
      </top>
      <bottom style="hair">
        <color indexed="64"/>
      </bottom>
      <diagonal/>
    </border>
    <border>
      <left/>
      <right style="medium">
        <color indexed="64"/>
      </right>
      <top style="medium">
        <color indexed="64"/>
      </top>
      <bottom style="hair">
        <color indexed="64"/>
      </bottom>
      <diagonal/>
    </border>
    <border>
      <left style="hair">
        <color indexed="64"/>
      </left>
      <right/>
      <top style="hair">
        <color indexed="64"/>
      </top>
      <bottom style="hair">
        <color indexed="64"/>
      </bottom>
      <diagonal/>
    </border>
    <border>
      <left/>
      <right style="medium">
        <color indexed="64"/>
      </right>
      <top style="hair">
        <color indexed="64"/>
      </top>
      <bottom style="hair">
        <color indexed="64"/>
      </bottom>
      <diagonal/>
    </border>
    <border>
      <left style="hair">
        <color indexed="64"/>
      </left>
      <right/>
      <top style="hair">
        <color indexed="64"/>
      </top>
      <bottom style="medium">
        <color indexed="64"/>
      </bottom>
      <diagonal/>
    </border>
    <border>
      <left/>
      <right style="medium">
        <color indexed="64"/>
      </right>
      <top style="hair">
        <color indexed="64"/>
      </top>
      <bottom style="medium">
        <color indexed="64"/>
      </bottom>
      <diagonal/>
    </border>
    <border>
      <left style="medium">
        <color indexed="64"/>
      </left>
      <right/>
      <top/>
      <bottom/>
      <diagonal/>
    </border>
    <border>
      <left style="medium">
        <color indexed="64"/>
      </left>
      <right style="hair">
        <color indexed="64"/>
      </right>
      <top style="hair">
        <color indexed="64"/>
      </top>
      <bottom/>
      <diagonal/>
    </border>
    <border>
      <left style="hair">
        <color indexed="64"/>
      </left>
      <right style="hair">
        <color indexed="64"/>
      </right>
      <top style="hair">
        <color indexed="64"/>
      </top>
      <bottom/>
      <diagonal/>
    </border>
    <border>
      <left style="hair">
        <color indexed="64"/>
      </left>
      <right style="medium">
        <color indexed="64"/>
      </right>
      <top style="hair">
        <color indexed="64"/>
      </top>
      <bottom/>
      <diagonal/>
    </border>
    <border>
      <left style="medium">
        <color indexed="64"/>
      </left>
      <right style="hair">
        <color indexed="64"/>
      </right>
      <top style="thin">
        <color indexed="64"/>
      </top>
      <bottom style="double">
        <color indexed="64"/>
      </bottom>
      <diagonal/>
    </border>
    <border>
      <left style="hair">
        <color indexed="64"/>
      </left>
      <right style="hair">
        <color indexed="64"/>
      </right>
      <top style="thin">
        <color indexed="64"/>
      </top>
      <bottom style="double">
        <color indexed="64"/>
      </bottom>
      <diagonal/>
    </border>
    <border>
      <left style="hair">
        <color indexed="64"/>
      </left>
      <right style="medium">
        <color indexed="64"/>
      </right>
      <top style="thin">
        <color indexed="64"/>
      </top>
      <bottom style="double">
        <color indexed="64"/>
      </bottom>
      <diagonal/>
    </border>
    <border>
      <left style="dotted">
        <color indexed="64"/>
      </left>
      <right style="dotted">
        <color indexed="64"/>
      </right>
      <top style="dotted">
        <color indexed="64"/>
      </top>
      <bottom style="dotted">
        <color indexed="64"/>
      </bottom>
      <diagonal/>
    </border>
    <border>
      <left style="medium">
        <color indexed="64"/>
      </left>
      <right style="medium">
        <color indexed="64"/>
      </right>
      <top style="medium">
        <color indexed="64"/>
      </top>
      <bottom style="medium">
        <color indexed="64"/>
      </bottom>
      <diagonal/>
    </border>
    <border>
      <left style="dotted">
        <color indexed="64"/>
      </left>
      <right style="dotted">
        <color indexed="64"/>
      </right>
      <top style="dotted">
        <color indexed="64"/>
      </top>
      <bottom style="medium">
        <color indexed="64"/>
      </bottom>
      <diagonal/>
    </border>
    <border>
      <left style="dotted">
        <color indexed="64"/>
      </left>
      <right style="dotted">
        <color indexed="64"/>
      </right>
      <top/>
      <bottom style="dotted">
        <color indexed="64"/>
      </bottom>
      <diagonal/>
    </border>
    <border>
      <left style="dotted">
        <color indexed="64"/>
      </left>
      <right style="dotted">
        <color indexed="64"/>
      </right>
      <top style="medium">
        <color indexed="64"/>
      </top>
      <bottom style="medium">
        <color indexed="64"/>
      </bottom>
      <diagonal/>
    </border>
    <border>
      <left style="dotted">
        <color indexed="64"/>
      </left>
      <right style="medium">
        <color indexed="64"/>
      </right>
      <top style="medium">
        <color indexed="64"/>
      </top>
      <bottom style="medium">
        <color indexed="64"/>
      </bottom>
      <diagonal/>
    </border>
    <border>
      <left/>
      <right style="dotted">
        <color indexed="64"/>
      </right>
      <top/>
      <bottom style="dotted">
        <color indexed="64"/>
      </bottom>
      <diagonal/>
    </border>
    <border>
      <left/>
      <right style="dotted">
        <color indexed="64"/>
      </right>
      <top style="dotted">
        <color indexed="64"/>
      </top>
      <bottom style="dotted">
        <color indexed="64"/>
      </bottom>
      <diagonal/>
    </border>
    <border>
      <left/>
      <right style="dotted">
        <color indexed="64"/>
      </right>
      <top style="dotted">
        <color indexed="64"/>
      </top>
      <bottom style="medium">
        <color indexed="64"/>
      </bottom>
      <diagonal/>
    </border>
    <border>
      <left style="medium">
        <color indexed="64"/>
      </left>
      <right style="medium">
        <color indexed="64"/>
      </right>
      <top style="medium">
        <color indexed="64"/>
      </top>
      <bottom style="dotted">
        <color indexed="64"/>
      </bottom>
      <diagonal/>
    </border>
    <border>
      <left style="medium">
        <color indexed="64"/>
      </left>
      <right style="medium">
        <color indexed="64"/>
      </right>
      <top/>
      <bottom style="dotted">
        <color indexed="64"/>
      </bottom>
      <diagonal/>
    </border>
    <border>
      <left style="medium">
        <color indexed="64"/>
      </left>
      <right style="medium">
        <color indexed="64"/>
      </right>
      <top/>
      <bottom style="medium">
        <color indexed="64"/>
      </bottom>
      <diagonal/>
    </border>
    <border>
      <left/>
      <right style="dotted">
        <color indexed="64"/>
      </right>
      <top style="medium">
        <color indexed="64"/>
      </top>
      <bottom style="medium">
        <color indexed="64"/>
      </bottom>
      <diagonal/>
    </border>
    <border>
      <left style="dotted">
        <color indexed="64"/>
      </left>
      <right/>
      <top style="dotted">
        <color indexed="64"/>
      </top>
      <bottom/>
      <diagonal/>
    </border>
    <border>
      <left/>
      <right/>
      <top style="dotted">
        <color indexed="64"/>
      </top>
      <bottom/>
      <diagonal/>
    </border>
    <border>
      <left/>
      <right style="dotted">
        <color indexed="64"/>
      </right>
      <top style="dotted">
        <color indexed="64"/>
      </top>
      <bottom/>
      <diagonal/>
    </border>
    <border>
      <left style="dotted">
        <color indexed="64"/>
      </left>
      <right/>
      <top/>
      <bottom style="dotted">
        <color indexed="64"/>
      </bottom>
      <diagonal/>
    </border>
    <border>
      <left/>
      <right/>
      <top/>
      <bottom style="dotted">
        <color indexed="64"/>
      </bottom>
      <diagonal/>
    </border>
    <border>
      <left/>
      <right/>
      <top style="thin">
        <color indexed="64"/>
      </top>
      <bottom style="double">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dotted">
        <color indexed="64"/>
      </bottom>
      <diagonal/>
    </border>
    <border>
      <left/>
      <right style="medium">
        <color indexed="64"/>
      </right>
      <top style="medium">
        <color indexed="64"/>
      </top>
      <bottom style="dotted">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style="medium">
        <color indexed="64"/>
      </bottom>
      <diagonal/>
    </border>
    <border>
      <left style="dotted">
        <color indexed="64"/>
      </left>
      <right style="dotted">
        <color indexed="64"/>
      </right>
      <top style="medium">
        <color indexed="64"/>
      </top>
      <bottom/>
      <diagonal/>
    </border>
    <border>
      <left style="dotted">
        <color indexed="64"/>
      </left>
      <right style="dotted">
        <color indexed="64"/>
      </right>
      <top/>
      <bottom/>
      <diagonal/>
    </border>
    <border>
      <left style="dotted">
        <color indexed="64"/>
      </left>
      <right style="dotted">
        <color indexed="64"/>
      </right>
      <top/>
      <bottom style="medium">
        <color indexed="64"/>
      </bottom>
      <diagonal/>
    </border>
    <border>
      <left style="dotted">
        <color indexed="64"/>
      </left>
      <right style="medium">
        <color indexed="64"/>
      </right>
      <top style="medium">
        <color indexed="64"/>
      </top>
      <bottom/>
      <diagonal/>
    </border>
    <border>
      <left style="dotted">
        <color indexed="64"/>
      </left>
      <right style="medium">
        <color indexed="64"/>
      </right>
      <top/>
      <bottom/>
      <diagonal/>
    </border>
    <border>
      <left style="dotted">
        <color indexed="64"/>
      </left>
      <right style="medium">
        <color indexed="64"/>
      </right>
      <top/>
      <bottom style="medium">
        <color indexed="64"/>
      </bottom>
      <diagonal/>
    </border>
    <border>
      <left style="medium">
        <color indexed="64"/>
      </left>
      <right style="hair">
        <color indexed="64"/>
      </right>
      <top style="medium">
        <color indexed="64"/>
      </top>
      <bottom style="medium">
        <color indexed="64"/>
      </bottom>
      <diagonal/>
    </border>
    <border>
      <left style="hair">
        <color indexed="64"/>
      </left>
      <right style="hair">
        <color indexed="64"/>
      </right>
      <top style="medium">
        <color indexed="64"/>
      </top>
      <bottom style="medium">
        <color indexed="64"/>
      </bottom>
      <diagonal/>
    </border>
    <border>
      <left style="hair">
        <color indexed="64"/>
      </left>
      <right style="medium">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medium">
        <color indexed="64"/>
      </right>
      <top/>
      <bottom/>
      <diagonal/>
    </border>
    <border>
      <left/>
      <right style="medium">
        <color indexed="64"/>
      </right>
      <top style="thin">
        <color indexed="64"/>
      </top>
      <bottom style="thin">
        <color indexed="64"/>
      </bottom>
      <diagonal/>
    </border>
    <border>
      <left style="medium">
        <color indexed="64"/>
      </left>
      <right style="medium">
        <color indexed="64"/>
      </right>
      <top/>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thin">
        <color indexed="64"/>
      </top>
      <bottom/>
      <diagonal/>
    </border>
    <border>
      <left style="medium">
        <color indexed="64"/>
      </left>
      <right style="dotted">
        <color indexed="64"/>
      </right>
      <top style="medium">
        <color indexed="64"/>
      </top>
      <bottom style="medium">
        <color indexed="64"/>
      </bottom>
      <diagonal/>
    </border>
    <border>
      <left style="medium">
        <color indexed="64"/>
      </left>
      <right style="dotted">
        <color indexed="64"/>
      </right>
      <top/>
      <bottom/>
      <diagonal/>
    </border>
    <border>
      <left style="medium">
        <color indexed="64"/>
      </left>
      <right style="dotted">
        <color indexed="64"/>
      </right>
      <top style="thin">
        <color indexed="64"/>
      </top>
      <bottom style="thin">
        <color indexed="64"/>
      </bottom>
      <diagonal/>
    </border>
    <border>
      <left style="dotted">
        <color indexed="64"/>
      </left>
      <right style="dotted">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right/>
      <top style="dotted">
        <color indexed="64"/>
      </top>
      <bottom style="dotted">
        <color indexed="64"/>
      </bottom>
      <diagonal/>
    </border>
    <border>
      <left style="medium">
        <color indexed="64"/>
      </left>
      <right/>
      <top style="dotted">
        <color indexed="64"/>
      </top>
      <bottom style="dotted">
        <color indexed="64"/>
      </bottom>
      <diagonal/>
    </border>
    <border>
      <left style="medium">
        <color indexed="64"/>
      </left>
      <right style="medium">
        <color indexed="64"/>
      </right>
      <top style="dotted">
        <color indexed="64"/>
      </top>
      <bottom style="dotted">
        <color indexed="64"/>
      </bottom>
      <diagonal/>
    </border>
    <border>
      <left style="thin">
        <color indexed="64"/>
      </left>
      <right style="thin">
        <color indexed="64"/>
      </right>
      <top style="thin">
        <color indexed="64"/>
      </top>
      <bottom style="thin">
        <color indexed="64"/>
      </bottom>
      <diagonal/>
    </border>
    <border>
      <left style="dotted">
        <color indexed="64"/>
      </left>
      <right style="dashed">
        <color indexed="64"/>
      </right>
      <top style="medium">
        <color indexed="64"/>
      </top>
      <bottom/>
      <diagonal/>
    </border>
    <border>
      <left style="dotted">
        <color indexed="64"/>
      </left>
      <right style="dashed">
        <color indexed="64"/>
      </right>
      <top/>
      <bottom/>
      <diagonal/>
    </border>
    <border>
      <left style="dotted">
        <color indexed="64"/>
      </left>
      <right style="dashed">
        <color indexed="64"/>
      </right>
      <top/>
      <bottom style="medium">
        <color indexed="64"/>
      </bottom>
      <diagonal/>
    </border>
    <border>
      <left style="dashed">
        <color indexed="64"/>
      </left>
      <right style="dashed">
        <color indexed="64"/>
      </right>
      <top style="medium">
        <color indexed="64"/>
      </top>
      <bottom style="dotted">
        <color indexed="64"/>
      </bottom>
      <diagonal/>
    </border>
    <border>
      <left style="dashed">
        <color indexed="64"/>
      </left>
      <right style="dashed">
        <color indexed="64"/>
      </right>
      <top/>
      <bottom style="dotted">
        <color indexed="64"/>
      </bottom>
      <diagonal/>
    </border>
    <border>
      <left style="dashed">
        <color indexed="64"/>
      </left>
      <right style="dashed">
        <color indexed="64"/>
      </right>
      <top/>
      <bottom style="medium">
        <color indexed="64"/>
      </bottom>
      <diagonal/>
    </border>
    <border>
      <left/>
      <right style="thin">
        <color auto="1"/>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hair">
        <color theme="0" tint="-0.14996795556505021"/>
      </left>
      <right style="thin">
        <color auto="1"/>
      </right>
      <top style="thin">
        <color indexed="64"/>
      </top>
      <bottom style="hair">
        <color theme="0" tint="-0.14996795556505021"/>
      </bottom>
      <diagonal/>
    </border>
    <border>
      <left style="hair">
        <color theme="0" tint="-0.14996795556505021"/>
      </left>
      <right style="thin">
        <color auto="1"/>
      </right>
      <top style="hair">
        <color theme="0" tint="-0.14996795556505021"/>
      </top>
      <bottom style="hair">
        <color theme="0" tint="-0.14996795556505021"/>
      </bottom>
      <diagonal/>
    </border>
    <border>
      <left style="hair">
        <color theme="0" tint="-0.14996795556505021"/>
      </left>
      <right style="thin">
        <color auto="1"/>
      </right>
      <top style="hair">
        <color theme="0" tint="-0.14996795556505021"/>
      </top>
      <bottom/>
      <diagonal/>
    </border>
    <border>
      <left style="thin">
        <color indexed="64"/>
      </left>
      <right style="thin">
        <color indexed="64"/>
      </right>
      <top style="thin">
        <color indexed="64"/>
      </top>
      <bottom style="hair">
        <color theme="0" tint="-0.14996795556505021"/>
      </bottom>
      <diagonal/>
    </border>
    <border>
      <left/>
      <right style="thin">
        <color auto="1"/>
      </right>
      <top style="hair">
        <color theme="0" tint="-0.14996795556505021"/>
      </top>
      <bottom style="hair">
        <color theme="0" tint="-0.14996795556505021"/>
      </bottom>
      <diagonal/>
    </border>
    <border>
      <left style="thin">
        <color indexed="64"/>
      </left>
      <right style="thin">
        <color indexed="64"/>
      </right>
      <top style="hair">
        <color theme="0" tint="-0.14996795556505021"/>
      </top>
      <bottom style="hair">
        <color theme="0" tint="-0.14996795556505021"/>
      </bottom>
      <diagonal/>
    </border>
    <border>
      <left/>
      <right style="thin">
        <color auto="1"/>
      </right>
      <top style="thin">
        <color indexed="64"/>
      </top>
      <bottom style="hair">
        <color theme="0" tint="-0.14996795556505021"/>
      </bottom>
      <diagonal/>
    </border>
    <border>
      <left style="thin">
        <color indexed="64"/>
      </left>
      <right style="thin">
        <color indexed="64"/>
      </right>
      <top style="hair">
        <color theme="0" tint="-0.14996795556505021"/>
      </top>
      <bottom/>
      <diagonal/>
    </border>
    <border>
      <left/>
      <right style="thin">
        <color auto="1"/>
      </right>
      <top style="hair">
        <color theme="0" tint="-0.14996795556505021"/>
      </top>
      <bottom/>
      <diagonal/>
    </border>
    <border>
      <left style="hair">
        <color theme="0" tint="-0.14996795556505021"/>
      </left>
      <right style="thin">
        <color auto="1"/>
      </right>
      <top/>
      <bottom style="hair">
        <color theme="0" tint="-0.14996795556505021"/>
      </bottom>
      <diagonal/>
    </border>
    <border>
      <left/>
      <right style="thin">
        <color auto="1"/>
      </right>
      <top/>
      <bottom style="hair">
        <color theme="0" tint="-0.14996795556505021"/>
      </bottom>
      <diagonal/>
    </border>
    <border>
      <left style="thin">
        <color indexed="64"/>
      </left>
      <right style="thin">
        <color auto="1"/>
      </right>
      <top style="hair">
        <color theme="0" tint="-0.14996795556505021"/>
      </top>
      <bottom style="thin">
        <color indexed="64"/>
      </bottom>
      <diagonal/>
    </border>
    <border>
      <left/>
      <right style="thin">
        <color auto="1"/>
      </right>
      <top style="hair">
        <color theme="0" tint="-0.14996795556505021"/>
      </top>
      <bottom style="thin">
        <color indexed="64"/>
      </bottom>
      <diagonal/>
    </border>
    <border>
      <left style="thin">
        <color indexed="64"/>
      </left>
      <right/>
      <top style="thin">
        <color indexed="64"/>
      </top>
      <bottom style="hair">
        <color theme="0" tint="-0.14996795556505021"/>
      </bottom>
      <diagonal/>
    </border>
    <border>
      <left style="thin">
        <color indexed="64"/>
      </left>
      <right/>
      <top style="hair">
        <color theme="0" tint="-0.14996795556505021"/>
      </top>
      <bottom style="hair">
        <color theme="0" tint="-0.14996795556505021"/>
      </bottom>
      <diagonal/>
    </border>
    <border>
      <left style="hair">
        <color theme="0" tint="-0.14996795556505021"/>
      </left>
      <right/>
      <top style="hair">
        <color theme="0" tint="-0.14996795556505021"/>
      </top>
      <bottom style="hair">
        <color theme="0" tint="-0.14996795556505021"/>
      </bottom>
      <diagonal/>
    </border>
    <border>
      <left/>
      <right/>
      <top style="hair">
        <color theme="0" tint="-0.14996795556505021"/>
      </top>
      <bottom style="hair">
        <color theme="0" tint="-0.14996795556505021"/>
      </bottom>
      <diagonal/>
    </border>
    <border>
      <left/>
      <right/>
      <top style="thin">
        <color indexed="64"/>
      </top>
      <bottom style="hair">
        <color theme="0" tint="-0.14996795556505021"/>
      </bottom>
      <diagonal/>
    </border>
    <border>
      <left style="thin">
        <color indexed="64"/>
      </left>
      <right/>
      <top style="hair">
        <color theme="0" tint="-0.14996795556505021"/>
      </top>
      <bottom/>
      <diagonal/>
    </border>
    <border>
      <left/>
      <right/>
      <top style="hair">
        <color theme="0" tint="-0.14996795556505021"/>
      </top>
      <bottom/>
      <diagonal/>
    </border>
    <border>
      <left style="thin">
        <color indexed="64"/>
      </left>
      <right/>
      <top style="thin">
        <color indexed="64"/>
      </top>
      <bottom/>
      <diagonal/>
    </border>
    <border>
      <left/>
      <right/>
      <top style="thin">
        <color indexed="64"/>
      </top>
      <bottom/>
      <diagonal/>
    </border>
    <border>
      <left/>
      <right style="thin">
        <color auto="1"/>
      </right>
      <top style="thin">
        <color indexed="64"/>
      </top>
      <bottom/>
      <diagonal/>
    </border>
    <border>
      <left/>
      <right style="thin">
        <color indexed="64"/>
      </right>
      <top/>
      <bottom style="thin">
        <color indexed="64"/>
      </bottom>
      <diagonal/>
    </border>
    <border>
      <left style="thin">
        <color indexed="64"/>
      </left>
      <right/>
      <top/>
      <bottom/>
      <diagonal/>
    </border>
    <border>
      <left style="thin">
        <color indexed="64"/>
      </left>
      <right style="thin">
        <color indexed="64"/>
      </right>
      <top/>
      <bottom style="hair">
        <color theme="0" tint="-0.14996795556505021"/>
      </bottom>
      <diagonal/>
    </border>
    <border>
      <left style="thin">
        <color indexed="64"/>
      </left>
      <right/>
      <top/>
      <bottom style="thin">
        <color indexed="64"/>
      </bottom>
      <diagonal/>
    </border>
  </borders>
  <cellStyleXfs count="4">
    <xf numFmtId="0" fontId="0" fillId="0" borderId="0"/>
    <xf numFmtId="165" fontId="9" fillId="0" borderId="0" applyFont="0" applyFill="0" applyBorder="0" applyAlignment="0" applyProtection="0"/>
    <xf numFmtId="9" fontId="9" fillId="0" borderId="0" applyFont="0" applyFill="0" applyBorder="0" applyAlignment="0" applyProtection="0"/>
    <xf numFmtId="0" fontId="22" fillId="0" borderId="0" applyNumberFormat="0" applyFill="0" applyBorder="0" applyAlignment="0" applyProtection="0"/>
  </cellStyleXfs>
  <cellXfs count="457">
    <xf numFmtId="0" fontId="0" fillId="0" borderId="0" xfId="0"/>
    <xf numFmtId="168" fontId="16" fillId="8" borderId="0" xfId="0" applyNumberFormat="1" applyFont="1" applyFill="1" applyProtection="1">
      <protection hidden="1"/>
    </xf>
    <xf numFmtId="168" fontId="15" fillId="6" borderId="0" xfId="0" applyNumberFormat="1" applyFont="1" applyFill="1" applyProtection="1">
      <protection locked="0"/>
    </xf>
    <xf numFmtId="0" fontId="8" fillId="0" borderId="30" xfId="0" applyFont="1" applyBorder="1" applyAlignment="1" applyProtection="1">
      <alignment horizontal="center" vertical="center"/>
      <protection locked="0"/>
    </xf>
    <xf numFmtId="0" fontId="0" fillId="0" borderId="38" xfId="0" applyFont="1" applyBorder="1" applyProtection="1">
      <protection locked="0"/>
    </xf>
    <xf numFmtId="2" fontId="0" fillId="0" borderId="35" xfId="0" applyNumberFormat="1" applyFont="1" applyBorder="1" applyAlignment="1" applyProtection="1">
      <alignment horizontal="center"/>
      <protection locked="0"/>
    </xf>
    <xf numFmtId="9" fontId="0" fillId="0" borderId="32" xfId="2" applyFont="1" applyBorder="1" applyAlignment="1" applyProtection="1">
      <alignment horizontal="center"/>
      <protection locked="0"/>
    </xf>
    <xf numFmtId="166" fontId="0" fillId="0" borderId="32" xfId="0" applyNumberFormat="1" applyFont="1" applyBorder="1" applyAlignment="1" applyProtection="1">
      <alignment horizontal="center"/>
      <protection locked="0"/>
    </xf>
    <xf numFmtId="0" fontId="0" fillId="0" borderId="32" xfId="0" applyFont="1" applyBorder="1" applyAlignment="1" applyProtection="1">
      <alignment horizontal="center"/>
      <protection locked="0"/>
    </xf>
    <xf numFmtId="0" fontId="0" fillId="0" borderId="39" xfId="0" applyFont="1" applyBorder="1" applyProtection="1">
      <protection locked="0"/>
    </xf>
    <xf numFmtId="2" fontId="0" fillId="0" borderId="36" xfId="0" applyNumberFormat="1" applyFont="1" applyBorder="1" applyAlignment="1" applyProtection="1">
      <alignment horizontal="center"/>
      <protection locked="0"/>
    </xf>
    <xf numFmtId="9" fontId="0" fillId="0" borderId="29" xfId="2" applyFont="1" applyBorder="1" applyAlignment="1" applyProtection="1">
      <alignment horizontal="center"/>
      <protection locked="0"/>
    </xf>
    <xf numFmtId="166" fontId="0" fillId="0" borderId="29" xfId="0" applyNumberFormat="1" applyFont="1" applyBorder="1" applyAlignment="1" applyProtection="1">
      <alignment horizontal="center"/>
      <protection locked="0"/>
    </xf>
    <xf numFmtId="0" fontId="0" fillId="0" borderId="29" xfId="0" applyFont="1" applyBorder="1" applyAlignment="1" applyProtection="1">
      <alignment horizontal="center"/>
      <protection locked="0"/>
    </xf>
    <xf numFmtId="0" fontId="0" fillId="0" borderId="40" xfId="0" applyFont="1" applyBorder="1" applyProtection="1">
      <protection locked="0"/>
    </xf>
    <xf numFmtId="2" fontId="0" fillId="0" borderId="37" xfId="0" applyNumberFormat="1" applyFont="1" applyBorder="1" applyAlignment="1" applyProtection="1">
      <alignment horizontal="center"/>
      <protection locked="0"/>
    </xf>
    <xf numFmtId="9" fontId="0" fillId="0" borderId="31" xfId="2" applyFont="1" applyBorder="1" applyAlignment="1" applyProtection="1">
      <alignment horizontal="center"/>
      <protection locked="0"/>
    </xf>
    <xf numFmtId="166" fontId="0" fillId="0" borderId="31" xfId="0" applyNumberFormat="1" applyFont="1" applyBorder="1" applyAlignment="1" applyProtection="1">
      <alignment horizontal="center"/>
      <protection locked="0"/>
    </xf>
    <xf numFmtId="0" fontId="0" fillId="0" borderId="31" xfId="0" applyFont="1" applyBorder="1" applyAlignment="1" applyProtection="1">
      <alignment horizontal="center"/>
      <protection locked="0"/>
    </xf>
    <xf numFmtId="1" fontId="3" fillId="6" borderId="38" xfId="0" applyNumberFormat="1" applyFont="1" applyFill="1" applyBorder="1" applyAlignment="1" applyProtection="1">
      <alignment horizontal="center" vertical="center"/>
      <protection locked="0"/>
    </xf>
    <xf numFmtId="1" fontId="3" fillId="6" borderId="40" xfId="0" applyNumberFormat="1" applyFont="1" applyFill="1" applyBorder="1" applyAlignment="1" applyProtection="1">
      <alignment horizontal="center" vertical="center"/>
      <protection locked="0"/>
    </xf>
    <xf numFmtId="167" fontId="0" fillId="0" borderId="29" xfId="1" applyNumberFormat="1" applyFont="1" applyBorder="1" applyAlignment="1" applyProtection="1">
      <alignment horizontal="center" vertical="center"/>
      <protection locked="0"/>
    </xf>
    <xf numFmtId="167" fontId="0" fillId="0" borderId="31" xfId="1" applyNumberFormat="1" applyFont="1" applyBorder="1" applyAlignment="1" applyProtection="1">
      <alignment horizontal="center" vertical="center"/>
      <protection locked="0"/>
    </xf>
    <xf numFmtId="166" fontId="0" fillId="3" borderId="10" xfId="0" applyNumberFormat="1" applyFill="1" applyBorder="1" applyAlignment="1" applyProtection="1">
      <alignment vertical="center"/>
    </xf>
    <xf numFmtId="166" fontId="0" fillId="3" borderId="12" xfId="0" applyNumberFormat="1" applyFill="1" applyBorder="1" applyAlignment="1" applyProtection="1">
      <alignment vertical="center"/>
    </xf>
    <xf numFmtId="166" fontId="0" fillId="3" borderId="25" xfId="0" applyNumberFormat="1" applyFill="1" applyBorder="1" applyAlignment="1" applyProtection="1">
      <alignment vertical="center"/>
    </xf>
    <xf numFmtId="166" fontId="3" fillId="0" borderId="28" xfId="0" applyNumberFormat="1" applyFont="1" applyFill="1" applyBorder="1" applyAlignment="1" applyProtection="1">
      <alignment vertical="center"/>
    </xf>
    <xf numFmtId="0" fontId="0" fillId="0" borderId="0" xfId="0" applyProtection="1"/>
    <xf numFmtId="0" fontId="3" fillId="0" borderId="8" xfId="0" applyFont="1" applyBorder="1" applyAlignment="1" applyProtection="1">
      <alignment horizontal="right" vertical="center"/>
    </xf>
    <xf numFmtId="0" fontId="3" fillId="0" borderId="11" xfId="0" applyFont="1" applyBorder="1" applyAlignment="1" applyProtection="1">
      <alignment horizontal="right" vertical="center"/>
    </xf>
    <xf numFmtId="0" fontId="0" fillId="0" borderId="22" xfId="0" applyBorder="1" applyProtection="1"/>
    <xf numFmtId="0" fontId="3" fillId="0" borderId="13" xfId="0" applyFont="1" applyBorder="1" applyAlignment="1" applyProtection="1">
      <alignment horizontal="right" vertical="center"/>
    </xf>
    <xf numFmtId="0" fontId="3" fillId="0" borderId="0" xfId="0" applyFont="1" applyProtection="1"/>
    <xf numFmtId="0" fontId="4" fillId="0" borderId="0" xfId="0" applyFont="1" applyProtection="1"/>
    <xf numFmtId="166" fontId="4" fillId="0" borderId="0" xfId="0" applyNumberFormat="1" applyFont="1" applyProtection="1"/>
    <xf numFmtId="0" fontId="3" fillId="3" borderId="30" xfId="0" applyFont="1" applyFill="1" applyBorder="1" applyAlignment="1" applyProtection="1">
      <alignment horizontal="right" vertical="center"/>
    </xf>
    <xf numFmtId="0" fontId="0" fillId="0" borderId="0" xfId="0" applyBorder="1" applyProtection="1"/>
    <xf numFmtId="0" fontId="3" fillId="0" borderId="30" xfId="0" applyFont="1" applyBorder="1" applyAlignment="1" applyProtection="1">
      <alignment horizontal="center" vertical="center"/>
    </xf>
    <xf numFmtId="0" fontId="3" fillId="0" borderId="41" xfId="0" applyFont="1" applyBorder="1" applyAlignment="1" applyProtection="1">
      <alignment horizontal="center" vertical="center" wrapText="1"/>
    </xf>
    <xf numFmtId="0" fontId="3" fillId="0" borderId="33" xfId="0" applyFont="1" applyBorder="1" applyAlignment="1" applyProtection="1">
      <alignment horizontal="center" vertical="center" wrapText="1"/>
    </xf>
    <xf numFmtId="0" fontId="3" fillId="3" borderId="33" xfId="0" applyFont="1" applyFill="1" applyBorder="1" applyAlignment="1" applyProtection="1">
      <alignment horizontal="center" vertical="center" wrapText="1"/>
    </xf>
    <xf numFmtId="0" fontId="3" fillId="11" borderId="33" xfId="0" applyFont="1" applyFill="1" applyBorder="1" applyAlignment="1" applyProtection="1">
      <alignment horizontal="center" vertical="center" wrapText="1"/>
    </xf>
    <xf numFmtId="0" fontId="3" fillId="11" borderId="34" xfId="0" applyFont="1" applyFill="1" applyBorder="1" applyAlignment="1" applyProtection="1">
      <alignment horizontal="center" vertical="center" wrapText="1"/>
    </xf>
    <xf numFmtId="2" fontId="0" fillId="3" borderId="32" xfId="0" applyNumberFormat="1" applyFill="1" applyBorder="1" applyAlignment="1" applyProtection="1">
      <alignment horizontal="center"/>
    </xf>
    <xf numFmtId="166" fontId="0" fillId="3" borderId="32" xfId="0" applyNumberFormat="1" applyFill="1" applyBorder="1" applyProtection="1"/>
    <xf numFmtId="1" fontId="0" fillId="3" borderId="32" xfId="0" applyNumberFormat="1" applyFill="1" applyBorder="1" applyAlignment="1" applyProtection="1">
      <alignment horizontal="center"/>
    </xf>
    <xf numFmtId="2" fontId="0" fillId="3" borderId="29" xfId="0" applyNumberFormat="1" applyFill="1" applyBorder="1" applyAlignment="1" applyProtection="1">
      <alignment horizontal="center"/>
    </xf>
    <xf numFmtId="166" fontId="0" fillId="3" borderId="29" xfId="0" applyNumberFormat="1" applyFill="1" applyBorder="1" applyProtection="1"/>
    <xf numFmtId="1" fontId="0" fillId="3" borderId="29" xfId="0" applyNumberFormat="1" applyFill="1" applyBorder="1" applyAlignment="1" applyProtection="1">
      <alignment horizontal="center"/>
    </xf>
    <xf numFmtId="2" fontId="0" fillId="3" borderId="31" xfId="0" applyNumberFormat="1" applyFill="1" applyBorder="1" applyAlignment="1" applyProtection="1">
      <alignment horizontal="center"/>
    </xf>
    <xf numFmtId="166" fontId="0" fillId="3" borderId="31" xfId="0" applyNumberFormat="1" applyFill="1" applyBorder="1" applyProtection="1"/>
    <xf numFmtId="1" fontId="0" fillId="3" borderId="31" xfId="0" applyNumberFormat="1" applyFill="1" applyBorder="1" applyAlignment="1" applyProtection="1">
      <alignment horizontal="center"/>
    </xf>
    <xf numFmtId="0" fontId="0" fillId="12" borderId="51" xfId="0" applyFill="1" applyBorder="1" applyAlignment="1" applyProtection="1">
      <alignment vertical="center"/>
    </xf>
    <xf numFmtId="0" fontId="3" fillId="12" borderId="52" xfId="0" applyFont="1" applyFill="1" applyBorder="1" applyAlignment="1" applyProtection="1">
      <alignment horizontal="right" vertical="center"/>
    </xf>
    <xf numFmtId="0" fontId="3" fillId="6" borderId="5" xfId="0" applyFont="1" applyFill="1" applyBorder="1" applyAlignment="1" applyProtection="1">
      <alignment horizontal="center"/>
    </xf>
    <xf numFmtId="0" fontId="0" fillId="6" borderId="0" xfId="0" applyFill="1" applyProtection="1"/>
    <xf numFmtId="0" fontId="3" fillId="6" borderId="6" xfId="0" applyFont="1" applyFill="1" applyBorder="1" applyAlignment="1" applyProtection="1">
      <alignment horizontal="center"/>
    </xf>
    <xf numFmtId="0" fontId="0" fillId="12" borderId="48" xfId="0" applyFill="1" applyBorder="1" applyAlignment="1" applyProtection="1">
      <alignment vertical="center"/>
    </xf>
    <xf numFmtId="0" fontId="3" fillId="12" borderId="50" xfId="0" applyFont="1" applyFill="1" applyBorder="1" applyAlignment="1" applyProtection="1">
      <alignment horizontal="right" vertical="center"/>
    </xf>
    <xf numFmtId="0" fontId="3" fillId="6" borderId="49" xfId="0" applyFont="1" applyFill="1" applyBorder="1" applyAlignment="1" applyProtection="1">
      <alignment horizontal="center"/>
    </xf>
    <xf numFmtId="0" fontId="3" fillId="6" borderId="50" xfId="0" applyFont="1" applyFill="1" applyBorder="1" applyAlignment="1" applyProtection="1">
      <alignment horizontal="center"/>
    </xf>
    <xf numFmtId="0" fontId="0" fillId="0" borderId="0" xfId="0" applyFont="1" applyProtection="1"/>
    <xf numFmtId="166" fontId="0" fillId="0" borderId="0" xfId="0" applyNumberFormat="1" applyProtection="1"/>
    <xf numFmtId="0" fontId="3" fillId="7" borderId="0" xfId="0" applyFont="1" applyFill="1" applyAlignment="1" applyProtection="1">
      <alignment horizontal="center" vertical="center"/>
    </xf>
    <xf numFmtId="0" fontId="3" fillId="7" borderId="0" xfId="0" applyFont="1" applyFill="1" applyBorder="1" applyAlignment="1" applyProtection="1">
      <alignment horizontal="center" vertical="center"/>
    </xf>
    <xf numFmtId="0" fontId="3" fillId="7" borderId="0" xfId="0" applyFont="1" applyFill="1" applyAlignment="1" applyProtection="1">
      <alignment horizontal="center" vertical="center" wrapText="1"/>
    </xf>
    <xf numFmtId="1" fontId="0" fillId="0" borderId="0" xfId="0" applyNumberFormat="1" applyProtection="1"/>
    <xf numFmtId="1" fontId="0" fillId="0" borderId="0" xfId="0" applyNumberFormat="1" applyFill="1" applyBorder="1" applyProtection="1"/>
    <xf numFmtId="165" fontId="0" fillId="0" borderId="0" xfId="1" applyFont="1" applyFill="1" applyBorder="1" applyProtection="1"/>
    <xf numFmtId="165" fontId="0" fillId="0" borderId="0" xfId="1" applyFont="1" applyProtection="1"/>
    <xf numFmtId="0" fontId="0" fillId="3" borderId="0" xfId="0" applyFill="1" applyProtection="1"/>
    <xf numFmtId="167" fontId="0" fillId="0" borderId="0" xfId="1" applyNumberFormat="1" applyFont="1" applyProtection="1"/>
    <xf numFmtId="167" fontId="3" fillId="0" borderId="47" xfId="1" applyNumberFormat="1" applyFont="1" applyBorder="1" applyProtection="1"/>
    <xf numFmtId="167" fontId="3" fillId="0" borderId="0" xfId="1" applyNumberFormat="1" applyFont="1" applyBorder="1" applyProtection="1"/>
    <xf numFmtId="0" fontId="3" fillId="0" borderId="1" xfId="0" applyFont="1" applyBorder="1" applyProtection="1"/>
    <xf numFmtId="165" fontId="0" fillId="0" borderId="0" xfId="0" applyNumberFormat="1" applyProtection="1"/>
    <xf numFmtId="0" fontId="0" fillId="0" borderId="0" xfId="0" applyAlignment="1" applyProtection="1">
      <alignment horizontal="left"/>
    </xf>
    <xf numFmtId="0" fontId="0" fillId="0" borderId="0" xfId="0" applyFill="1" applyProtection="1"/>
    <xf numFmtId="0" fontId="14" fillId="6" borderId="0" xfId="0" applyFont="1" applyFill="1" applyProtection="1"/>
    <xf numFmtId="0" fontId="10" fillId="2" borderId="0" xfId="0" applyFont="1" applyFill="1" applyProtection="1"/>
    <xf numFmtId="0" fontId="15" fillId="2" borderId="0" xfId="0" applyFont="1" applyFill="1" applyAlignment="1" applyProtection="1">
      <alignment vertical="center"/>
    </xf>
    <xf numFmtId="0" fontId="11" fillId="2" borderId="0" xfId="0" applyFont="1" applyFill="1" applyAlignment="1" applyProtection="1">
      <alignment vertical="center"/>
    </xf>
    <xf numFmtId="0" fontId="15" fillId="2" borderId="0" xfId="0" applyFont="1" applyFill="1" applyProtection="1"/>
    <xf numFmtId="0" fontId="11" fillId="2" borderId="0" xfId="0" applyFont="1" applyFill="1" applyProtection="1"/>
    <xf numFmtId="0" fontId="12" fillId="3" borderId="0" xfId="0" applyFont="1" applyFill="1" applyProtection="1"/>
    <xf numFmtId="0" fontId="13" fillId="3" borderId="0" xfId="0" applyFont="1" applyFill="1" applyProtection="1"/>
    <xf numFmtId="0" fontId="12" fillId="9" borderId="0" xfId="0" applyFont="1" applyFill="1" applyProtection="1"/>
    <xf numFmtId="0" fontId="13" fillId="9" borderId="0" xfId="0" applyFont="1" applyFill="1" applyProtection="1"/>
    <xf numFmtId="0" fontId="0" fillId="10" borderId="0" xfId="0" applyFill="1" applyProtection="1"/>
    <xf numFmtId="0" fontId="3" fillId="4" borderId="0" xfId="0" applyFont="1" applyFill="1" applyBorder="1" applyAlignment="1" applyProtection="1"/>
    <xf numFmtId="0" fontId="0" fillId="4" borderId="0" xfId="0" applyFill="1" applyProtection="1"/>
    <xf numFmtId="0" fontId="0" fillId="0" borderId="0" xfId="0" applyFill="1" applyBorder="1" applyProtection="1"/>
    <xf numFmtId="0" fontId="3" fillId="5" borderId="0" xfId="0" applyFont="1" applyFill="1" applyBorder="1" applyAlignment="1" applyProtection="1">
      <alignment horizontal="center" vertical="center"/>
    </xf>
    <xf numFmtId="0" fontId="0" fillId="0" borderId="0" xfId="0" applyFill="1" applyBorder="1" applyAlignment="1" applyProtection="1">
      <alignment horizontal="center" vertical="center"/>
    </xf>
    <xf numFmtId="0" fontId="3" fillId="0" borderId="0" xfId="0" applyFont="1" applyFill="1" applyBorder="1" applyAlignment="1" applyProtection="1">
      <alignment horizontal="center" vertical="center"/>
    </xf>
    <xf numFmtId="0" fontId="0" fillId="0" borderId="0" xfId="0" applyFont="1" applyFill="1" applyBorder="1" applyProtection="1"/>
    <xf numFmtId="0" fontId="3" fillId="3" borderId="0" xfId="0" applyFont="1" applyFill="1" applyBorder="1" applyAlignment="1" applyProtection="1">
      <alignment horizontal="center" vertical="center"/>
    </xf>
    <xf numFmtId="0" fontId="0" fillId="0" borderId="0" xfId="0" applyBorder="1" applyAlignment="1" applyProtection="1">
      <alignment horizontal="center" vertical="center"/>
    </xf>
    <xf numFmtId="0" fontId="0" fillId="0" borderId="0" xfId="0" applyFont="1" applyBorder="1" applyProtection="1"/>
    <xf numFmtId="0" fontId="6" fillId="0" borderId="0" xfId="0" applyFont="1" applyFill="1" applyBorder="1" applyProtection="1"/>
    <xf numFmtId="0" fontId="3" fillId="0" borderId="0" xfId="0" applyFont="1" applyFill="1" applyBorder="1" applyAlignment="1" applyProtection="1">
      <alignment horizontal="center" vertical="center"/>
    </xf>
    <xf numFmtId="0" fontId="3" fillId="0" borderId="0" xfId="0" applyFont="1" applyFill="1" applyBorder="1" applyAlignment="1" applyProtection="1">
      <alignment horizontal="right" vertical="center"/>
    </xf>
    <xf numFmtId="0" fontId="3" fillId="0" borderId="0" xfId="0" applyFont="1" applyFill="1" applyProtection="1"/>
    <xf numFmtId="0" fontId="18" fillId="3" borderId="33" xfId="0" applyFont="1" applyFill="1" applyBorder="1" applyAlignment="1" applyProtection="1">
      <alignment horizontal="center" vertical="center" wrapText="1"/>
    </xf>
    <xf numFmtId="166" fontId="3" fillId="0" borderId="63" xfId="0" applyNumberFormat="1" applyFont="1" applyFill="1" applyBorder="1" applyAlignment="1" applyProtection="1">
      <alignment vertical="center"/>
    </xf>
    <xf numFmtId="167" fontId="3" fillId="0" borderId="54" xfId="0" applyNumberFormat="1" applyFont="1" applyBorder="1" applyProtection="1"/>
    <xf numFmtId="167" fontId="3" fillId="0" borderId="64" xfId="0" applyNumberFormat="1" applyFont="1" applyBorder="1" applyProtection="1"/>
    <xf numFmtId="0" fontId="3" fillId="3" borderId="0" xfId="0" applyFont="1" applyFill="1" applyProtection="1"/>
    <xf numFmtId="0" fontId="3" fillId="3" borderId="0" xfId="0" applyFont="1" applyFill="1" applyAlignment="1" applyProtection="1">
      <alignment horizontal="center" vertical="center"/>
    </xf>
    <xf numFmtId="49" fontId="3" fillId="0" borderId="0" xfId="0" applyNumberFormat="1" applyFont="1" applyFill="1" applyBorder="1" applyAlignment="1" applyProtection="1">
      <alignment horizontal="center" vertical="center"/>
    </xf>
    <xf numFmtId="0" fontId="8" fillId="0" borderId="0" xfId="0" applyFont="1" applyFill="1" applyBorder="1" applyAlignment="1" applyProtection="1">
      <alignment horizontal="center" vertical="center"/>
    </xf>
    <xf numFmtId="0" fontId="0" fillId="0" borderId="0" xfId="0" applyFont="1" applyBorder="1" applyAlignment="1" applyProtection="1">
      <alignment vertical="center" wrapText="1"/>
    </xf>
    <xf numFmtId="0" fontId="0" fillId="0" borderId="0" xfId="0" applyFont="1" applyFill="1" applyBorder="1" applyAlignment="1" applyProtection="1">
      <alignment horizontal="right" vertical="center"/>
    </xf>
    <xf numFmtId="0" fontId="0" fillId="0" borderId="0" xfId="0" applyNumberFormat="1" applyFill="1" applyProtection="1"/>
    <xf numFmtId="0" fontId="3" fillId="0" borderId="0" xfId="0" applyNumberFormat="1" applyFont="1" applyFill="1" applyProtection="1"/>
    <xf numFmtId="0" fontId="3" fillId="0" borderId="0" xfId="0" applyNumberFormat="1" applyFont="1" applyFill="1" applyBorder="1" applyAlignment="1" applyProtection="1">
      <alignment horizontal="right" vertical="center"/>
    </xf>
    <xf numFmtId="0" fontId="3" fillId="0" borderId="0" xfId="0" applyNumberFormat="1" applyFont="1" applyFill="1" applyBorder="1" applyAlignment="1" applyProtection="1">
      <alignment horizontal="center" vertical="center"/>
    </xf>
    <xf numFmtId="0" fontId="3" fillId="3" borderId="1" xfId="0" applyFont="1" applyFill="1" applyBorder="1" applyAlignment="1" applyProtection="1">
      <alignment horizontal="right" vertical="center"/>
    </xf>
    <xf numFmtId="0" fontId="3" fillId="0" borderId="30" xfId="0" applyFont="1" applyBorder="1" applyAlignment="1" applyProtection="1">
      <alignment horizontal="center"/>
      <protection locked="0"/>
    </xf>
    <xf numFmtId="0" fontId="3" fillId="0" borderId="0" xfId="0" applyFont="1" applyFill="1" applyBorder="1" applyAlignment="1" applyProtection="1">
      <alignment horizontal="center" vertical="center" wrapText="1"/>
    </xf>
    <xf numFmtId="0" fontId="3" fillId="0" borderId="61" xfId="0" applyFont="1" applyBorder="1" applyAlignment="1" applyProtection="1">
      <alignment horizontal="left" vertical="center"/>
    </xf>
    <xf numFmtId="0" fontId="3" fillId="0" borderId="62" xfId="0" applyFont="1" applyBorder="1" applyAlignment="1" applyProtection="1">
      <alignment horizontal="left" vertical="center"/>
    </xf>
    <xf numFmtId="0" fontId="3" fillId="3" borderId="23" xfId="0" applyFont="1" applyFill="1" applyBorder="1" applyAlignment="1" applyProtection="1">
      <alignment horizontal="left" vertical="center"/>
    </xf>
    <xf numFmtId="0" fontId="3" fillId="3" borderId="24" xfId="0" applyFont="1" applyFill="1" applyBorder="1" applyAlignment="1" applyProtection="1">
      <alignment horizontal="left" vertical="center"/>
    </xf>
    <xf numFmtId="0" fontId="3" fillId="7" borderId="3" xfId="0" applyFont="1" applyFill="1" applyBorder="1" applyAlignment="1" applyProtection="1">
      <alignment horizontal="center" vertical="center" wrapText="1"/>
    </xf>
    <xf numFmtId="0" fontId="0" fillId="0" borderId="65" xfId="0" applyFill="1" applyBorder="1" applyProtection="1"/>
    <xf numFmtId="0" fontId="0" fillId="0" borderId="65" xfId="0" applyNumberFormat="1" applyFill="1" applyBorder="1" applyProtection="1"/>
    <xf numFmtId="0" fontId="3" fillId="7" borderId="30" xfId="0" applyFont="1" applyFill="1" applyBorder="1" applyAlignment="1" applyProtection="1">
      <alignment horizontal="center" vertical="center" wrapText="1"/>
    </xf>
    <xf numFmtId="0" fontId="3" fillId="0" borderId="67" xfId="0" applyFont="1" applyFill="1" applyBorder="1" applyProtection="1"/>
    <xf numFmtId="0" fontId="0" fillId="0" borderId="68" xfId="0" applyFont="1" applyFill="1" applyBorder="1" applyAlignment="1" applyProtection="1">
      <alignment horizontal="right" vertical="center"/>
    </xf>
    <xf numFmtId="0" fontId="3" fillId="0" borderId="5" xfId="0" applyFont="1" applyFill="1" applyBorder="1" applyAlignment="1" applyProtection="1">
      <alignment horizontal="right" vertical="center"/>
    </xf>
    <xf numFmtId="0" fontId="3" fillId="0" borderId="75" xfId="0" applyFont="1" applyFill="1" applyBorder="1" applyAlignment="1" applyProtection="1">
      <alignment horizontal="right" vertical="center"/>
    </xf>
    <xf numFmtId="0" fontId="3" fillId="3" borderId="2" xfId="0" applyFont="1" applyFill="1" applyBorder="1" applyAlignment="1" applyProtection="1">
      <alignment horizontal="right" vertical="center"/>
    </xf>
    <xf numFmtId="0" fontId="3" fillId="0" borderId="0" xfId="0" applyFont="1" applyFill="1" applyBorder="1" applyAlignment="1" applyProtection="1">
      <alignment horizontal="center" vertical="center"/>
    </xf>
    <xf numFmtId="0" fontId="0" fillId="6" borderId="38" xfId="0" applyFont="1" applyFill="1" applyBorder="1" applyProtection="1">
      <protection locked="0"/>
    </xf>
    <xf numFmtId="2" fontId="0" fillId="6" borderId="35" xfId="0" applyNumberFormat="1" applyFont="1" applyFill="1" applyBorder="1" applyAlignment="1" applyProtection="1">
      <alignment horizontal="center"/>
      <protection locked="0"/>
    </xf>
    <xf numFmtId="167" fontId="0" fillId="6" borderId="32" xfId="1" applyNumberFormat="1" applyFont="1" applyFill="1" applyBorder="1" applyAlignment="1" applyProtection="1">
      <alignment horizontal="center" vertical="center"/>
      <protection locked="0"/>
    </xf>
    <xf numFmtId="166" fontId="0" fillId="6" borderId="32" xfId="0" applyNumberFormat="1" applyFont="1" applyFill="1" applyBorder="1" applyAlignment="1" applyProtection="1">
      <alignment horizontal="center"/>
      <protection locked="0"/>
    </xf>
    <xf numFmtId="0" fontId="0" fillId="6" borderId="32" xfId="0" applyFont="1" applyFill="1" applyBorder="1" applyAlignment="1" applyProtection="1">
      <alignment horizontal="center"/>
      <protection locked="0"/>
    </xf>
    <xf numFmtId="0" fontId="0" fillId="0" borderId="67" xfId="0" applyFont="1" applyFill="1" applyBorder="1" applyAlignment="1" applyProtection="1">
      <alignment horizontal="right" vertical="center"/>
      <protection locked="0"/>
    </xf>
    <xf numFmtId="0" fontId="3" fillId="3" borderId="69" xfId="0" applyFont="1" applyFill="1" applyBorder="1" applyAlignment="1" applyProtection="1">
      <alignment horizontal="right" vertical="center"/>
      <protection locked="0"/>
    </xf>
    <xf numFmtId="0" fontId="0" fillId="0" borderId="69" xfId="0" applyFont="1" applyFill="1" applyBorder="1" applyAlignment="1" applyProtection="1">
      <alignment horizontal="right" vertical="center"/>
      <protection locked="0"/>
    </xf>
    <xf numFmtId="0" fontId="3" fillId="3" borderId="74" xfId="0" applyFont="1" applyFill="1" applyBorder="1" applyAlignment="1" applyProtection="1">
      <alignment horizontal="right" vertical="center"/>
      <protection locked="0"/>
    </xf>
    <xf numFmtId="49" fontId="3" fillId="7" borderId="70" xfId="0" applyNumberFormat="1" applyFont="1" applyFill="1" applyBorder="1" applyAlignment="1" applyProtection="1">
      <alignment horizontal="center" vertical="center" wrapText="1"/>
    </xf>
    <xf numFmtId="49" fontId="3" fillId="7" borderId="33" xfId="0" applyNumberFormat="1" applyFont="1" applyFill="1" applyBorder="1" applyAlignment="1" applyProtection="1">
      <alignment horizontal="center" vertical="center" wrapText="1"/>
    </xf>
    <xf numFmtId="49" fontId="3" fillId="0" borderId="71" xfId="0" applyNumberFormat="1" applyFont="1" applyFill="1" applyBorder="1" applyAlignment="1" applyProtection="1">
      <alignment horizontal="center" vertical="center"/>
    </xf>
    <xf numFmtId="49" fontId="3" fillId="0" borderId="56" xfId="0" applyNumberFormat="1" applyFont="1" applyFill="1" applyBorder="1" applyAlignment="1" applyProtection="1">
      <alignment horizontal="center" vertical="center"/>
    </xf>
    <xf numFmtId="0" fontId="0" fillId="0" borderId="71" xfId="0" applyNumberFormat="1" applyFont="1" applyFill="1" applyBorder="1" applyAlignment="1" applyProtection="1">
      <alignment horizontal="center" vertical="center"/>
    </xf>
    <xf numFmtId="169" fontId="0" fillId="0" borderId="56" xfId="0" applyNumberFormat="1" applyFont="1" applyFill="1" applyBorder="1" applyAlignment="1" applyProtection="1">
      <alignment horizontal="center" vertical="center"/>
    </xf>
    <xf numFmtId="169" fontId="0" fillId="0" borderId="65" xfId="0" applyNumberFormat="1" applyFont="1" applyFill="1" applyBorder="1" applyAlignment="1" applyProtection="1">
      <alignment horizontal="center" vertical="center"/>
    </xf>
    <xf numFmtId="169" fontId="0" fillId="0" borderId="67" xfId="0" applyNumberFormat="1" applyFont="1" applyFill="1" applyBorder="1" applyAlignment="1" applyProtection="1">
      <alignment horizontal="center" vertical="center"/>
    </xf>
    <xf numFmtId="0" fontId="3" fillId="3" borderId="72" xfId="0" applyNumberFormat="1" applyFont="1" applyFill="1" applyBorder="1" applyAlignment="1" applyProtection="1">
      <alignment horizontal="center" vertical="center"/>
    </xf>
    <xf numFmtId="169" fontId="3" fillId="3" borderId="73" xfId="0" applyNumberFormat="1" applyFont="1" applyFill="1" applyBorder="1" applyAlignment="1" applyProtection="1">
      <alignment horizontal="center" vertical="center"/>
    </xf>
    <xf numFmtId="169" fontId="3" fillId="3" borderId="66" xfId="0" applyNumberFormat="1" applyFont="1" applyFill="1" applyBorder="1" applyAlignment="1" applyProtection="1">
      <alignment horizontal="center" vertical="center"/>
    </xf>
    <xf numFmtId="169" fontId="3" fillId="3" borderId="68" xfId="0" applyNumberFormat="1" applyFont="1" applyFill="1" applyBorder="1" applyAlignment="1" applyProtection="1">
      <alignment horizontal="center" vertical="center"/>
    </xf>
    <xf numFmtId="0" fontId="8" fillId="0" borderId="0" xfId="0" applyNumberFormat="1" applyFont="1" applyFill="1" applyBorder="1" applyAlignment="1" applyProtection="1">
      <alignment horizontal="center" vertical="center"/>
    </xf>
    <xf numFmtId="0" fontId="3" fillId="0" borderId="56" xfId="0" applyNumberFormat="1" applyFont="1" applyFill="1" applyBorder="1" applyAlignment="1" applyProtection="1">
      <alignment horizontal="center" vertical="center"/>
    </xf>
    <xf numFmtId="169" fontId="3" fillId="3" borderId="3" xfId="0" applyNumberFormat="1" applyFont="1" applyFill="1" applyBorder="1" applyAlignment="1" applyProtection="1">
      <alignment horizontal="center" vertical="center"/>
    </xf>
    <xf numFmtId="169" fontId="3" fillId="0" borderId="0" xfId="0" applyNumberFormat="1" applyFont="1" applyFill="1" applyBorder="1" applyAlignment="1" applyProtection="1">
      <alignment horizontal="center" vertical="center"/>
    </xf>
    <xf numFmtId="0" fontId="0" fillId="0" borderId="0" xfId="0" applyNumberFormat="1" applyFont="1" applyFill="1" applyBorder="1" applyAlignment="1" applyProtection="1">
      <alignment horizontal="right" vertical="center"/>
    </xf>
    <xf numFmtId="0" fontId="0" fillId="0" borderId="4" xfId="0" applyNumberFormat="1" applyFont="1" applyFill="1" applyBorder="1" applyAlignment="1" applyProtection="1">
      <alignment horizontal="right" vertical="center"/>
    </xf>
    <xf numFmtId="169" fontId="0" fillId="0" borderId="53" xfId="0" applyNumberFormat="1" applyFont="1" applyFill="1" applyBorder="1" applyAlignment="1" applyProtection="1">
      <alignment horizontal="center" vertical="center"/>
    </xf>
    <xf numFmtId="0" fontId="0" fillId="0" borderId="76" xfId="0" applyNumberFormat="1" applyFont="1" applyFill="1" applyBorder="1" applyAlignment="1" applyProtection="1">
      <alignment horizontal="right" vertical="center"/>
    </xf>
    <xf numFmtId="169" fontId="0" fillId="0" borderId="77" xfId="0" applyNumberFormat="1" applyFont="1" applyFill="1" applyBorder="1" applyAlignment="1" applyProtection="1">
      <alignment horizontal="center" vertical="center"/>
    </xf>
    <xf numFmtId="0" fontId="0" fillId="0" borderId="22" xfId="0" applyNumberFormat="1" applyFont="1" applyFill="1" applyBorder="1" applyAlignment="1" applyProtection="1">
      <alignment horizontal="right" vertical="center"/>
    </xf>
    <xf numFmtId="49" fontId="3" fillId="3" borderId="1" xfId="0" applyNumberFormat="1" applyFont="1" applyFill="1" applyBorder="1" applyAlignment="1" applyProtection="1">
      <alignment horizontal="center" vertical="center"/>
    </xf>
    <xf numFmtId="169" fontId="3" fillId="3" borderId="30" xfId="0" applyNumberFormat="1" applyFont="1" applyFill="1" applyBorder="1" applyAlignment="1" applyProtection="1">
      <alignment horizontal="center" vertical="center"/>
    </xf>
    <xf numFmtId="0" fontId="0" fillId="0" borderId="78" xfId="0" applyFill="1" applyBorder="1" applyProtection="1"/>
    <xf numFmtId="9" fontId="0" fillId="0" borderId="78" xfId="2" applyFont="1" applyFill="1" applyBorder="1" applyProtection="1"/>
    <xf numFmtId="169" fontId="0" fillId="0" borderId="0" xfId="0" applyNumberFormat="1" applyFill="1" applyProtection="1"/>
    <xf numFmtId="0" fontId="3" fillId="3" borderId="1" xfId="0" applyNumberFormat="1" applyFont="1" applyFill="1" applyBorder="1" applyAlignment="1" applyProtection="1">
      <alignment horizontal="center" vertical="center"/>
    </xf>
    <xf numFmtId="0" fontId="3" fillId="13" borderId="0" xfId="0" applyFont="1" applyFill="1"/>
    <xf numFmtId="0" fontId="20" fillId="0" borderId="0" xfId="0" applyFont="1"/>
    <xf numFmtId="0" fontId="17" fillId="0" borderId="0" xfId="0" applyFont="1"/>
    <xf numFmtId="0" fontId="3" fillId="2" borderId="0" xfId="0" applyFont="1" applyFill="1" applyAlignment="1">
      <alignment horizontal="center" vertical="center"/>
    </xf>
    <xf numFmtId="2" fontId="3" fillId="3" borderId="40" xfId="1" applyNumberFormat="1" applyFont="1" applyFill="1" applyBorder="1" applyAlignment="1" applyProtection="1">
      <alignment vertical="center"/>
    </xf>
    <xf numFmtId="0" fontId="3" fillId="12" borderId="48" xfId="0" applyFont="1" applyFill="1" applyBorder="1" applyAlignment="1" applyProtection="1">
      <alignment horizontal="right" vertical="center"/>
    </xf>
    <xf numFmtId="0" fontId="3" fillId="6" borderId="1" xfId="0" applyFont="1" applyFill="1" applyBorder="1" applyAlignment="1" applyProtection="1">
      <alignment horizontal="center"/>
    </xf>
    <xf numFmtId="0" fontId="0" fillId="6" borderId="2" xfId="0" applyFill="1" applyBorder="1" applyProtection="1"/>
    <xf numFmtId="0" fontId="0" fillId="6" borderId="3" xfId="0" applyFill="1" applyBorder="1" applyProtection="1"/>
    <xf numFmtId="167" fontId="0" fillId="0" borderId="32" xfId="1" applyNumberFormat="1" applyFont="1" applyBorder="1" applyAlignment="1" applyProtection="1">
      <alignment horizontal="center"/>
      <protection locked="0"/>
    </xf>
    <xf numFmtId="167" fontId="0" fillId="0" borderId="29" xfId="1" applyNumberFormat="1" applyFont="1" applyBorder="1" applyAlignment="1" applyProtection="1">
      <alignment horizontal="center"/>
      <protection locked="0"/>
    </xf>
    <xf numFmtId="167" fontId="0" fillId="0" borderId="31" xfId="1" applyNumberFormat="1" applyFont="1" applyBorder="1" applyAlignment="1" applyProtection="1">
      <alignment horizontal="center"/>
      <protection locked="0"/>
    </xf>
    <xf numFmtId="1" fontId="0" fillId="3" borderId="36" xfId="0" applyNumberFormat="1" applyFill="1" applyBorder="1" applyAlignment="1" applyProtection="1">
      <alignment horizontal="center"/>
    </xf>
    <xf numFmtId="1" fontId="0" fillId="3" borderId="37" xfId="0" applyNumberFormat="1" applyFill="1" applyBorder="1" applyAlignment="1" applyProtection="1">
      <alignment horizontal="center"/>
    </xf>
    <xf numFmtId="0" fontId="0" fillId="0" borderId="82" xfId="0" applyFont="1" applyBorder="1" applyProtection="1">
      <protection locked="0"/>
    </xf>
    <xf numFmtId="0" fontId="0" fillId="0" borderId="83" xfId="0" applyFont="1" applyBorder="1" applyProtection="1">
      <protection locked="0"/>
    </xf>
    <xf numFmtId="0" fontId="0" fillId="0" borderId="84" xfId="0" applyFont="1" applyBorder="1" applyProtection="1">
      <protection locked="0"/>
    </xf>
    <xf numFmtId="2" fontId="0" fillId="3" borderId="29" xfId="0" applyNumberFormat="1" applyFill="1" applyBorder="1" applyAlignment="1" applyProtection="1">
      <alignment horizontal="right"/>
    </xf>
    <xf numFmtId="2" fontId="0" fillId="3" borderId="31" xfId="0" applyNumberFormat="1" applyFill="1" applyBorder="1" applyAlignment="1" applyProtection="1">
      <alignment horizontal="right"/>
    </xf>
    <xf numFmtId="2" fontId="0" fillId="3" borderId="32" xfId="0" applyNumberFormat="1" applyFill="1" applyBorder="1" applyAlignment="1" applyProtection="1">
      <alignment horizontal="right"/>
    </xf>
    <xf numFmtId="2" fontId="0" fillId="0" borderId="36" xfId="0" applyNumberFormat="1" applyFont="1" applyBorder="1" applyAlignment="1" applyProtection="1">
      <alignment horizontal="right"/>
      <protection locked="0"/>
    </xf>
    <xf numFmtId="2" fontId="0" fillId="0" borderId="37" xfId="0" applyNumberFormat="1" applyFont="1" applyBorder="1" applyAlignment="1" applyProtection="1">
      <alignment horizontal="right"/>
      <protection locked="0"/>
    </xf>
    <xf numFmtId="2" fontId="0" fillId="0" borderId="35" xfId="0" applyNumberFormat="1" applyFont="1" applyBorder="1" applyAlignment="1" applyProtection="1">
      <alignment horizontal="right"/>
      <protection locked="0"/>
    </xf>
    <xf numFmtId="0" fontId="21" fillId="9" borderId="0" xfId="0" applyFont="1" applyFill="1" applyProtection="1"/>
    <xf numFmtId="168" fontId="21" fillId="6" borderId="0" xfId="0" applyNumberFormat="1" applyFont="1" applyFill="1" applyProtection="1">
      <protection locked="0"/>
    </xf>
    <xf numFmtId="0" fontId="3" fillId="3" borderId="23" xfId="0" applyFont="1" applyFill="1" applyBorder="1" applyAlignment="1" applyProtection="1">
      <alignment horizontal="left" vertical="center"/>
    </xf>
    <xf numFmtId="0" fontId="3" fillId="3" borderId="24" xfId="0" applyFont="1" applyFill="1" applyBorder="1" applyAlignment="1" applyProtection="1">
      <alignment horizontal="left" vertical="center"/>
    </xf>
    <xf numFmtId="0" fontId="3" fillId="0" borderId="61" xfId="0" applyFont="1" applyBorder="1" applyAlignment="1" applyProtection="1">
      <alignment horizontal="left" vertical="center"/>
    </xf>
    <xf numFmtId="0" fontId="3" fillId="0" borderId="62" xfId="0" applyFont="1" applyBorder="1" applyAlignment="1" applyProtection="1">
      <alignment horizontal="left" vertical="center"/>
    </xf>
    <xf numFmtId="0" fontId="3" fillId="0" borderId="0" xfId="0" applyFont="1" applyFill="1" applyBorder="1" applyAlignment="1" applyProtection="1">
      <alignment horizontal="center" vertical="center"/>
    </xf>
    <xf numFmtId="165" fontId="15" fillId="8" borderId="0" xfId="1" applyNumberFormat="1" applyFont="1" applyFill="1" applyProtection="1">
      <protection hidden="1"/>
    </xf>
    <xf numFmtId="0" fontId="0" fillId="0" borderId="0" xfId="0" quotePrefix="1"/>
    <xf numFmtId="0" fontId="23" fillId="0" borderId="0" xfId="0" applyFont="1"/>
    <xf numFmtId="0" fontId="25" fillId="0" borderId="0" xfId="0" applyFont="1"/>
    <xf numFmtId="0" fontId="26" fillId="0" borderId="0" xfId="0" applyFont="1"/>
    <xf numFmtId="0" fontId="27" fillId="0" borderId="0" xfId="0" applyFont="1" applyAlignment="1">
      <alignment vertical="top"/>
    </xf>
    <xf numFmtId="0" fontId="28" fillId="0" borderId="0" xfId="0" applyFont="1"/>
    <xf numFmtId="0" fontId="23" fillId="0" borderId="0" xfId="0" applyFont="1" applyAlignment="1">
      <alignment vertical="center"/>
    </xf>
    <xf numFmtId="0" fontId="24" fillId="0" borderId="0" xfId="0" applyFont="1" applyAlignment="1">
      <alignment horizontal="left" vertical="center"/>
    </xf>
    <xf numFmtId="0" fontId="24" fillId="0" borderId="0" xfId="0" applyFont="1" applyAlignment="1">
      <alignment vertical="center"/>
    </xf>
    <xf numFmtId="0" fontId="24" fillId="0" borderId="0" xfId="0" applyFont="1"/>
    <xf numFmtId="0" fontId="23" fillId="20" borderId="0" xfId="0" applyFont="1" applyFill="1"/>
    <xf numFmtId="0" fontId="23" fillId="19" borderId="0" xfId="0" applyFont="1" applyFill="1"/>
    <xf numFmtId="0" fontId="23" fillId="0" borderId="0" xfId="0" applyFont="1" applyAlignment="1">
      <alignment horizontal="left" vertical="center"/>
    </xf>
    <xf numFmtId="0" fontId="23" fillId="0" borderId="0" xfId="0" applyFont="1" applyAlignment="1">
      <alignment horizontal="left" vertical="center" wrapText="1"/>
    </xf>
    <xf numFmtId="0" fontId="23" fillId="0" borderId="0" xfId="0" applyFont="1" applyAlignment="1">
      <alignment horizontal="left" vertical="center" wrapText="1" indent="2"/>
    </xf>
    <xf numFmtId="0" fontId="23" fillId="0" borderId="0" xfId="0" applyFont="1" applyAlignment="1">
      <alignment horizontal="left" wrapText="1"/>
    </xf>
    <xf numFmtId="0" fontId="23" fillId="0" borderId="0" xfId="0" applyFont="1" applyAlignment="1">
      <alignment horizontal="left"/>
    </xf>
    <xf numFmtId="0" fontId="23" fillId="3" borderId="0" xfId="0" applyFont="1" applyFill="1" applyAlignment="1">
      <alignment horizontal="left" wrapText="1"/>
    </xf>
    <xf numFmtId="0" fontId="23" fillId="3" borderId="0" xfId="0" applyFont="1" applyFill="1" applyAlignment="1">
      <alignment horizontal="left"/>
    </xf>
    <xf numFmtId="0" fontId="23" fillId="0" borderId="0" xfId="0" applyFont="1" applyAlignment="1">
      <alignment horizontal="right" wrapText="1"/>
    </xf>
    <xf numFmtId="0" fontId="23" fillId="0" borderId="0" xfId="0" applyFont="1" applyAlignment="1">
      <alignment horizontal="right"/>
    </xf>
    <xf numFmtId="0" fontId="24" fillId="0" borderId="0" xfId="0" applyFont="1" applyAlignment="1">
      <alignment horizontal="right"/>
    </xf>
    <xf numFmtId="0" fontId="35" fillId="0" borderId="0" xfId="0" applyFont="1" applyAlignment="1" applyProtection="1">
      <alignment horizontal="left"/>
    </xf>
    <xf numFmtId="0" fontId="23" fillId="22" borderId="0" xfId="0" applyFont="1" applyFill="1"/>
    <xf numFmtId="0" fontId="23" fillId="22" borderId="0" xfId="0" applyFont="1" applyFill="1" applyAlignment="1">
      <alignment horizontal="left" wrapText="1"/>
    </xf>
    <xf numFmtId="0" fontId="23" fillId="22" borderId="0" xfId="0" applyFont="1" applyFill="1" applyAlignment="1">
      <alignment horizontal="left"/>
    </xf>
    <xf numFmtId="0" fontId="23" fillId="6" borderId="0" xfId="0" applyFont="1" applyFill="1" applyAlignment="1">
      <alignment horizontal="right"/>
    </xf>
    <xf numFmtId="8" fontId="23" fillId="0" borderId="0" xfId="0" applyNumberFormat="1" applyFont="1"/>
    <xf numFmtId="0" fontId="40" fillId="0" borderId="0" xfId="3" applyFont="1" applyAlignment="1">
      <alignment horizontal="right"/>
    </xf>
    <xf numFmtId="0" fontId="41" fillId="9" borderId="0" xfId="0" applyFont="1" applyFill="1" applyAlignment="1">
      <alignment horizontal="center"/>
    </xf>
    <xf numFmtId="0" fontId="23" fillId="0" borderId="0" xfId="0" applyFont="1" applyAlignment="1">
      <alignment horizontal="center"/>
    </xf>
    <xf numFmtId="0" fontId="23" fillId="0" borderId="0" xfId="0" applyFont="1" applyAlignment="1">
      <alignment horizontal="center"/>
    </xf>
    <xf numFmtId="0" fontId="41" fillId="0" borderId="0" xfId="0" applyFont="1" applyAlignment="1">
      <alignment horizontal="right"/>
    </xf>
    <xf numFmtId="0" fontId="23" fillId="6" borderId="78" xfId="0" applyFont="1" applyFill="1" applyBorder="1" applyAlignment="1">
      <alignment horizontal="right"/>
    </xf>
    <xf numFmtId="0" fontId="23" fillId="6" borderId="78" xfId="0" applyFont="1" applyFill="1" applyBorder="1"/>
    <xf numFmtId="0" fontId="23" fillId="6" borderId="89" xfId="0" applyFont="1" applyFill="1" applyBorder="1"/>
    <xf numFmtId="0" fontId="23" fillId="6" borderId="90" xfId="0" applyFont="1" applyFill="1" applyBorder="1"/>
    <xf numFmtId="0" fontId="23" fillId="3" borderId="78" xfId="0" applyFont="1" applyFill="1" applyBorder="1"/>
    <xf numFmtId="0" fontId="23" fillId="3" borderId="90" xfId="0" applyFont="1" applyFill="1" applyBorder="1"/>
    <xf numFmtId="170" fontId="23" fillId="6" borderId="90" xfId="0" applyNumberFormat="1" applyFont="1" applyFill="1" applyBorder="1"/>
    <xf numFmtId="0" fontId="23" fillId="21" borderId="78" xfId="0" applyFont="1" applyFill="1" applyBorder="1"/>
    <xf numFmtId="0" fontId="44" fillId="10" borderId="0" xfId="0" applyFont="1" applyFill="1" applyAlignment="1">
      <alignment horizontal="center"/>
    </xf>
    <xf numFmtId="0" fontId="23" fillId="15" borderId="0" xfId="0" applyFont="1" applyFill="1"/>
    <xf numFmtId="0" fontId="23" fillId="15" borderId="0" xfId="0" applyFont="1" applyFill="1" applyAlignment="1">
      <alignment horizontal="right"/>
    </xf>
    <xf numFmtId="0" fontId="23" fillId="18" borderId="0" xfId="0" applyFont="1" applyFill="1"/>
    <xf numFmtId="0" fontId="23" fillId="18" borderId="0" xfId="0" applyFont="1" applyFill="1" applyAlignment="1">
      <alignment horizontal="right"/>
    </xf>
    <xf numFmtId="0" fontId="23" fillId="6" borderId="0" xfId="0" applyFont="1" applyFill="1"/>
    <xf numFmtId="0" fontId="24" fillId="15" borderId="0" xfId="0" applyFont="1" applyFill="1" applyAlignment="1">
      <alignment horizontal="right"/>
    </xf>
    <xf numFmtId="0" fontId="23" fillId="16" borderId="0" xfId="0" applyFont="1" applyFill="1"/>
    <xf numFmtId="0" fontId="23" fillId="16" borderId="0" xfId="0" applyFont="1" applyFill="1" applyAlignment="1">
      <alignment horizontal="right"/>
    </xf>
    <xf numFmtId="0" fontId="23" fillId="22" borderId="0" xfId="0" applyFont="1" applyFill="1" applyAlignment="1">
      <alignment horizontal="right"/>
    </xf>
    <xf numFmtId="0" fontId="2" fillId="6" borderId="0" xfId="0" applyFont="1" applyFill="1" applyAlignment="1" applyProtection="1">
      <alignment horizontal="center"/>
    </xf>
    <xf numFmtId="0" fontId="2" fillId="0" borderId="0" xfId="0" applyFont="1" applyAlignment="1" applyProtection="1">
      <alignment horizontal="left"/>
    </xf>
    <xf numFmtId="0" fontId="2" fillId="0" borderId="0" xfId="0" applyFont="1" applyAlignment="1" applyProtection="1">
      <alignment horizontal="center"/>
    </xf>
    <xf numFmtId="0" fontId="35" fillId="6" borderId="0" xfId="0" applyFont="1" applyFill="1" applyAlignment="1" applyProtection="1">
      <alignment horizontal="center"/>
    </xf>
    <xf numFmtId="0" fontId="35" fillId="0" borderId="0" xfId="0" applyFont="1" applyAlignment="1" applyProtection="1">
      <alignment horizontal="center"/>
    </xf>
    <xf numFmtId="2" fontId="35" fillId="0" borderId="0" xfId="0" applyNumberFormat="1" applyFont="1" applyAlignment="1" applyProtection="1">
      <alignment horizontal="right"/>
    </xf>
    <xf numFmtId="170" fontId="35" fillId="6" borderId="0" xfId="0" applyNumberFormat="1" applyFont="1" applyFill="1"/>
    <xf numFmtId="170" fontId="35" fillId="19" borderId="0" xfId="0" applyNumberFormat="1" applyFont="1" applyFill="1"/>
    <xf numFmtId="0" fontId="2" fillId="22" borderId="0" xfId="0" applyFont="1" applyFill="1" applyAlignment="1" applyProtection="1">
      <alignment horizontal="center"/>
    </xf>
    <xf numFmtId="0" fontId="2" fillId="22" borderId="0" xfId="0" applyFont="1" applyFill="1" applyAlignment="1" applyProtection="1">
      <alignment horizontal="left"/>
    </xf>
    <xf numFmtId="0" fontId="23" fillId="3" borderId="93" xfId="0" applyFont="1" applyFill="1" applyBorder="1"/>
    <xf numFmtId="0" fontId="23" fillId="6" borderId="92" xfId="0" applyFont="1" applyFill="1" applyBorder="1"/>
    <xf numFmtId="0" fontId="23" fillId="6" borderId="94" xfId="0" applyFont="1" applyFill="1" applyBorder="1"/>
    <xf numFmtId="0" fontId="23" fillId="3" borderId="94" xfId="0" applyFont="1" applyFill="1" applyBorder="1"/>
    <xf numFmtId="170" fontId="23" fillId="6" borderId="94" xfId="0" applyNumberFormat="1" applyFont="1" applyFill="1" applyBorder="1"/>
    <xf numFmtId="0" fontId="23" fillId="6" borderId="95" xfId="0" applyFont="1" applyFill="1" applyBorder="1"/>
    <xf numFmtId="0" fontId="23" fillId="6" borderId="93" xfId="0" applyFont="1" applyFill="1" applyBorder="1"/>
    <xf numFmtId="170" fontId="23" fillId="6" borderId="93" xfId="0" applyNumberFormat="1" applyFont="1" applyFill="1" applyBorder="1"/>
    <xf numFmtId="170" fontId="23" fillId="3" borderId="96" xfId="0" applyNumberFormat="1" applyFont="1" applyFill="1" applyBorder="1"/>
    <xf numFmtId="170" fontId="23" fillId="3" borderId="97" xfId="0" applyNumberFormat="1" applyFont="1" applyFill="1" applyBorder="1"/>
    <xf numFmtId="170" fontId="23" fillId="3" borderId="91" xfId="0" applyNumberFormat="1" applyFont="1" applyFill="1" applyBorder="1"/>
    <xf numFmtId="0" fontId="23" fillId="6" borderId="98" xfId="0" applyFont="1" applyFill="1" applyBorder="1"/>
    <xf numFmtId="0" fontId="23" fillId="6" borderId="99" xfId="0" applyFont="1" applyFill="1" applyBorder="1"/>
    <xf numFmtId="0" fontId="23" fillId="6" borderId="102" xfId="0" applyFont="1" applyFill="1" applyBorder="1"/>
    <xf numFmtId="0" fontId="23" fillId="6" borderId="103" xfId="0" applyFont="1" applyFill="1" applyBorder="1"/>
    <xf numFmtId="0" fontId="23" fillId="3" borderId="104" xfId="0" applyFont="1" applyFill="1" applyBorder="1"/>
    <xf numFmtId="170" fontId="23" fillId="6" borderId="103" xfId="0" applyNumberFormat="1" applyFont="1" applyFill="1" applyBorder="1"/>
    <xf numFmtId="170" fontId="23" fillId="3" borderId="100" xfId="0" applyNumberFormat="1" applyFont="1" applyFill="1" applyBorder="1"/>
    <xf numFmtId="0" fontId="23" fillId="6" borderId="105" xfId="0" applyFont="1" applyFill="1" applyBorder="1"/>
    <xf numFmtId="0" fontId="23" fillId="3" borderId="105" xfId="0" applyFont="1" applyFill="1" applyBorder="1"/>
    <xf numFmtId="170" fontId="23" fillId="6" borderId="105" xfId="0" applyNumberFormat="1" applyFont="1" applyFill="1" applyBorder="1"/>
    <xf numFmtId="0" fontId="23" fillId="6" borderId="106" xfId="0" applyFont="1" applyFill="1" applyBorder="1"/>
    <xf numFmtId="170" fontId="23" fillId="3" borderId="107" xfId="0" applyNumberFormat="1" applyFont="1" applyFill="1" applyBorder="1"/>
    <xf numFmtId="170" fontId="23" fillId="3" borderId="108" xfId="0" applyNumberFormat="1" applyFont="1" applyFill="1" applyBorder="1"/>
    <xf numFmtId="170" fontId="23" fillId="3" borderId="101" xfId="0" applyNumberFormat="1" applyFont="1" applyFill="1" applyBorder="1"/>
    <xf numFmtId="170" fontId="23" fillId="3" borderId="94" xfId="0" applyNumberFormat="1" applyFont="1" applyFill="1" applyBorder="1" applyAlignment="1">
      <alignment horizontal="right"/>
    </xf>
    <xf numFmtId="170" fontId="23" fillId="3" borderId="100" xfId="0" applyNumberFormat="1" applyFont="1" applyFill="1" applyBorder="1" applyAlignment="1">
      <alignment horizontal="right"/>
    </xf>
    <xf numFmtId="170" fontId="23" fillId="3" borderId="114" xfId="0" applyNumberFormat="1" applyFont="1" applyFill="1" applyBorder="1" applyAlignment="1">
      <alignment horizontal="right"/>
    </xf>
    <xf numFmtId="0" fontId="23" fillId="6" borderId="113" xfId="0" applyFont="1" applyFill="1" applyBorder="1" applyAlignment="1">
      <alignment horizontal="right"/>
    </xf>
    <xf numFmtId="0" fontId="23" fillId="0" borderId="0" xfId="0" applyFont="1" applyBorder="1" applyAlignment="1">
      <alignment horizontal="right"/>
    </xf>
    <xf numFmtId="0" fontId="23" fillId="0" borderId="113" xfId="0" applyFont="1" applyBorder="1"/>
    <xf numFmtId="170" fontId="24" fillId="7" borderId="94" xfId="0" applyNumberFormat="1" applyFont="1" applyFill="1" applyBorder="1" applyAlignment="1">
      <alignment horizontal="right"/>
    </xf>
    <xf numFmtId="0" fontId="37" fillId="9" borderId="0" xfId="0" applyFont="1" applyFill="1"/>
    <xf numFmtId="0" fontId="41" fillId="0" borderId="0" xfId="0" applyFont="1" applyAlignment="1">
      <alignment horizontal="left"/>
    </xf>
    <xf numFmtId="0" fontId="3" fillId="0" borderId="0" xfId="0" applyFont="1" applyFill="1" applyBorder="1" applyAlignment="1" applyProtection="1"/>
    <xf numFmtId="169" fontId="23" fillId="3" borderId="94" xfId="0" applyNumberFormat="1" applyFont="1" applyFill="1" applyBorder="1"/>
    <xf numFmtId="169" fontId="23" fillId="3" borderId="100" xfId="0" applyNumberFormat="1" applyFont="1" applyFill="1" applyBorder="1"/>
    <xf numFmtId="2" fontId="23" fillId="6" borderId="92" xfId="0" applyNumberFormat="1" applyFont="1" applyFill="1" applyBorder="1"/>
    <xf numFmtId="2" fontId="23" fillId="6" borderId="95" xfId="0" applyNumberFormat="1" applyFont="1" applyFill="1" applyBorder="1"/>
    <xf numFmtId="2" fontId="23" fillId="6" borderId="89" xfId="0" applyNumberFormat="1" applyFont="1" applyFill="1" applyBorder="1"/>
    <xf numFmtId="1" fontId="23" fillId="15" borderId="0" xfId="0" applyNumberFormat="1" applyFont="1" applyFill="1" applyAlignment="1">
      <alignment horizontal="right"/>
    </xf>
    <xf numFmtId="0" fontId="23" fillId="0" borderId="0" xfId="0" applyFont="1" applyAlignment="1">
      <alignment horizontal="left" vertical="center"/>
    </xf>
    <xf numFmtId="0" fontId="23" fillId="0" borderId="0" xfId="0" applyFont="1" applyProtection="1">
      <protection locked="0"/>
    </xf>
    <xf numFmtId="0" fontId="23" fillId="21" borderId="78" xfId="0" applyFont="1" applyFill="1" applyBorder="1" applyAlignment="1" applyProtection="1">
      <alignment horizontal="center"/>
      <protection locked="0"/>
    </xf>
    <xf numFmtId="0" fontId="1" fillId="0" borderId="0" xfId="0" applyFont="1" applyAlignment="1" applyProtection="1">
      <alignment horizontal="left"/>
    </xf>
    <xf numFmtId="0" fontId="23" fillId="19" borderId="0" xfId="0" applyFont="1" applyFill="1" applyAlignment="1" applyProtection="1">
      <alignment horizontal="center" vertical="center"/>
      <protection locked="0"/>
    </xf>
    <xf numFmtId="0" fontId="24" fillId="0" borderId="0" xfId="0" applyFont="1" applyAlignment="1">
      <alignment horizontal="left" vertical="center" wrapText="1"/>
    </xf>
    <xf numFmtId="0" fontId="38" fillId="0" borderId="0" xfId="0" applyFont="1" applyAlignment="1" applyProtection="1">
      <alignment horizontal="left"/>
    </xf>
    <xf numFmtId="170" fontId="37" fillId="6" borderId="0" xfId="0" applyNumberFormat="1" applyFont="1" applyFill="1"/>
    <xf numFmtId="0" fontId="23" fillId="23" borderId="0" xfId="0" applyFont="1" applyFill="1"/>
    <xf numFmtId="0" fontId="23" fillId="19" borderId="0" xfId="0" applyFont="1" applyFill="1" applyAlignment="1" applyProtection="1">
      <alignment horizontal="center"/>
      <protection locked="0"/>
    </xf>
    <xf numFmtId="0" fontId="45" fillId="14" borderId="0" xfId="0" applyFont="1" applyFill="1" applyAlignment="1">
      <alignment horizontal="center" vertical="center" wrapText="1"/>
    </xf>
    <xf numFmtId="0" fontId="23" fillId="0" borderId="0" xfId="0" applyFont="1" applyAlignment="1">
      <alignment horizontal="right"/>
    </xf>
    <xf numFmtId="0" fontId="24" fillId="0" borderId="0" xfId="0" applyFont="1" applyAlignment="1">
      <alignment horizontal="left" vertical="center"/>
    </xf>
    <xf numFmtId="0" fontId="29" fillId="19" borderId="0" xfId="0" applyFont="1" applyFill="1" applyAlignment="1" applyProtection="1">
      <alignment horizontal="center" vertical="center"/>
      <protection locked="0"/>
    </xf>
    <xf numFmtId="0" fontId="24" fillId="0" borderId="0" xfId="0" applyFont="1" applyAlignment="1">
      <alignment horizontal="right" vertical="center"/>
    </xf>
    <xf numFmtId="0" fontId="23" fillId="19" borderId="0" xfId="0" applyFont="1" applyFill="1" applyAlignment="1" applyProtection="1">
      <alignment horizontal="center" vertical="center"/>
      <protection locked="0"/>
    </xf>
    <xf numFmtId="0" fontId="24" fillId="0" borderId="0" xfId="0" applyFont="1" applyAlignment="1">
      <alignment horizontal="left" vertical="center" wrapText="1"/>
    </xf>
    <xf numFmtId="0" fontId="42" fillId="10" borderId="0" xfId="0" applyFont="1" applyFill="1" applyAlignment="1">
      <alignment horizontal="center" vertical="center"/>
    </xf>
    <xf numFmtId="0" fontId="43" fillId="6" borderId="86" xfId="0" applyFont="1" applyFill="1" applyBorder="1" applyAlignment="1">
      <alignment horizontal="center"/>
    </xf>
    <xf numFmtId="0" fontId="43" fillId="6" borderId="87" xfId="0" applyFont="1" applyFill="1" applyBorder="1" applyAlignment="1">
      <alignment horizontal="center"/>
    </xf>
    <xf numFmtId="0" fontId="43" fillId="6" borderId="88" xfId="0" applyFont="1" applyFill="1" applyBorder="1" applyAlignment="1">
      <alignment horizontal="center"/>
    </xf>
    <xf numFmtId="170" fontId="24" fillId="21" borderId="86" xfId="0" applyNumberFormat="1" applyFont="1" applyFill="1" applyBorder="1" applyAlignment="1">
      <alignment horizontal="center"/>
    </xf>
    <xf numFmtId="170" fontId="24" fillId="21" borderId="87" xfId="0" applyNumberFormat="1" applyFont="1" applyFill="1" applyBorder="1" applyAlignment="1">
      <alignment horizontal="center"/>
    </xf>
    <xf numFmtId="170" fontId="24" fillId="21" borderId="88" xfId="0" applyNumberFormat="1" applyFont="1" applyFill="1" applyBorder="1" applyAlignment="1">
      <alignment horizontal="center"/>
    </xf>
    <xf numFmtId="170" fontId="37" fillId="17" borderId="86" xfId="0" applyNumberFormat="1" applyFont="1" applyFill="1" applyBorder="1" applyAlignment="1">
      <alignment horizontal="center"/>
    </xf>
    <xf numFmtId="170" fontId="37" fillId="17" borderId="87" xfId="0" applyNumberFormat="1" applyFont="1" applyFill="1" applyBorder="1" applyAlignment="1">
      <alignment horizontal="center"/>
    </xf>
    <xf numFmtId="170" fontId="37" fillId="17" borderId="88" xfId="0" applyNumberFormat="1" applyFont="1" applyFill="1" applyBorder="1" applyAlignment="1">
      <alignment horizontal="center"/>
    </xf>
    <xf numFmtId="170" fontId="23" fillId="21" borderId="86" xfId="0" applyNumberFormat="1" applyFont="1" applyFill="1" applyBorder="1" applyAlignment="1">
      <alignment horizontal="center"/>
    </xf>
    <xf numFmtId="170" fontId="23" fillId="21" borderId="87" xfId="0" applyNumberFormat="1" applyFont="1" applyFill="1" applyBorder="1" applyAlignment="1">
      <alignment horizontal="center"/>
    </xf>
    <xf numFmtId="170" fontId="23" fillId="21" borderId="88" xfId="0" applyNumberFormat="1" applyFont="1" applyFill="1" applyBorder="1" applyAlignment="1">
      <alignment horizontal="center"/>
    </xf>
    <xf numFmtId="0" fontId="39" fillId="10" borderId="0" xfId="0" applyFont="1" applyFill="1" applyAlignment="1">
      <alignment horizontal="center"/>
    </xf>
    <xf numFmtId="170" fontId="23" fillId="21" borderId="109" xfId="0" applyNumberFormat="1" applyFont="1" applyFill="1" applyBorder="1" applyAlignment="1">
      <alignment horizontal="center"/>
    </xf>
    <xf numFmtId="170" fontId="23" fillId="21" borderId="110" xfId="0" applyNumberFormat="1" applyFont="1" applyFill="1" applyBorder="1" applyAlignment="1">
      <alignment horizontal="center"/>
    </xf>
    <xf numFmtId="170" fontId="23" fillId="21" borderId="111" xfId="0" applyNumberFormat="1" applyFont="1" applyFill="1" applyBorder="1" applyAlignment="1">
      <alignment horizontal="center"/>
    </xf>
    <xf numFmtId="170" fontId="23" fillId="21" borderId="0" xfId="0" applyNumberFormat="1" applyFont="1" applyFill="1" applyBorder="1" applyAlignment="1">
      <alignment horizontal="center"/>
    </xf>
    <xf numFmtId="170" fontId="23" fillId="21" borderId="85" xfId="0" applyNumberFormat="1" applyFont="1" applyFill="1" applyBorder="1" applyAlignment="1">
      <alignment horizontal="center"/>
    </xf>
    <xf numFmtId="0" fontId="24" fillId="3" borderId="113" xfId="0" applyFont="1" applyFill="1" applyBorder="1" applyAlignment="1">
      <alignment horizontal="center"/>
    </xf>
    <xf numFmtId="0" fontId="24" fillId="3" borderId="85" xfId="0" applyFont="1" applyFill="1" applyBorder="1" applyAlignment="1">
      <alignment horizontal="center"/>
    </xf>
    <xf numFmtId="0" fontId="23" fillId="6" borderId="115" xfId="0" applyFont="1" applyFill="1" applyBorder="1" applyAlignment="1">
      <alignment horizontal="center"/>
    </xf>
    <xf numFmtId="0" fontId="23" fillId="6" borderId="112" xfId="0" applyFont="1" applyFill="1" applyBorder="1" applyAlignment="1">
      <alignment horizontal="center"/>
    </xf>
    <xf numFmtId="0" fontId="23" fillId="0" borderId="0" xfId="0" applyFont="1" applyAlignment="1">
      <alignment horizontal="center"/>
    </xf>
    <xf numFmtId="0" fontId="41" fillId="9" borderId="0" xfId="0" applyFont="1" applyFill="1" applyAlignment="1">
      <alignment horizontal="center"/>
    </xf>
    <xf numFmtId="0" fontId="39" fillId="9" borderId="0" xfId="0" applyFont="1" applyFill="1" applyAlignment="1">
      <alignment horizontal="center"/>
    </xf>
    <xf numFmtId="0" fontId="39" fillId="5" borderId="86" xfId="0" applyFont="1" applyFill="1" applyBorder="1" applyAlignment="1">
      <alignment horizontal="center"/>
    </xf>
    <xf numFmtId="0" fontId="39" fillId="5" borderId="87" xfId="0" applyFont="1" applyFill="1" applyBorder="1" applyAlignment="1">
      <alignment horizontal="center"/>
    </xf>
    <xf numFmtId="0" fontId="39" fillId="5" borderId="88" xfId="0" applyFont="1" applyFill="1" applyBorder="1" applyAlignment="1">
      <alignment horizontal="center"/>
    </xf>
    <xf numFmtId="0" fontId="23" fillId="6" borderId="113" xfId="0" applyFont="1" applyFill="1" applyBorder="1" applyAlignment="1">
      <alignment horizontal="center"/>
    </xf>
    <xf numFmtId="0" fontId="23" fillId="6" borderId="85" xfId="0" applyFont="1" applyFill="1" applyBorder="1" applyAlignment="1">
      <alignment horizontal="center"/>
    </xf>
    <xf numFmtId="0" fontId="23" fillId="21" borderId="0" xfId="0" applyFont="1" applyFill="1" applyAlignment="1">
      <alignment horizontal="center"/>
    </xf>
    <xf numFmtId="0" fontId="23" fillId="21" borderId="0" xfId="0" applyFont="1" applyFill="1" applyAlignment="1" applyProtection="1">
      <alignment horizontal="center"/>
      <protection locked="0"/>
    </xf>
    <xf numFmtId="0" fontId="23" fillId="21" borderId="0" xfId="0" applyFont="1" applyFill="1" applyAlignment="1" applyProtection="1">
      <alignment horizontal="center" wrapText="1"/>
      <protection locked="0"/>
    </xf>
    <xf numFmtId="0" fontId="23" fillId="0" borderId="0" xfId="0" applyFont="1" applyAlignment="1">
      <alignment horizontal="center" vertical="center" wrapText="1"/>
    </xf>
    <xf numFmtId="4" fontId="23" fillId="21" borderId="0" xfId="0" applyNumberFormat="1" applyFont="1" applyFill="1" applyAlignment="1" applyProtection="1">
      <alignment horizontal="center"/>
      <protection locked="0"/>
    </xf>
    <xf numFmtId="2" fontId="23" fillId="21" borderId="0" xfId="0" applyNumberFormat="1" applyFont="1" applyFill="1" applyAlignment="1" applyProtection="1">
      <alignment horizontal="center"/>
      <protection locked="0"/>
    </xf>
    <xf numFmtId="0" fontId="23" fillId="18" borderId="0" xfId="0" applyFont="1" applyFill="1" applyAlignment="1">
      <alignment horizontal="left" vertical="center"/>
    </xf>
    <xf numFmtId="0" fontId="23" fillId="0" borderId="0" xfId="0" applyFont="1" applyAlignment="1">
      <alignment horizontal="left" vertical="center"/>
    </xf>
    <xf numFmtId="0" fontId="23" fillId="0" borderId="0" xfId="0" applyFont="1" applyAlignment="1">
      <alignment horizontal="left" vertical="center" wrapText="1"/>
    </xf>
    <xf numFmtId="4" fontId="23" fillId="19" borderId="0" xfId="1" applyNumberFormat="1" applyFont="1" applyFill="1" applyAlignment="1" applyProtection="1">
      <alignment horizontal="center" vertical="center"/>
      <protection locked="0"/>
    </xf>
    <xf numFmtId="2" fontId="23" fillId="19" borderId="0" xfId="0" applyNumberFormat="1" applyFont="1" applyFill="1" applyAlignment="1" applyProtection="1">
      <alignment horizontal="center" vertical="center" wrapText="1"/>
      <protection locked="0"/>
    </xf>
    <xf numFmtId="0" fontId="23" fillId="19" borderId="0" xfId="0" applyFont="1" applyFill="1" applyAlignment="1" applyProtection="1">
      <alignment horizontal="center" vertical="center" wrapText="1"/>
      <protection locked="0"/>
    </xf>
    <xf numFmtId="0" fontId="23" fillId="0" borderId="0" xfId="0" applyFont="1" applyAlignment="1">
      <alignment wrapText="1"/>
    </xf>
    <xf numFmtId="0" fontId="23" fillId="0" borderId="0" xfId="0" applyFont="1" applyAlignment="1">
      <alignment horizontal="left" vertical="center" wrapText="1" indent="2"/>
    </xf>
    <xf numFmtId="0" fontId="23" fillId="0" borderId="0" xfId="0" applyFont="1" applyAlignment="1">
      <alignment horizontal="left" vertical="center" indent="2"/>
    </xf>
    <xf numFmtId="0" fontId="23" fillId="0" borderId="0" xfId="0" applyFont="1" applyAlignment="1">
      <alignment horizontal="center" vertical="center"/>
    </xf>
    <xf numFmtId="0" fontId="24" fillId="18" borderId="0" xfId="0" applyFont="1" applyFill="1" applyAlignment="1">
      <alignment horizontal="left" vertical="center"/>
    </xf>
    <xf numFmtId="0" fontId="35" fillId="0" borderId="0" xfId="0" applyFont="1" applyAlignment="1">
      <alignment horizontal="center" vertical="center"/>
    </xf>
    <xf numFmtId="166" fontId="3" fillId="11" borderId="58" xfId="0" applyNumberFormat="1" applyFont="1" applyFill="1" applyBorder="1" applyAlignment="1" applyProtection="1">
      <alignment horizontal="center" vertical="center"/>
    </xf>
    <xf numFmtId="166" fontId="3" fillId="11" borderId="59" xfId="0" applyNumberFormat="1" applyFont="1" applyFill="1" applyBorder="1" applyAlignment="1" applyProtection="1">
      <alignment horizontal="center" vertical="center"/>
    </xf>
    <xf numFmtId="166" fontId="3" fillId="11" borderId="60" xfId="0" applyNumberFormat="1" applyFont="1" applyFill="1" applyBorder="1" applyAlignment="1" applyProtection="1">
      <alignment horizontal="center" vertical="center"/>
    </xf>
    <xf numFmtId="166" fontId="3" fillId="11" borderId="55" xfId="0" applyNumberFormat="1" applyFont="1" applyFill="1" applyBorder="1" applyAlignment="1" applyProtection="1">
      <alignment horizontal="center" vertical="center"/>
    </xf>
    <xf numFmtId="166" fontId="3" fillId="11" borderId="56" xfId="0" applyNumberFormat="1" applyFont="1" applyFill="1" applyBorder="1" applyAlignment="1" applyProtection="1">
      <alignment horizontal="center" vertical="center"/>
    </xf>
    <xf numFmtId="166" fontId="3" fillId="11" borderId="57" xfId="0" applyNumberFormat="1" applyFont="1" applyFill="1" applyBorder="1" applyAlignment="1" applyProtection="1">
      <alignment horizontal="center" vertical="center"/>
    </xf>
    <xf numFmtId="0" fontId="3" fillId="3" borderId="4" xfId="0" applyFont="1" applyFill="1" applyBorder="1" applyAlignment="1" applyProtection="1">
      <alignment horizontal="center" vertical="center"/>
    </xf>
    <xf numFmtId="0" fontId="3" fillId="3" borderId="5" xfId="0" applyFont="1" applyFill="1" applyBorder="1" applyAlignment="1" applyProtection="1">
      <alignment horizontal="center" vertical="center"/>
    </xf>
    <xf numFmtId="0" fontId="3" fillId="3" borderId="6" xfId="0" applyFont="1" applyFill="1" applyBorder="1" applyAlignment="1" applyProtection="1">
      <alignment horizontal="center" vertical="center"/>
    </xf>
    <xf numFmtId="0" fontId="0" fillId="0" borderId="18" xfId="0" applyBorder="1" applyAlignment="1" applyProtection="1">
      <alignment horizontal="left" vertical="center"/>
      <protection locked="0"/>
    </xf>
    <xf numFmtId="0" fontId="0" fillId="0" borderId="19" xfId="0" applyBorder="1" applyAlignment="1" applyProtection="1">
      <alignment horizontal="left" vertical="center"/>
      <protection locked="0"/>
    </xf>
    <xf numFmtId="49" fontId="0" fillId="0" borderId="18" xfId="0" applyNumberFormat="1" applyBorder="1" applyAlignment="1" applyProtection="1">
      <alignment horizontal="left" vertical="center"/>
      <protection locked="0"/>
    </xf>
    <xf numFmtId="49" fontId="0" fillId="0" borderId="19" xfId="0" applyNumberFormat="1" applyBorder="1" applyAlignment="1" applyProtection="1">
      <alignment horizontal="left" vertical="center"/>
      <protection locked="0"/>
    </xf>
    <xf numFmtId="0" fontId="0" fillId="0" borderId="7" xfId="0" applyBorder="1" applyAlignment="1" applyProtection="1">
      <alignment horizontal="left" vertical="center"/>
      <protection locked="0"/>
    </xf>
    <xf numFmtId="0" fontId="0" fillId="0" borderId="12" xfId="0" applyBorder="1" applyAlignment="1" applyProtection="1">
      <alignment horizontal="left" vertical="center"/>
      <protection locked="0"/>
    </xf>
    <xf numFmtId="49" fontId="0" fillId="0" borderId="7" xfId="0" applyNumberFormat="1" applyBorder="1" applyAlignment="1" applyProtection="1">
      <alignment horizontal="left" vertical="center"/>
      <protection locked="0"/>
    </xf>
    <xf numFmtId="49" fontId="0" fillId="0" borderId="12" xfId="0" applyNumberFormat="1" applyBorder="1" applyAlignment="1" applyProtection="1">
      <alignment horizontal="left" vertical="center"/>
      <protection locked="0"/>
    </xf>
    <xf numFmtId="0" fontId="0" fillId="0" borderId="9" xfId="0" applyBorder="1" applyAlignment="1" applyProtection="1">
      <alignment horizontal="left" vertical="center"/>
      <protection locked="0"/>
    </xf>
    <xf numFmtId="0" fontId="0" fillId="0" borderId="10" xfId="0" applyBorder="1" applyAlignment="1" applyProtection="1">
      <alignment horizontal="left" vertical="center"/>
      <protection locked="0"/>
    </xf>
    <xf numFmtId="0" fontId="3" fillId="0" borderId="11" xfId="0" applyFont="1" applyBorder="1" applyAlignment="1" applyProtection="1">
      <alignment horizontal="left" vertical="center"/>
    </xf>
    <xf numFmtId="0" fontId="3" fillId="0" borderId="7" xfId="0" applyFont="1" applyBorder="1" applyAlignment="1" applyProtection="1">
      <alignment horizontal="left" vertical="center"/>
    </xf>
    <xf numFmtId="0" fontId="3" fillId="0" borderId="26" xfId="0" applyFont="1" applyBorder="1" applyAlignment="1" applyProtection="1">
      <alignment horizontal="left" vertical="center"/>
    </xf>
    <xf numFmtId="0" fontId="3" fillId="0" borderId="27" xfId="0" applyFont="1" applyBorder="1" applyAlignment="1" applyProtection="1">
      <alignment horizontal="left" vertical="center"/>
    </xf>
    <xf numFmtId="0" fontId="0" fillId="0" borderId="49" xfId="0" applyBorder="1" applyProtection="1">
      <protection locked="0"/>
    </xf>
    <xf numFmtId="0" fontId="0" fillId="0" borderId="50" xfId="0" applyBorder="1" applyProtection="1">
      <protection locked="0"/>
    </xf>
    <xf numFmtId="0" fontId="0" fillId="0" borderId="42" xfId="0" applyFont="1" applyBorder="1" applyAlignment="1" applyProtection="1">
      <alignment horizontal="center" vertical="center" wrapText="1"/>
    </xf>
    <xf numFmtId="0" fontId="0" fillId="0" borderId="43" xfId="0" applyFont="1" applyBorder="1" applyAlignment="1" applyProtection="1">
      <alignment horizontal="center" vertical="center" wrapText="1"/>
    </xf>
    <xf numFmtId="0" fontId="0" fillId="0" borderId="44" xfId="0" applyFont="1" applyBorder="1" applyAlignment="1" applyProtection="1">
      <alignment horizontal="center" vertical="center" wrapText="1"/>
    </xf>
    <xf numFmtId="0" fontId="0" fillId="0" borderId="45" xfId="0" applyFont="1" applyBorder="1" applyAlignment="1" applyProtection="1">
      <alignment horizontal="center" vertical="center" wrapText="1"/>
    </xf>
    <xf numFmtId="0" fontId="0" fillId="0" borderId="46" xfId="0" applyFont="1" applyBorder="1" applyAlignment="1" applyProtection="1">
      <alignment horizontal="center" vertical="center" wrapText="1"/>
    </xf>
    <xf numFmtId="0" fontId="0" fillId="0" borderId="35" xfId="0" applyFont="1" applyBorder="1" applyAlignment="1" applyProtection="1">
      <alignment horizontal="center" vertical="center" wrapText="1"/>
    </xf>
    <xf numFmtId="166" fontId="3" fillId="11" borderId="79" xfId="0" applyNumberFormat="1" applyFont="1" applyFill="1" applyBorder="1" applyAlignment="1" applyProtection="1">
      <alignment horizontal="center" vertical="center"/>
    </xf>
    <xf numFmtId="166" fontId="3" fillId="11" borderId="80" xfId="0" applyNumberFormat="1" applyFont="1" applyFill="1" applyBorder="1" applyAlignment="1" applyProtection="1">
      <alignment horizontal="center" vertical="center"/>
    </xf>
    <xf numFmtId="166" fontId="3" fillId="11" borderId="81" xfId="0" applyNumberFormat="1" applyFont="1" applyFill="1" applyBorder="1" applyAlignment="1" applyProtection="1">
      <alignment horizontal="center" vertical="center"/>
    </xf>
    <xf numFmtId="0" fontId="3" fillId="3" borderId="1" xfId="0" applyFont="1" applyFill="1" applyBorder="1" applyAlignment="1" applyProtection="1">
      <alignment horizontal="center" vertical="center"/>
    </xf>
    <xf numFmtId="0" fontId="3" fillId="3" borderId="2" xfId="0" applyFont="1" applyFill="1" applyBorder="1" applyAlignment="1" applyProtection="1">
      <alignment horizontal="center" vertical="center"/>
    </xf>
    <xf numFmtId="0" fontId="3" fillId="3" borderId="3" xfId="0" applyFont="1" applyFill="1" applyBorder="1" applyAlignment="1" applyProtection="1">
      <alignment horizontal="center" vertical="center"/>
    </xf>
    <xf numFmtId="0" fontId="0" fillId="0" borderId="16" xfId="0" applyBorder="1" applyAlignment="1" applyProtection="1">
      <alignment horizontal="left" vertical="center"/>
      <protection locked="0"/>
    </xf>
    <xf numFmtId="0" fontId="0" fillId="0" borderId="17" xfId="0" applyBorder="1" applyAlignment="1" applyProtection="1">
      <alignment horizontal="left" vertical="center"/>
      <protection locked="0"/>
    </xf>
    <xf numFmtId="0" fontId="5" fillId="2" borderId="1" xfId="0" applyFont="1" applyFill="1" applyBorder="1" applyAlignment="1" applyProtection="1">
      <alignment horizontal="center"/>
    </xf>
    <xf numFmtId="0" fontId="5" fillId="2" borderId="2" xfId="0" applyFont="1" applyFill="1" applyBorder="1" applyAlignment="1" applyProtection="1">
      <alignment horizontal="center"/>
    </xf>
    <xf numFmtId="0" fontId="5" fillId="2" borderId="3" xfId="0" applyFont="1" applyFill="1" applyBorder="1" applyAlignment="1" applyProtection="1">
      <alignment horizontal="center"/>
    </xf>
    <xf numFmtId="0" fontId="5" fillId="2" borderId="1" xfId="0" applyFont="1" applyFill="1" applyBorder="1" applyAlignment="1" applyProtection="1">
      <alignment horizontal="center" vertical="center"/>
    </xf>
    <xf numFmtId="0" fontId="5" fillId="2" borderId="2" xfId="0" applyFont="1" applyFill="1" applyBorder="1" applyAlignment="1" applyProtection="1">
      <alignment horizontal="center" vertical="center"/>
    </xf>
    <xf numFmtId="0" fontId="5" fillId="2" borderId="3" xfId="0" applyFont="1" applyFill="1" applyBorder="1" applyAlignment="1" applyProtection="1">
      <alignment horizontal="center" vertical="center"/>
    </xf>
    <xf numFmtId="0" fontId="5" fillId="2" borderId="4" xfId="0" applyFont="1" applyFill="1" applyBorder="1" applyAlignment="1" applyProtection="1">
      <alignment horizontal="center"/>
    </xf>
    <xf numFmtId="0" fontId="5" fillId="2" borderId="5" xfId="0" applyFont="1" applyFill="1" applyBorder="1" applyAlignment="1" applyProtection="1">
      <alignment horizontal="center"/>
    </xf>
    <xf numFmtId="0" fontId="5" fillId="2" borderId="6" xfId="0" applyFont="1" applyFill="1" applyBorder="1" applyAlignment="1" applyProtection="1">
      <alignment horizontal="center"/>
    </xf>
    <xf numFmtId="49" fontId="3" fillId="0" borderId="2" xfId="0" applyNumberFormat="1" applyFont="1" applyBorder="1" applyAlignment="1" applyProtection="1">
      <alignment horizontal="center" vertical="center"/>
      <protection locked="0"/>
    </xf>
    <xf numFmtId="49" fontId="3" fillId="0" borderId="3" xfId="0" applyNumberFormat="1" applyFont="1" applyBorder="1" applyAlignment="1" applyProtection="1">
      <alignment horizontal="center" vertical="center"/>
      <protection locked="0"/>
    </xf>
    <xf numFmtId="0" fontId="3" fillId="0" borderId="8" xfId="0" applyFont="1" applyBorder="1" applyAlignment="1" applyProtection="1">
      <alignment horizontal="left" vertical="center"/>
    </xf>
    <xf numFmtId="0" fontId="3" fillId="0" borderId="9" xfId="0" applyFont="1" applyBorder="1" applyAlignment="1" applyProtection="1">
      <alignment horizontal="left" vertical="center"/>
    </xf>
    <xf numFmtId="0" fontId="21" fillId="9" borderId="0" xfId="0" applyFont="1" applyFill="1" applyAlignment="1" applyProtection="1">
      <alignment horizontal="left" vertical="center" wrapText="1"/>
    </xf>
    <xf numFmtId="168" fontId="21" fillId="8" borderId="0" xfId="0" applyNumberFormat="1" applyFont="1" applyFill="1" applyAlignment="1" applyProtection="1">
      <alignment horizontal="right" vertical="center" wrapText="1"/>
      <protection hidden="1"/>
    </xf>
    <xf numFmtId="165" fontId="0" fillId="0" borderId="18" xfId="1" applyFont="1" applyBorder="1" applyAlignment="1" applyProtection="1">
      <alignment horizontal="left" vertical="center"/>
      <protection locked="0"/>
    </xf>
    <xf numFmtId="165" fontId="0" fillId="0" borderId="19" xfId="1" applyFont="1" applyBorder="1" applyAlignment="1" applyProtection="1">
      <alignment horizontal="left" vertical="center"/>
      <protection locked="0"/>
    </xf>
    <xf numFmtId="0" fontId="3" fillId="3" borderId="23" xfId="0" applyFont="1" applyFill="1" applyBorder="1" applyAlignment="1" applyProtection="1">
      <alignment horizontal="left" vertical="center"/>
    </xf>
    <xf numFmtId="0" fontId="3" fillId="3" borderId="24" xfId="0" applyFont="1" applyFill="1" applyBorder="1" applyAlignment="1" applyProtection="1">
      <alignment horizontal="left" vertical="center"/>
    </xf>
    <xf numFmtId="165" fontId="0" fillId="0" borderId="20" xfId="1" applyFont="1" applyBorder="1" applyAlignment="1" applyProtection="1">
      <alignment horizontal="left" vertical="center"/>
      <protection locked="0"/>
    </xf>
    <xf numFmtId="165" fontId="0" fillId="0" borderId="21" xfId="1" applyFont="1" applyBorder="1" applyAlignment="1" applyProtection="1">
      <alignment horizontal="left" vertical="center"/>
      <protection locked="0"/>
    </xf>
    <xf numFmtId="165" fontId="19" fillId="0" borderId="20" xfId="1" applyFont="1" applyBorder="1" applyAlignment="1" applyProtection="1">
      <alignment horizontal="left" vertical="center"/>
      <protection locked="0"/>
    </xf>
    <xf numFmtId="165" fontId="19" fillId="0" borderId="21" xfId="1" applyFont="1" applyBorder="1" applyAlignment="1" applyProtection="1">
      <alignment horizontal="left" vertical="center"/>
      <protection locked="0"/>
    </xf>
    <xf numFmtId="0" fontId="3" fillId="0" borderId="61" xfId="0" applyFont="1" applyBorder="1" applyAlignment="1" applyProtection="1">
      <alignment horizontal="left" vertical="center"/>
    </xf>
    <xf numFmtId="0" fontId="3" fillId="0" borderId="62" xfId="0" applyFont="1" applyBorder="1" applyAlignment="1" applyProtection="1">
      <alignment horizontal="left" vertical="center"/>
    </xf>
    <xf numFmtId="2" fontId="3" fillId="0" borderId="2" xfId="0" applyNumberFormat="1" applyFont="1" applyBorder="1" applyAlignment="1" applyProtection="1">
      <alignment horizontal="center" vertical="center"/>
      <protection locked="0"/>
    </xf>
    <xf numFmtId="2" fontId="3" fillId="0" borderId="3" xfId="0" applyNumberFormat="1" applyFont="1" applyBorder="1" applyAlignment="1" applyProtection="1">
      <alignment horizontal="center" vertical="center"/>
      <protection locked="0"/>
    </xf>
    <xf numFmtId="0" fontId="3" fillId="0" borderId="3" xfId="0" applyNumberFormat="1" applyFont="1" applyBorder="1" applyAlignment="1" applyProtection="1">
      <alignment horizontal="center" vertical="center"/>
      <protection locked="0"/>
    </xf>
    <xf numFmtId="0" fontId="3" fillId="12" borderId="4" xfId="0" applyFont="1" applyFill="1" applyBorder="1" applyAlignment="1" applyProtection="1">
      <alignment horizontal="center" vertical="center"/>
    </xf>
    <xf numFmtId="0" fontId="3" fillId="12" borderId="6" xfId="0" applyFont="1" applyFill="1" applyBorder="1" applyAlignment="1" applyProtection="1">
      <alignment horizontal="center" vertical="center"/>
    </xf>
    <xf numFmtId="0" fontId="3" fillId="12" borderId="48" xfId="0" applyFont="1" applyFill="1" applyBorder="1" applyAlignment="1" applyProtection="1">
      <alignment horizontal="center" vertical="center"/>
    </xf>
    <xf numFmtId="0" fontId="3" fillId="12" borderId="50" xfId="0" applyFont="1" applyFill="1" applyBorder="1" applyAlignment="1" applyProtection="1">
      <alignment horizontal="center" vertical="center"/>
    </xf>
    <xf numFmtId="2" fontId="3" fillId="3" borderId="53" xfId="1" applyNumberFormat="1" applyFont="1" applyFill="1" applyBorder="1" applyAlignment="1" applyProtection="1">
      <alignment horizontal="center" vertical="center"/>
    </xf>
    <xf numFmtId="2" fontId="3" fillId="3" borderId="40" xfId="1" applyNumberFormat="1" applyFont="1" applyFill="1" applyBorder="1" applyAlignment="1" applyProtection="1">
      <alignment horizontal="center" vertical="center"/>
    </xf>
    <xf numFmtId="164" fontId="0" fillId="0" borderId="16" xfId="0" applyNumberFormat="1" applyBorder="1" applyAlignment="1" applyProtection="1">
      <alignment horizontal="left" vertical="center"/>
      <protection locked="0"/>
    </xf>
    <xf numFmtId="164" fontId="0" fillId="0" borderId="17" xfId="0" applyNumberFormat="1" applyBorder="1" applyAlignment="1" applyProtection="1">
      <alignment horizontal="left" vertical="center"/>
      <protection locked="0"/>
    </xf>
    <xf numFmtId="0" fontId="12" fillId="0" borderId="0" xfId="0" applyFont="1" applyAlignment="1" applyProtection="1">
      <alignment horizontal="center" vertical="center"/>
    </xf>
    <xf numFmtId="165" fontId="0" fillId="0" borderId="7" xfId="1" applyFont="1" applyBorder="1" applyAlignment="1" applyProtection="1">
      <alignment horizontal="left" vertical="center"/>
      <protection locked="0"/>
    </xf>
    <xf numFmtId="165" fontId="0" fillId="0" borderId="12" xfId="1" applyFont="1" applyBorder="1" applyAlignment="1" applyProtection="1">
      <alignment horizontal="left" vertical="center"/>
      <protection locked="0"/>
    </xf>
    <xf numFmtId="165" fontId="19" fillId="0" borderId="14" xfId="1" applyFont="1" applyBorder="1" applyAlignment="1" applyProtection="1">
      <alignment horizontal="left" vertical="center"/>
      <protection locked="0"/>
    </xf>
    <xf numFmtId="165" fontId="19" fillId="0" borderId="15" xfId="1" applyFont="1" applyBorder="1" applyAlignment="1" applyProtection="1">
      <alignment horizontal="left" vertical="center"/>
      <protection locked="0"/>
    </xf>
    <xf numFmtId="0" fontId="3" fillId="7" borderId="1" xfId="0" applyFont="1" applyFill="1" applyBorder="1" applyAlignment="1" applyProtection="1">
      <alignment horizontal="center"/>
    </xf>
    <xf numFmtId="0" fontId="3" fillId="7" borderId="2" xfId="0" applyFont="1" applyFill="1" applyBorder="1" applyAlignment="1" applyProtection="1">
      <alignment horizontal="center"/>
    </xf>
    <xf numFmtId="0" fontId="3" fillId="7" borderId="3" xfId="0" applyFont="1" applyFill="1" applyBorder="1" applyAlignment="1" applyProtection="1">
      <alignment horizontal="center"/>
    </xf>
    <xf numFmtId="0" fontId="3" fillId="5" borderId="0" xfId="0" applyFont="1" applyFill="1" applyBorder="1" applyAlignment="1" applyProtection="1">
      <alignment horizontal="center"/>
    </xf>
    <xf numFmtId="0" fontId="3" fillId="5" borderId="0" xfId="0" applyFont="1" applyFill="1" applyBorder="1" applyAlignment="1" applyProtection="1">
      <alignment horizontal="center" vertical="center"/>
    </xf>
    <xf numFmtId="0" fontId="3" fillId="0" borderId="0" xfId="0" applyFont="1" applyFill="1" applyBorder="1" applyAlignment="1" applyProtection="1">
      <alignment horizontal="center"/>
    </xf>
    <xf numFmtId="0" fontId="3" fillId="0" borderId="0" xfId="0" applyFont="1" applyFill="1" applyBorder="1" applyAlignment="1" applyProtection="1">
      <alignment horizontal="center" vertical="center"/>
    </xf>
  </cellXfs>
  <cellStyles count="4">
    <cellStyle name="Comma" xfId="1" builtinId="3"/>
    <cellStyle name="Hyperlink" xfId="3" builtinId="8"/>
    <cellStyle name="Normal" xfId="0" builtinId="0"/>
    <cellStyle name="Percent" xfId="2" builtinId="5"/>
  </cellStyles>
  <dxfs count="0"/>
  <tableStyles count="0" defaultTableStyle="TableStyleMedium2" defaultPivotStyle="PivotStyleLight16"/>
  <colors>
    <mruColors>
      <color rgb="FFD5D6A2"/>
      <color rgb="FF728430"/>
      <color rgb="FFDADFBB"/>
      <color rgb="FFFF3300"/>
      <color rgb="FFCC0000"/>
      <color rgb="FF0000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charts/_rels/chart1.xml.rels><?xml version="1.0" encoding="UTF-8" standalone="yes"?>
<Relationships xmlns="http://schemas.openxmlformats.org/package/2006/relationships"><Relationship Id="rId1" Type="http://schemas.openxmlformats.org/officeDocument/2006/relationships/themeOverride" Target="../theme/themeOverride1.xml"/></Relationships>
</file>

<file path=xl/charts/_rels/chart2.xml.rels><?xml version="1.0" encoding="UTF-8" standalone="yes"?>
<Relationships xmlns="http://schemas.openxmlformats.org/package/2006/relationships"><Relationship Id="rId1" Type="http://schemas.openxmlformats.org/officeDocument/2006/relationships/themeOverride" Target="../theme/themeOverrid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ZA"/>
  <c:roundedCorners val="0"/>
  <mc:AlternateContent xmlns:mc="http://schemas.openxmlformats.org/markup-compatibility/2006">
    <mc:Choice xmlns:c14="http://schemas.microsoft.com/office/drawing/2007/8/2/chart" Requires="c14">
      <c14:style val="126"/>
    </mc:Choice>
    <mc:Fallback>
      <c:style val="26"/>
    </mc:Fallback>
  </mc:AlternateContent>
  <c:clrMapOvr bg1="lt1" tx1="dk1" bg2="lt2" tx2="dk2" accent1="accent1" accent2="accent2" accent3="accent3" accent4="accent4" accent5="accent5" accent6="accent6" hlink="hlink" folHlink="folHlink"/>
  <c:chart>
    <c:title>
      <c:tx>
        <c:rich>
          <a:bodyPr/>
          <a:lstStyle/>
          <a:p>
            <a:pPr>
              <a:defRPr sz="1000"/>
            </a:pPr>
            <a:r>
              <a:rPr lang="en-US" sz="1000"/>
              <a:t>Samestelling van aankope per gewas</a:t>
            </a:r>
          </a:p>
        </c:rich>
      </c:tx>
      <c:layout>
        <c:manualLayout>
          <c:xMode val="edge"/>
          <c:yMode val="edge"/>
          <c:x val="0.18812876428890082"/>
          <c:y val="4.03404119939553E-3"/>
        </c:manualLayout>
      </c:layout>
      <c:overlay val="0"/>
    </c:title>
    <c:autoTitleDeleted val="0"/>
    <c:plotArea>
      <c:layout>
        <c:manualLayout>
          <c:layoutTarget val="inner"/>
          <c:xMode val="edge"/>
          <c:yMode val="edge"/>
          <c:x val="0.151357727764838"/>
          <c:y val="7.8172739739312422E-2"/>
          <c:w val="0.70691828692372816"/>
          <c:h val="0.80151295839590997"/>
        </c:manualLayout>
      </c:layout>
      <c:pieChart>
        <c:varyColors val="1"/>
        <c:ser>
          <c:idx val="0"/>
          <c:order val="0"/>
          <c:tx>
            <c:strRef>
              <c:f>Opsomming!$A$23</c:f>
              <c:strCache>
                <c:ptCount val="1"/>
                <c:pt idx="0">
                  <c:v>Gewas</c:v>
                </c:pt>
              </c:strCache>
            </c:strRef>
          </c:tx>
          <c:explosion val="3"/>
          <c:dLbls>
            <c:dLbl>
              <c:idx val="1"/>
              <c:layout>
                <c:manualLayout>
                  <c:x val="-1.3643502973776265E-3"/>
                  <c:y val="4.5661215424994954E-2"/>
                </c:manualLayout>
              </c:layout>
              <c:showLegendKey val="0"/>
              <c:showVal val="1"/>
              <c:showCatName val="0"/>
              <c:showSerName val="0"/>
              <c:showPercent val="0"/>
              <c:showBubbleSize val="0"/>
            </c:dLbl>
            <c:dLbl>
              <c:idx val="2"/>
              <c:layout>
                <c:manualLayout>
                  <c:x val="0.12772558928253458"/>
                  <c:y val="3.9205049201625715E-2"/>
                </c:manualLayout>
              </c:layout>
              <c:showLegendKey val="0"/>
              <c:showVal val="1"/>
              <c:showCatName val="0"/>
              <c:showSerName val="0"/>
              <c:showPercent val="0"/>
              <c:showBubbleSize val="0"/>
            </c:dLbl>
            <c:dLbl>
              <c:idx val="3"/>
              <c:layout>
                <c:manualLayout>
                  <c:x val="7.9619596607999554E-2"/>
                  <c:y val="0.10853641622556377"/>
                </c:manualLayout>
              </c:layout>
              <c:showLegendKey val="0"/>
              <c:showVal val="1"/>
              <c:showCatName val="0"/>
              <c:showSerName val="0"/>
              <c:showPercent val="0"/>
              <c:showBubbleSize val="0"/>
            </c:dLbl>
            <c:spPr>
              <a:solidFill>
                <a:sysClr val="window" lastClr="FFFFFF">
                  <a:alpha val="80000"/>
                </a:sysClr>
              </a:solidFill>
            </c:spPr>
            <c:txPr>
              <a:bodyPr/>
              <a:lstStyle/>
              <a:p>
                <a:pPr>
                  <a:defRPr b="1">
                    <a:solidFill>
                      <a:schemeClr val="tx1"/>
                    </a:solidFill>
                  </a:defRPr>
                </a:pPr>
                <a:endParaRPr lang="en-US"/>
              </a:p>
            </c:txPr>
            <c:showLegendKey val="0"/>
            <c:showVal val="1"/>
            <c:showCatName val="0"/>
            <c:showSerName val="0"/>
            <c:showPercent val="0"/>
            <c:showBubbleSize val="0"/>
            <c:showLeaderLines val="1"/>
          </c:dLbls>
          <c:cat>
            <c:strRef>
              <c:f>Opsomming!$AA$24:$AA$27</c:f>
              <c:strCache>
                <c:ptCount val="4"/>
                <c:pt idx="0">
                  <c:v>Totaal mielies</c:v>
                </c:pt>
                <c:pt idx="1">
                  <c:v>Totaal sojabone</c:v>
                </c:pt>
                <c:pt idx="2">
                  <c:v>Totaal sonneblom</c:v>
                </c:pt>
                <c:pt idx="3">
                  <c:v>Totaal ander</c:v>
                </c:pt>
              </c:strCache>
            </c:strRef>
          </c:cat>
          <c:val>
            <c:numRef>
              <c:f>Opsomming!$AB$24:$AB$27</c:f>
              <c:numCache>
                <c:formatCode>0%</c:formatCode>
                <c:ptCount val="4"/>
                <c:pt idx="0">
                  <c:v>0</c:v>
                </c:pt>
                <c:pt idx="1">
                  <c:v>0</c:v>
                </c:pt>
                <c:pt idx="2">
                  <c:v>0</c:v>
                </c:pt>
                <c:pt idx="3">
                  <c:v>0</c:v>
                </c:pt>
              </c:numCache>
            </c:numRef>
          </c:val>
        </c:ser>
        <c:dLbls>
          <c:showLegendKey val="0"/>
          <c:showVal val="0"/>
          <c:showCatName val="0"/>
          <c:showSerName val="0"/>
          <c:showPercent val="0"/>
          <c:showBubbleSize val="0"/>
          <c:showLeaderLines val="1"/>
        </c:dLbls>
        <c:firstSliceAng val="0"/>
      </c:pieChart>
    </c:plotArea>
    <c:legend>
      <c:legendPos val="b"/>
      <c:legendEntry>
        <c:idx val="0"/>
        <c:txPr>
          <a:bodyPr/>
          <a:lstStyle/>
          <a:p>
            <a:pPr rtl="0">
              <a:defRPr/>
            </a:pPr>
            <a:endParaRPr lang="en-US"/>
          </a:p>
        </c:txPr>
      </c:legendEntry>
      <c:layout>
        <c:manualLayout>
          <c:xMode val="edge"/>
          <c:yMode val="edge"/>
          <c:x val="9.994215064760098E-2"/>
          <c:y val="0.88877714149367693"/>
          <c:w val="0.82319761695841376"/>
          <c:h val="0.10364722733560951"/>
        </c:manualLayout>
      </c:layout>
      <c:overlay val="0"/>
      <c:txPr>
        <a:bodyPr/>
        <a:lstStyle/>
        <a:p>
          <a:pPr rtl="0">
            <a:defRPr/>
          </a:pPr>
          <a:endParaRPr lang="en-US"/>
        </a:p>
      </c:txPr>
    </c:legend>
    <c:plotVisOnly val="1"/>
    <c:dispBlanksAs val="gap"/>
    <c:showDLblsOverMax val="0"/>
  </c:chart>
  <c:spPr>
    <a:ln>
      <a:noFill/>
    </a:ln>
  </c:spPr>
  <c:txPr>
    <a:bodyPr/>
    <a:lstStyle/>
    <a:p>
      <a:pPr>
        <a:defRPr sz="900"/>
      </a:pPr>
      <a:endParaRPr lang="en-US"/>
    </a:p>
  </c:txPr>
  <c:printSettings>
    <c:headerFooter/>
    <c:pageMargins b="0.75" l="0.7" r="0.7" t="0.75" header="0.3" footer="0.3"/>
    <c:pageSetup orientation="portrait"/>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ZA"/>
  <c:roundedCorners val="0"/>
  <mc:AlternateContent xmlns:mc="http://schemas.openxmlformats.org/markup-compatibility/2006">
    <mc:Choice xmlns:c14="http://schemas.microsoft.com/office/drawing/2007/8/2/chart" Requires="c14">
      <c14:style val="126"/>
    </mc:Choice>
    <mc:Fallback>
      <c:style val="26"/>
    </mc:Fallback>
  </mc:AlternateContent>
  <c:clrMapOvr bg1="lt1" tx1="dk1" bg2="lt2" tx2="dk2" accent1="accent1" accent2="accent2" accent3="accent3" accent4="accent4" accent5="accent5" accent6="accent6" hlink="hlink" folHlink="folHlink"/>
  <c:chart>
    <c:title>
      <c:tx>
        <c:rich>
          <a:bodyPr/>
          <a:lstStyle/>
          <a:p>
            <a:pPr>
              <a:defRPr sz="1000"/>
            </a:pPr>
            <a:r>
              <a:rPr lang="en-US" sz="1000"/>
              <a:t>Samestelling van aankope per </a:t>
            </a:r>
            <a:r>
              <a:rPr lang="en-US" sz="1000" baseline="0"/>
              <a:t> behandeling</a:t>
            </a:r>
            <a:endParaRPr lang="en-US" sz="1000"/>
          </a:p>
        </c:rich>
      </c:tx>
      <c:layout>
        <c:manualLayout>
          <c:xMode val="edge"/>
          <c:yMode val="edge"/>
          <c:x val="0.20433949873090373"/>
          <c:y val="4.0340616586913777E-3"/>
        </c:manualLayout>
      </c:layout>
      <c:overlay val="0"/>
    </c:title>
    <c:autoTitleDeleted val="0"/>
    <c:plotArea>
      <c:layout>
        <c:manualLayout>
          <c:layoutTarget val="inner"/>
          <c:xMode val="edge"/>
          <c:yMode val="edge"/>
          <c:x val="0.151357727764838"/>
          <c:y val="7.8172739739312422E-2"/>
          <c:w val="0.70691828692372816"/>
          <c:h val="0.80151295839590997"/>
        </c:manualLayout>
      </c:layout>
      <c:pieChart>
        <c:varyColors val="1"/>
        <c:ser>
          <c:idx val="0"/>
          <c:order val="0"/>
          <c:tx>
            <c:v>Behandeling</c:v>
          </c:tx>
          <c:explosion val="3"/>
          <c:dLbls>
            <c:spPr>
              <a:solidFill>
                <a:sysClr val="window" lastClr="FFFFFF">
                  <a:alpha val="80000"/>
                </a:sysClr>
              </a:solidFill>
            </c:spPr>
            <c:txPr>
              <a:bodyPr/>
              <a:lstStyle/>
              <a:p>
                <a:pPr>
                  <a:defRPr b="1"/>
                </a:pPr>
                <a:endParaRPr lang="en-US"/>
              </a:p>
            </c:txPr>
            <c:showLegendKey val="0"/>
            <c:showVal val="1"/>
            <c:showCatName val="0"/>
            <c:showSerName val="0"/>
            <c:showPercent val="0"/>
            <c:showBubbleSize val="0"/>
            <c:showLeaderLines val="1"/>
          </c:dLbls>
          <c:cat>
            <c:strRef>
              <c:f>Opsomming!$AA$50:$AA$54</c:f>
              <c:strCache>
                <c:ptCount val="5"/>
                <c:pt idx="0">
                  <c:v>Saadbehandeling   </c:v>
                </c:pt>
                <c:pt idx="1">
                  <c:v>Voor plant   </c:v>
                </c:pt>
                <c:pt idx="2">
                  <c:v>Voor-opkoms   </c:v>
                </c:pt>
                <c:pt idx="3">
                  <c:v>Na-opkoms   </c:v>
                </c:pt>
                <c:pt idx="4">
                  <c:v>Ander   </c:v>
                </c:pt>
              </c:strCache>
            </c:strRef>
          </c:cat>
          <c:val>
            <c:numRef>
              <c:f>Opsomming!$AB$50:$AB$54</c:f>
              <c:numCache>
                <c:formatCode>0%</c:formatCode>
                <c:ptCount val="5"/>
                <c:pt idx="0">
                  <c:v>0</c:v>
                </c:pt>
                <c:pt idx="1">
                  <c:v>0</c:v>
                </c:pt>
                <c:pt idx="2">
                  <c:v>0</c:v>
                </c:pt>
                <c:pt idx="3">
                  <c:v>0</c:v>
                </c:pt>
                <c:pt idx="4">
                  <c:v>0</c:v>
                </c:pt>
              </c:numCache>
            </c:numRef>
          </c:val>
        </c:ser>
        <c:dLbls>
          <c:showLegendKey val="0"/>
          <c:showVal val="0"/>
          <c:showCatName val="0"/>
          <c:showSerName val="0"/>
          <c:showPercent val="0"/>
          <c:showBubbleSize val="0"/>
          <c:showLeaderLines val="1"/>
        </c:dLbls>
        <c:firstSliceAng val="0"/>
      </c:pieChart>
    </c:plotArea>
    <c:legend>
      <c:legendPos val="b"/>
      <c:legendEntry>
        <c:idx val="0"/>
        <c:txPr>
          <a:bodyPr/>
          <a:lstStyle/>
          <a:p>
            <a:pPr rtl="0">
              <a:defRPr/>
            </a:pPr>
            <a:endParaRPr lang="en-US"/>
          </a:p>
        </c:txPr>
      </c:legendEntry>
      <c:layout>
        <c:manualLayout>
          <c:xMode val="edge"/>
          <c:yMode val="edge"/>
          <c:x val="9.5889366204958568E-2"/>
          <c:y val="0.86023485596410543"/>
          <c:w val="0.90019867722959823"/>
          <c:h val="0.13218939375697303"/>
        </c:manualLayout>
      </c:layout>
      <c:overlay val="0"/>
      <c:txPr>
        <a:bodyPr/>
        <a:lstStyle/>
        <a:p>
          <a:pPr rtl="0">
            <a:defRPr/>
          </a:pPr>
          <a:endParaRPr lang="en-US"/>
        </a:p>
      </c:txPr>
    </c:legend>
    <c:plotVisOnly val="1"/>
    <c:dispBlanksAs val="gap"/>
    <c:showDLblsOverMax val="0"/>
  </c:chart>
  <c:spPr>
    <a:ln>
      <a:noFill/>
    </a:ln>
  </c:spPr>
  <c:txPr>
    <a:bodyPr/>
    <a:lstStyle/>
    <a:p>
      <a:pPr>
        <a:defRPr sz="900"/>
      </a:pPr>
      <a:endParaRPr lang="en-US"/>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gif"/></Relationships>
</file>

<file path=xl/drawings/_rels/drawing10.xml.rels><?xml version="1.0" encoding="UTF-8" standalone="yes"?>
<Relationships xmlns="http://schemas.openxmlformats.org/package/2006/relationships"><Relationship Id="rId1" Type="http://schemas.openxmlformats.org/officeDocument/2006/relationships/image" Target="../media/image5.jpeg"/></Relationships>
</file>

<file path=xl/drawings/_rels/drawing11.xml.rels><?xml version="1.0" encoding="UTF-8" standalone="yes"?>
<Relationships xmlns="http://schemas.openxmlformats.org/package/2006/relationships"><Relationship Id="rId1" Type="http://schemas.openxmlformats.org/officeDocument/2006/relationships/image" Target="../media/image5.jpeg"/></Relationships>
</file>

<file path=xl/drawings/_rels/drawing12.xml.rels><?xml version="1.0" encoding="UTF-8" standalone="yes"?>
<Relationships xmlns="http://schemas.openxmlformats.org/package/2006/relationships"><Relationship Id="rId1" Type="http://schemas.openxmlformats.org/officeDocument/2006/relationships/image" Target="../media/image5.jpeg"/></Relationships>
</file>

<file path=xl/drawings/_rels/drawing13.xml.rels><?xml version="1.0" encoding="UTF-8" standalone="yes"?>
<Relationships xmlns="http://schemas.openxmlformats.org/package/2006/relationships"><Relationship Id="rId1" Type="http://schemas.openxmlformats.org/officeDocument/2006/relationships/image" Target="../media/image5.jpeg"/></Relationships>
</file>

<file path=xl/drawings/_rels/drawing14.xml.rels><?xml version="1.0" encoding="UTF-8" standalone="yes"?>
<Relationships xmlns="http://schemas.openxmlformats.org/package/2006/relationships"><Relationship Id="rId1" Type="http://schemas.openxmlformats.org/officeDocument/2006/relationships/image" Target="../media/image5.jpeg"/></Relationships>
</file>

<file path=xl/drawings/_rels/drawing15.xml.rels><?xml version="1.0" encoding="UTF-8" standalone="yes"?>
<Relationships xmlns="http://schemas.openxmlformats.org/package/2006/relationships"><Relationship Id="rId1" Type="http://schemas.openxmlformats.org/officeDocument/2006/relationships/image" Target="../media/image5.jpeg"/></Relationships>
</file>

<file path=xl/drawings/_rels/drawing16.xml.rels><?xml version="1.0" encoding="UTF-8" standalone="yes"?>
<Relationships xmlns="http://schemas.openxmlformats.org/package/2006/relationships"><Relationship Id="rId1" Type="http://schemas.openxmlformats.org/officeDocument/2006/relationships/image" Target="../media/image5.jpeg"/></Relationships>
</file>

<file path=xl/drawings/_rels/drawing17.xml.rels><?xml version="1.0" encoding="UTF-8" standalone="yes"?>
<Relationships xmlns="http://schemas.openxmlformats.org/package/2006/relationships"><Relationship Id="rId1" Type="http://schemas.openxmlformats.org/officeDocument/2006/relationships/image" Target="../media/image5.jpeg"/></Relationships>
</file>

<file path=xl/drawings/_rels/drawing18.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5.jpeg"/></Relationships>
</file>

<file path=xl/drawings/_rels/drawing2.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gif"/></Relationships>
</file>

<file path=xl/drawings/_rels/drawing3.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2" Type="http://schemas.openxmlformats.org/officeDocument/2006/relationships/image" Target="../media/image6.jpeg"/><Relationship Id="rId1" Type="http://schemas.openxmlformats.org/officeDocument/2006/relationships/image" Target="../media/image5.jpeg"/></Relationships>
</file>

<file path=xl/drawings/_rels/drawing6.xml.rels><?xml version="1.0" encoding="UTF-8" standalone="yes"?>
<Relationships xmlns="http://schemas.openxmlformats.org/package/2006/relationships"><Relationship Id="rId2" Type="http://schemas.openxmlformats.org/officeDocument/2006/relationships/image" Target="../media/image7.gif"/><Relationship Id="rId1" Type="http://schemas.openxmlformats.org/officeDocument/2006/relationships/image" Target="../media/image4.png"/></Relationships>
</file>

<file path=xl/drawings/_rels/drawing7.xml.rels><?xml version="1.0" encoding="UTF-8" standalone="yes"?>
<Relationships xmlns="http://schemas.openxmlformats.org/package/2006/relationships"><Relationship Id="rId1" Type="http://schemas.openxmlformats.org/officeDocument/2006/relationships/image" Target="../media/image5.jpeg"/></Relationships>
</file>

<file path=xl/drawings/_rels/drawing8.xml.rels><?xml version="1.0" encoding="UTF-8" standalone="yes"?>
<Relationships xmlns="http://schemas.openxmlformats.org/package/2006/relationships"><Relationship Id="rId1" Type="http://schemas.openxmlformats.org/officeDocument/2006/relationships/image" Target="../media/image5.jpeg"/></Relationships>
</file>

<file path=xl/drawings/_rels/drawing9.xml.rels><?xml version="1.0" encoding="UTF-8" standalone="yes"?>
<Relationships xmlns="http://schemas.openxmlformats.org/package/2006/relationships"><Relationship Id="rId1" Type="http://schemas.openxmlformats.org/officeDocument/2006/relationships/image" Target="../media/image5.jpeg"/></Relationships>
</file>

<file path=xl/drawings/drawing1.xml><?xml version="1.0" encoding="utf-8"?>
<xdr:wsDr xmlns:xdr="http://schemas.openxmlformats.org/drawingml/2006/spreadsheetDrawing" xmlns:a="http://schemas.openxmlformats.org/drawingml/2006/main">
  <xdr:twoCellAnchor editAs="oneCell">
    <xdr:from>
      <xdr:col>0</xdr:col>
      <xdr:colOff>542925</xdr:colOff>
      <xdr:row>1</xdr:row>
      <xdr:rowOff>0</xdr:rowOff>
    </xdr:from>
    <xdr:to>
      <xdr:col>4</xdr:col>
      <xdr:colOff>209550</xdr:colOff>
      <xdr:row>3</xdr:row>
      <xdr:rowOff>113165</xdr:rowOff>
    </xdr:to>
    <xdr:pic>
      <xdr:nvPicPr>
        <xdr:cNvPr id="3" name="Picture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42925" y="180975"/>
          <a:ext cx="2105025" cy="475115"/>
        </a:xfrm>
        <a:prstGeom prst="rect">
          <a:avLst/>
        </a:prstGeom>
      </xdr:spPr>
    </xdr:pic>
    <xdr:clientData/>
  </xdr:twoCellAnchor>
  <xdr:twoCellAnchor editAs="oneCell">
    <xdr:from>
      <xdr:col>10</xdr:col>
      <xdr:colOff>561975</xdr:colOff>
      <xdr:row>62</xdr:row>
      <xdr:rowOff>161925</xdr:rowOff>
    </xdr:from>
    <xdr:to>
      <xdr:col>13</xdr:col>
      <xdr:colOff>542924</xdr:colOff>
      <xdr:row>65</xdr:row>
      <xdr:rowOff>102640</xdr:rowOff>
    </xdr:to>
    <xdr:pic>
      <xdr:nvPicPr>
        <xdr:cNvPr id="4" name="Picture 3"/>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353175" y="12239625"/>
          <a:ext cx="1809749" cy="48364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28574</xdr:colOff>
      <xdr:row>0</xdr:row>
      <xdr:rowOff>38098</xdr:rowOff>
    </xdr:from>
    <xdr:to>
      <xdr:col>3</xdr:col>
      <xdr:colOff>189621</xdr:colOff>
      <xdr:row>4</xdr:row>
      <xdr:rowOff>149224</xdr:rowOff>
    </xdr:to>
    <xdr:pic>
      <xdr:nvPicPr>
        <xdr:cNvPr id="2" name="Picture 1" descr="SYT logo.jpg"/>
        <xdr:cNvPicPr>
          <a:picLocks noChangeAspect="1"/>
        </xdr:cNvPicPr>
      </xdr:nvPicPr>
      <xdr:blipFill>
        <a:blip xmlns:r="http://schemas.openxmlformats.org/officeDocument/2006/relationships" r:embed="rId1" cstate="print"/>
        <a:srcRect t="11613"/>
        <a:stretch>
          <a:fillRect/>
        </a:stretch>
      </xdr:blipFill>
      <xdr:spPr>
        <a:xfrm>
          <a:off x="28574" y="38098"/>
          <a:ext cx="2904247" cy="882651"/>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28574</xdr:colOff>
      <xdr:row>0</xdr:row>
      <xdr:rowOff>38098</xdr:rowOff>
    </xdr:from>
    <xdr:to>
      <xdr:col>3</xdr:col>
      <xdr:colOff>189621</xdr:colOff>
      <xdr:row>4</xdr:row>
      <xdr:rowOff>149224</xdr:rowOff>
    </xdr:to>
    <xdr:pic>
      <xdr:nvPicPr>
        <xdr:cNvPr id="2" name="Picture 1" descr="SYT logo.jpg"/>
        <xdr:cNvPicPr>
          <a:picLocks noChangeAspect="1"/>
        </xdr:cNvPicPr>
      </xdr:nvPicPr>
      <xdr:blipFill>
        <a:blip xmlns:r="http://schemas.openxmlformats.org/officeDocument/2006/relationships" r:embed="rId1" cstate="print"/>
        <a:srcRect t="11613"/>
        <a:stretch>
          <a:fillRect/>
        </a:stretch>
      </xdr:blipFill>
      <xdr:spPr>
        <a:xfrm>
          <a:off x="28574" y="38098"/>
          <a:ext cx="2904247" cy="882651"/>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28574</xdr:colOff>
      <xdr:row>0</xdr:row>
      <xdr:rowOff>38098</xdr:rowOff>
    </xdr:from>
    <xdr:to>
      <xdr:col>3</xdr:col>
      <xdr:colOff>189621</xdr:colOff>
      <xdr:row>4</xdr:row>
      <xdr:rowOff>149224</xdr:rowOff>
    </xdr:to>
    <xdr:pic>
      <xdr:nvPicPr>
        <xdr:cNvPr id="2" name="Picture 1" descr="SYT logo.jpg"/>
        <xdr:cNvPicPr>
          <a:picLocks noChangeAspect="1"/>
        </xdr:cNvPicPr>
      </xdr:nvPicPr>
      <xdr:blipFill>
        <a:blip xmlns:r="http://schemas.openxmlformats.org/officeDocument/2006/relationships" r:embed="rId1" cstate="print"/>
        <a:srcRect t="11613"/>
        <a:stretch>
          <a:fillRect/>
        </a:stretch>
      </xdr:blipFill>
      <xdr:spPr>
        <a:xfrm>
          <a:off x="28574" y="38098"/>
          <a:ext cx="2904247" cy="882651"/>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28574</xdr:colOff>
      <xdr:row>0</xdr:row>
      <xdr:rowOff>38098</xdr:rowOff>
    </xdr:from>
    <xdr:to>
      <xdr:col>3</xdr:col>
      <xdr:colOff>189621</xdr:colOff>
      <xdr:row>4</xdr:row>
      <xdr:rowOff>149224</xdr:rowOff>
    </xdr:to>
    <xdr:pic>
      <xdr:nvPicPr>
        <xdr:cNvPr id="2" name="Picture 1" descr="SYT logo.jpg"/>
        <xdr:cNvPicPr>
          <a:picLocks noChangeAspect="1"/>
        </xdr:cNvPicPr>
      </xdr:nvPicPr>
      <xdr:blipFill>
        <a:blip xmlns:r="http://schemas.openxmlformats.org/officeDocument/2006/relationships" r:embed="rId1" cstate="print"/>
        <a:srcRect t="11613"/>
        <a:stretch>
          <a:fillRect/>
        </a:stretch>
      </xdr:blipFill>
      <xdr:spPr>
        <a:xfrm>
          <a:off x="28574" y="38098"/>
          <a:ext cx="2904247" cy="882651"/>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0</xdr:col>
      <xdr:colOff>28574</xdr:colOff>
      <xdr:row>0</xdr:row>
      <xdr:rowOff>38098</xdr:rowOff>
    </xdr:from>
    <xdr:to>
      <xdr:col>3</xdr:col>
      <xdr:colOff>189621</xdr:colOff>
      <xdr:row>4</xdr:row>
      <xdr:rowOff>149224</xdr:rowOff>
    </xdr:to>
    <xdr:pic>
      <xdr:nvPicPr>
        <xdr:cNvPr id="2" name="Picture 1" descr="SYT logo.jpg"/>
        <xdr:cNvPicPr>
          <a:picLocks noChangeAspect="1"/>
        </xdr:cNvPicPr>
      </xdr:nvPicPr>
      <xdr:blipFill>
        <a:blip xmlns:r="http://schemas.openxmlformats.org/officeDocument/2006/relationships" r:embed="rId1" cstate="print"/>
        <a:srcRect t="11613"/>
        <a:stretch>
          <a:fillRect/>
        </a:stretch>
      </xdr:blipFill>
      <xdr:spPr>
        <a:xfrm>
          <a:off x="28574" y="38098"/>
          <a:ext cx="2904247" cy="882651"/>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0</xdr:col>
      <xdr:colOff>28574</xdr:colOff>
      <xdr:row>0</xdr:row>
      <xdr:rowOff>38098</xdr:rowOff>
    </xdr:from>
    <xdr:to>
      <xdr:col>3</xdr:col>
      <xdr:colOff>189621</xdr:colOff>
      <xdr:row>4</xdr:row>
      <xdr:rowOff>149224</xdr:rowOff>
    </xdr:to>
    <xdr:pic>
      <xdr:nvPicPr>
        <xdr:cNvPr id="2" name="Picture 1" descr="SYT logo.jpg"/>
        <xdr:cNvPicPr>
          <a:picLocks noChangeAspect="1"/>
        </xdr:cNvPicPr>
      </xdr:nvPicPr>
      <xdr:blipFill>
        <a:blip xmlns:r="http://schemas.openxmlformats.org/officeDocument/2006/relationships" r:embed="rId1" cstate="print"/>
        <a:srcRect t="11613"/>
        <a:stretch>
          <a:fillRect/>
        </a:stretch>
      </xdr:blipFill>
      <xdr:spPr>
        <a:xfrm>
          <a:off x="28574" y="38098"/>
          <a:ext cx="2904247" cy="882651"/>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0</xdr:col>
      <xdr:colOff>28574</xdr:colOff>
      <xdr:row>0</xdr:row>
      <xdr:rowOff>38098</xdr:rowOff>
    </xdr:from>
    <xdr:to>
      <xdr:col>3</xdr:col>
      <xdr:colOff>189621</xdr:colOff>
      <xdr:row>4</xdr:row>
      <xdr:rowOff>149224</xdr:rowOff>
    </xdr:to>
    <xdr:pic>
      <xdr:nvPicPr>
        <xdr:cNvPr id="2" name="Picture 1" descr="SYT logo.jpg"/>
        <xdr:cNvPicPr>
          <a:picLocks noChangeAspect="1"/>
        </xdr:cNvPicPr>
      </xdr:nvPicPr>
      <xdr:blipFill>
        <a:blip xmlns:r="http://schemas.openxmlformats.org/officeDocument/2006/relationships" r:embed="rId1" cstate="print"/>
        <a:srcRect t="11613"/>
        <a:stretch>
          <a:fillRect/>
        </a:stretch>
      </xdr:blipFill>
      <xdr:spPr>
        <a:xfrm>
          <a:off x="28574" y="38098"/>
          <a:ext cx="2904247" cy="882651"/>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0</xdr:col>
      <xdr:colOff>28574</xdr:colOff>
      <xdr:row>0</xdr:row>
      <xdr:rowOff>38098</xdr:rowOff>
    </xdr:from>
    <xdr:to>
      <xdr:col>3</xdr:col>
      <xdr:colOff>189621</xdr:colOff>
      <xdr:row>4</xdr:row>
      <xdr:rowOff>149224</xdr:rowOff>
    </xdr:to>
    <xdr:pic>
      <xdr:nvPicPr>
        <xdr:cNvPr id="2" name="Picture 1" descr="SYT logo.jpg"/>
        <xdr:cNvPicPr>
          <a:picLocks noChangeAspect="1"/>
        </xdr:cNvPicPr>
      </xdr:nvPicPr>
      <xdr:blipFill>
        <a:blip xmlns:r="http://schemas.openxmlformats.org/officeDocument/2006/relationships" r:embed="rId1" cstate="print"/>
        <a:srcRect t="11613"/>
        <a:stretch>
          <a:fillRect/>
        </a:stretch>
      </xdr:blipFill>
      <xdr:spPr>
        <a:xfrm>
          <a:off x="28574" y="38098"/>
          <a:ext cx="2904247" cy="882651"/>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0</xdr:col>
      <xdr:colOff>28574</xdr:colOff>
      <xdr:row>0</xdr:row>
      <xdr:rowOff>38098</xdr:rowOff>
    </xdr:from>
    <xdr:to>
      <xdr:col>3</xdr:col>
      <xdr:colOff>8646</xdr:colOff>
      <xdr:row>4</xdr:row>
      <xdr:rowOff>158749</xdr:rowOff>
    </xdr:to>
    <xdr:pic>
      <xdr:nvPicPr>
        <xdr:cNvPr id="2" name="Picture 1" descr="SYT logo.jpg"/>
        <xdr:cNvPicPr>
          <a:picLocks noChangeAspect="1"/>
        </xdr:cNvPicPr>
      </xdr:nvPicPr>
      <xdr:blipFill>
        <a:blip xmlns:r="http://schemas.openxmlformats.org/officeDocument/2006/relationships" r:embed="rId1" cstate="print"/>
        <a:srcRect t="11613"/>
        <a:stretch>
          <a:fillRect/>
        </a:stretch>
      </xdr:blipFill>
      <xdr:spPr>
        <a:xfrm>
          <a:off x="28574" y="38098"/>
          <a:ext cx="2904247" cy="882651"/>
        </a:xfrm>
        <a:prstGeom prst="rect">
          <a:avLst/>
        </a:prstGeom>
      </xdr:spPr>
    </xdr:pic>
    <xdr:clientData/>
  </xdr:twoCellAnchor>
  <xdr:twoCellAnchor>
    <xdr:from>
      <xdr:col>5</xdr:col>
      <xdr:colOff>247650</xdr:colOff>
      <xdr:row>22</xdr:row>
      <xdr:rowOff>38099</xdr:rowOff>
    </xdr:from>
    <xdr:to>
      <xdr:col>8</xdr:col>
      <xdr:colOff>942976</xdr:colOff>
      <xdr:row>36</xdr:row>
      <xdr:rowOff>9524</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247650</xdr:colOff>
      <xdr:row>38</xdr:row>
      <xdr:rowOff>76200</xdr:rowOff>
    </xdr:from>
    <xdr:to>
      <xdr:col>8</xdr:col>
      <xdr:colOff>942976</xdr:colOff>
      <xdr:row>55</xdr:row>
      <xdr:rowOff>95250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1078105</xdr:colOff>
      <xdr:row>3</xdr:row>
      <xdr:rowOff>167473</xdr:rowOff>
    </xdr:from>
    <xdr:to>
      <xdr:col>5</xdr:col>
      <xdr:colOff>901317</xdr:colOff>
      <xdr:row>6</xdr:row>
      <xdr:rowOff>108769</xdr:rowOff>
    </xdr:to>
    <xdr:pic>
      <xdr:nvPicPr>
        <xdr:cNvPr id="3" name="Picture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835770" y="805962"/>
          <a:ext cx="2105025" cy="475115"/>
        </a:xfrm>
        <a:prstGeom prst="rect">
          <a:avLst/>
        </a:prstGeom>
      </xdr:spPr>
    </xdr:pic>
    <xdr:clientData/>
  </xdr:twoCellAnchor>
  <xdr:twoCellAnchor editAs="oneCell">
    <xdr:from>
      <xdr:col>5</xdr:col>
      <xdr:colOff>512884</xdr:colOff>
      <xdr:row>168</xdr:row>
      <xdr:rowOff>20934</xdr:rowOff>
    </xdr:from>
    <xdr:to>
      <xdr:col>7</xdr:col>
      <xdr:colOff>40820</xdr:colOff>
      <xdr:row>170</xdr:row>
      <xdr:rowOff>148695</xdr:rowOff>
    </xdr:to>
    <xdr:pic>
      <xdr:nvPicPr>
        <xdr:cNvPr id="5" name="Picture 4"/>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552362" y="18139368"/>
          <a:ext cx="1809749" cy="48364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590550</xdr:colOff>
      <xdr:row>1</xdr:row>
      <xdr:rowOff>85726</xdr:rowOff>
    </xdr:from>
    <xdr:to>
      <xdr:col>3</xdr:col>
      <xdr:colOff>285750</xdr:colOff>
      <xdr:row>5</xdr:row>
      <xdr:rowOff>16148</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90550" y="266701"/>
          <a:ext cx="2876550" cy="654322"/>
        </a:xfrm>
        <a:prstGeom prst="rect">
          <a:avLst/>
        </a:prstGeom>
      </xdr:spPr>
    </xdr:pic>
    <xdr:clientData/>
  </xdr:twoCellAnchor>
  <xdr:twoCellAnchor editAs="oneCell">
    <xdr:from>
      <xdr:col>3</xdr:col>
      <xdr:colOff>733425</xdr:colOff>
      <xdr:row>122</xdr:row>
      <xdr:rowOff>85725</xdr:rowOff>
    </xdr:from>
    <xdr:to>
      <xdr:col>4</xdr:col>
      <xdr:colOff>1257299</xdr:colOff>
      <xdr:row>124</xdr:row>
      <xdr:rowOff>150265</xdr:rowOff>
    </xdr:to>
    <xdr:pic>
      <xdr:nvPicPr>
        <xdr:cNvPr id="4" name="Picture 3"/>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914775" y="36099750"/>
          <a:ext cx="1809749" cy="48364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1</xdr:rowOff>
    </xdr:from>
    <xdr:to>
      <xdr:col>1</xdr:col>
      <xdr:colOff>3940968</xdr:colOff>
      <xdr:row>4</xdr:row>
      <xdr:rowOff>69141</xdr:rowOff>
    </xdr:to>
    <xdr:pic>
      <xdr:nvPicPr>
        <xdr:cNvPr id="2" name="Picture 1" descr="AgriSafe_TM_CMYK.bmp"/>
        <xdr:cNvPicPr>
          <a:picLocks noChangeAspect="1"/>
        </xdr:cNvPicPr>
      </xdr:nvPicPr>
      <xdr:blipFill>
        <a:blip xmlns:r="http://schemas.openxmlformats.org/officeDocument/2006/relationships" r:embed="rId1" cstate="print"/>
        <a:stretch>
          <a:fillRect/>
        </a:stretch>
      </xdr:blipFill>
      <xdr:spPr>
        <a:xfrm>
          <a:off x="0" y="1"/>
          <a:ext cx="4107656" cy="926390"/>
        </a:xfrm>
        <a:prstGeom prst="rect">
          <a:avLst/>
        </a:prstGeom>
      </xdr:spPr>
    </xdr:pic>
    <xdr:clientData/>
  </xdr:twoCellAnchor>
  <xdr:twoCellAnchor editAs="oneCell">
    <xdr:from>
      <xdr:col>2</xdr:col>
      <xdr:colOff>976313</xdr:colOff>
      <xdr:row>22</xdr:row>
      <xdr:rowOff>83343</xdr:rowOff>
    </xdr:from>
    <xdr:to>
      <xdr:col>4</xdr:col>
      <xdr:colOff>571499</xdr:colOff>
      <xdr:row>24</xdr:row>
      <xdr:rowOff>138358</xdr:rowOff>
    </xdr:to>
    <xdr:pic>
      <xdr:nvPicPr>
        <xdr:cNvPr id="5" name="Picture 4"/>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357813" y="5083968"/>
          <a:ext cx="1809749" cy="48364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28574</xdr:colOff>
      <xdr:row>0</xdr:row>
      <xdr:rowOff>38098</xdr:rowOff>
    </xdr:from>
    <xdr:to>
      <xdr:col>3</xdr:col>
      <xdr:colOff>495103</xdr:colOff>
      <xdr:row>4</xdr:row>
      <xdr:rowOff>149224</xdr:rowOff>
    </xdr:to>
    <xdr:pic>
      <xdr:nvPicPr>
        <xdr:cNvPr id="2" name="Picture 1" descr="SYT logo.jpg"/>
        <xdr:cNvPicPr>
          <a:picLocks noChangeAspect="1"/>
        </xdr:cNvPicPr>
      </xdr:nvPicPr>
      <xdr:blipFill>
        <a:blip xmlns:r="http://schemas.openxmlformats.org/officeDocument/2006/relationships" r:embed="rId1" cstate="print"/>
        <a:srcRect t="11613"/>
        <a:stretch>
          <a:fillRect/>
        </a:stretch>
      </xdr:blipFill>
      <xdr:spPr>
        <a:xfrm>
          <a:off x="28574" y="38098"/>
          <a:ext cx="2904247" cy="882651"/>
        </a:xfrm>
        <a:prstGeom prst="rect">
          <a:avLst/>
        </a:prstGeom>
      </xdr:spPr>
    </xdr:pic>
    <xdr:clientData/>
  </xdr:twoCellAnchor>
  <xdr:twoCellAnchor editAs="oneCell">
    <xdr:from>
      <xdr:col>8</xdr:col>
      <xdr:colOff>226908</xdr:colOff>
      <xdr:row>0</xdr:row>
      <xdr:rowOff>81596</xdr:rowOff>
    </xdr:from>
    <xdr:to>
      <xdr:col>11</xdr:col>
      <xdr:colOff>901172</xdr:colOff>
      <xdr:row>4</xdr:row>
      <xdr:rowOff>28575</xdr:rowOff>
    </xdr:to>
    <xdr:pic>
      <xdr:nvPicPr>
        <xdr:cNvPr id="3" name="Picture 2" descr="\\CHWSFC01VFIL16\u761752$\Documents\AgriSafe\AgriSafe_TM_CMYK.jpg"/>
        <xdr:cNvPicPr>
          <a:picLocks noChangeAspect="1" noChangeArrowheads="1"/>
        </xdr:cNvPicPr>
      </xdr:nvPicPr>
      <xdr:blipFill>
        <a:blip xmlns:r="http://schemas.openxmlformats.org/officeDocument/2006/relationships" r:embed="rId2" cstate="print"/>
        <a:srcRect/>
        <a:stretch>
          <a:fillRect/>
        </a:stretch>
      </xdr:blipFill>
      <xdr:spPr bwMode="auto">
        <a:xfrm>
          <a:off x="6370533" y="81596"/>
          <a:ext cx="3198390" cy="718504"/>
        </a:xfrm>
        <a:prstGeom prst="rect">
          <a:avLst/>
        </a:prstGeom>
        <a:noFill/>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4583383</xdr:colOff>
      <xdr:row>0</xdr:row>
      <xdr:rowOff>121708</xdr:rowOff>
    </xdr:from>
    <xdr:to>
      <xdr:col>4</xdr:col>
      <xdr:colOff>157211</xdr:colOff>
      <xdr:row>5</xdr:row>
      <xdr:rowOff>171449</xdr:rowOff>
    </xdr:to>
    <xdr:pic>
      <xdr:nvPicPr>
        <xdr:cNvPr id="2" name="Picture 1" descr="AgriSafe_TM_CMYK.bmp"/>
        <xdr:cNvPicPr>
          <a:picLocks noChangeAspect="1"/>
        </xdr:cNvPicPr>
      </xdr:nvPicPr>
      <xdr:blipFill>
        <a:blip xmlns:r="http://schemas.openxmlformats.org/officeDocument/2006/relationships" r:embed="rId1" cstate="print"/>
        <a:stretch>
          <a:fillRect/>
        </a:stretch>
      </xdr:blipFill>
      <xdr:spPr>
        <a:xfrm>
          <a:off x="4631008" y="121708"/>
          <a:ext cx="4451128" cy="1002241"/>
        </a:xfrm>
        <a:prstGeom prst="rect">
          <a:avLst/>
        </a:prstGeom>
      </xdr:spPr>
    </xdr:pic>
    <xdr:clientData/>
  </xdr:twoCellAnchor>
  <xdr:twoCellAnchor editAs="oneCell">
    <xdr:from>
      <xdr:col>0</xdr:col>
      <xdr:colOff>0</xdr:colOff>
      <xdr:row>26</xdr:row>
      <xdr:rowOff>10583</xdr:rowOff>
    </xdr:from>
    <xdr:to>
      <xdr:col>1</xdr:col>
      <xdr:colOff>2379993</xdr:colOff>
      <xdr:row>29</xdr:row>
      <xdr:rowOff>134408</xdr:rowOff>
    </xdr:to>
    <xdr:pic>
      <xdr:nvPicPr>
        <xdr:cNvPr id="3" name="r5sp1" descr="https://c.eu1.content.force.com/servlet/servlet.ImageServer?id=015D0000001Kjvm&amp;oid=00DD0000000D70V"/>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0" y="6849533"/>
          <a:ext cx="2427618" cy="6953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28574</xdr:colOff>
      <xdr:row>0</xdr:row>
      <xdr:rowOff>38098</xdr:rowOff>
    </xdr:from>
    <xdr:to>
      <xdr:col>3</xdr:col>
      <xdr:colOff>189621</xdr:colOff>
      <xdr:row>4</xdr:row>
      <xdr:rowOff>149224</xdr:rowOff>
    </xdr:to>
    <xdr:pic>
      <xdr:nvPicPr>
        <xdr:cNvPr id="2" name="Picture 1" descr="SYT logo.jpg"/>
        <xdr:cNvPicPr>
          <a:picLocks noChangeAspect="1"/>
        </xdr:cNvPicPr>
      </xdr:nvPicPr>
      <xdr:blipFill>
        <a:blip xmlns:r="http://schemas.openxmlformats.org/officeDocument/2006/relationships" r:embed="rId1" cstate="print"/>
        <a:srcRect t="11613"/>
        <a:stretch>
          <a:fillRect/>
        </a:stretch>
      </xdr:blipFill>
      <xdr:spPr>
        <a:xfrm>
          <a:off x="28574" y="38098"/>
          <a:ext cx="2904247" cy="882651"/>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28574</xdr:colOff>
      <xdr:row>0</xdr:row>
      <xdr:rowOff>38098</xdr:rowOff>
    </xdr:from>
    <xdr:to>
      <xdr:col>3</xdr:col>
      <xdr:colOff>189621</xdr:colOff>
      <xdr:row>4</xdr:row>
      <xdr:rowOff>149224</xdr:rowOff>
    </xdr:to>
    <xdr:pic>
      <xdr:nvPicPr>
        <xdr:cNvPr id="2" name="Picture 1" descr="SYT logo.jpg"/>
        <xdr:cNvPicPr>
          <a:picLocks noChangeAspect="1"/>
        </xdr:cNvPicPr>
      </xdr:nvPicPr>
      <xdr:blipFill>
        <a:blip xmlns:r="http://schemas.openxmlformats.org/officeDocument/2006/relationships" r:embed="rId1" cstate="print"/>
        <a:srcRect t="11613"/>
        <a:stretch>
          <a:fillRect/>
        </a:stretch>
      </xdr:blipFill>
      <xdr:spPr>
        <a:xfrm>
          <a:off x="28574" y="38098"/>
          <a:ext cx="2904247" cy="882651"/>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28574</xdr:colOff>
      <xdr:row>0</xdr:row>
      <xdr:rowOff>38098</xdr:rowOff>
    </xdr:from>
    <xdr:to>
      <xdr:col>3</xdr:col>
      <xdr:colOff>189621</xdr:colOff>
      <xdr:row>4</xdr:row>
      <xdr:rowOff>149224</xdr:rowOff>
    </xdr:to>
    <xdr:pic>
      <xdr:nvPicPr>
        <xdr:cNvPr id="2" name="Picture 1" descr="SYT logo.jpg"/>
        <xdr:cNvPicPr>
          <a:picLocks noChangeAspect="1"/>
        </xdr:cNvPicPr>
      </xdr:nvPicPr>
      <xdr:blipFill>
        <a:blip xmlns:r="http://schemas.openxmlformats.org/officeDocument/2006/relationships" r:embed="rId1" cstate="print"/>
        <a:srcRect t="11613"/>
        <a:stretch>
          <a:fillRect/>
        </a:stretch>
      </xdr:blipFill>
      <xdr:spPr>
        <a:xfrm>
          <a:off x="28574" y="38098"/>
          <a:ext cx="2904247" cy="88265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Override1.xml><?xml version="1.0" encoding="utf-8"?>
<a:themeOverride xmlns:a="http://schemas.openxmlformats.org/drawingml/2006/main">
  <a:clrScheme name="Syngenta 2007">
    <a:dk1>
      <a:srgbClr val="626469"/>
    </a:dk1>
    <a:lt1>
      <a:srgbClr val="FFFFFF"/>
    </a:lt1>
    <a:dk2>
      <a:srgbClr val="5F7800"/>
    </a:dk2>
    <a:lt2>
      <a:srgbClr val="FFB400"/>
    </a:lt2>
    <a:accent1>
      <a:srgbClr val="00A0BE"/>
    </a:accent1>
    <a:accent2>
      <a:srgbClr val="AAB400"/>
    </a:accent2>
    <a:accent3>
      <a:srgbClr val="EB8200"/>
    </a:accent3>
    <a:accent4>
      <a:srgbClr val="82C8DC"/>
    </a:accent4>
    <a:accent5>
      <a:srgbClr val="FFB400"/>
    </a:accent5>
    <a:accent6>
      <a:srgbClr val="5F7800"/>
    </a:accent6>
    <a:hlink>
      <a:srgbClr val="EB8200"/>
    </a:hlink>
    <a:folHlink>
      <a:srgbClr val="82C8DC"/>
    </a:folHlink>
  </a:clrScheme>
  <a:fontScheme name="Printout Syngenta 2003">
    <a:majorFont>
      <a:latin typeface="Arial"/>
      <a:ea typeface=""/>
      <a:cs typeface=""/>
    </a:majorFont>
    <a:minorFont>
      <a:latin typeface="Arial"/>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2.xml><?xml version="1.0" encoding="utf-8"?>
<a:themeOverride xmlns:a="http://schemas.openxmlformats.org/drawingml/2006/main">
  <a:clrScheme name="Syngenta 2007">
    <a:dk1>
      <a:srgbClr val="626469"/>
    </a:dk1>
    <a:lt1>
      <a:srgbClr val="FFFFFF"/>
    </a:lt1>
    <a:dk2>
      <a:srgbClr val="5F7800"/>
    </a:dk2>
    <a:lt2>
      <a:srgbClr val="FFB400"/>
    </a:lt2>
    <a:accent1>
      <a:srgbClr val="00A0BE"/>
    </a:accent1>
    <a:accent2>
      <a:srgbClr val="AAB400"/>
    </a:accent2>
    <a:accent3>
      <a:srgbClr val="EB8200"/>
    </a:accent3>
    <a:accent4>
      <a:srgbClr val="82C8DC"/>
    </a:accent4>
    <a:accent5>
      <a:srgbClr val="FFB400"/>
    </a:accent5>
    <a:accent6>
      <a:srgbClr val="5F7800"/>
    </a:accent6>
    <a:hlink>
      <a:srgbClr val="EB8200"/>
    </a:hlink>
    <a:folHlink>
      <a:srgbClr val="82C8DC"/>
    </a:folHlink>
  </a:clrScheme>
  <a:fontScheme name="Printout Syngenta 2003">
    <a:majorFont>
      <a:latin typeface="Arial"/>
      <a:ea typeface=""/>
      <a:cs typeface=""/>
    </a:majorFont>
    <a:minorFont>
      <a:latin typeface="Arial"/>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customProperty" Target="../customProperty2.bin"/><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2" Type="http://schemas.openxmlformats.org/officeDocument/2006/relationships/customProperty" Target="../customProperty8.bin"/><Relationship Id="rId1" Type="http://schemas.openxmlformats.org/officeDocument/2006/relationships/printerSettings" Target="../printerSettings/printerSettings20.bin"/></Relationships>
</file>

<file path=xl/worksheets/_rels/sheet22.xml.rels><?xml version="1.0" encoding="UTF-8" standalone="yes"?>
<Relationships xmlns="http://schemas.openxmlformats.org/package/2006/relationships"><Relationship Id="rId2" Type="http://schemas.openxmlformats.org/officeDocument/2006/relationships/customProperty" Target="../customProperty9.bin"/><Relationship Id="rId1" Type="http://schemas.openxmlformats.org/officeDocument/2006/relationships/printerSettings" Target="../printerSettings/printerSettings21.bin"/></Relationships>
</file>

<file path=xl/worksheets/_rels/sheet23.xml.rels><?xml version="1.0" encoding="UTF-8" standalone="yes"?>
<Relationships xmlns="http://schemas.openxmlformats.org/package/2006/relationships"><Relationship Id="rId2" Type="http://schemas.openxmlformats.org/officeDocument/2006/relationships/customProperty" Target="../customProperty10.bin"/><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customProperty" Target="../customProperty3.bin"/><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customProperty" Target="../customProperty4.bin"/><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customProperty" Target="../customProperty5.bin"/></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customProperty" Target="../customProperty6.bin"/><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customProperty" Target="../customProperty7.bin"/><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D5D6A2"/>
  </sheetPr>
  <dimension ref="B8:N72"/>
  <sheetViews>
    <sheetView tabSelected="1" topLeftCell="A13" workbookViewId="0">
      <selection activeCell="B38" sqref="B38"/>
    </sheetView>
  </sheetViews>
  <sheetFormatPr defaultRowHeight="14.25" x14ac:dyDescent="0.2"/>
  <cols>
    <col min="1" max="1" width="9.140625" style="203"/>
    <col min="2" max="2" width="9.140625" style="203" customWidth="1"/>
    <col min="3" max="7" width="9.140625" style="203"/>
    <col min="8" max="8" width="4.5703125" style="203" customWidth="1"/>
    <col min="9" max="16384" width="9.140625" style="203"/>
  </cols>
  <sheetData>
    <row r="8" spans="2:11" ht="27" x14ac:dyDescent="0.35">
      <c r="B8" s="204" t="s">
        <v>257</v>
      </c>
      <c r="C8" s="205"/>
      <c r="D8" s="206" t="s">
        <v>258</v>
      </c>
      <c r="E8" s="207" t="s">
        <v>259</v>
      </c>
      <c r="F8" s="205"/>
      <c r="G8" s="205"/>
    </row>
    <row r="11" spans="2:11" s="208" customFormat="1" ht="24.95" customHeight="1" x14ac:dyDescent="0.25">
      <c r="B11" s="316" t="s">
        <v>261</v>
      </c>
      <c r="C11" s="316"/>
      <c r="D11" s="316"/>
      <c r="E11" s="317"/>
      <c r="F11" s="317"/>
      <c r="G11" s="317"/>
      <c r="H11" s="317"/>
      <c r="I11" s="317"/>
      <c r="J11" s="317"/>
      <c r="K11" s="317"/>
    </row>
    <row r="12" spans="2:11" s="208" customFormat="1" ht="6.75" customHeight="1" x14ac:dyDescent="0.25">
      <c r="B12" s="209"/>
      <c r="C12" s="209"/>
      <c r="D12" s="209"/>
    </row>
    <row r="13" spans="2:11" s="208" customFormat="1" ht="24.95" customHeight="1" x14ac:dyDescent="0.25">
      <c r="B13" s="316" t="s">
        <v>260</v>
      </c>
      <c r="C13" s="316"/>
      <c r="D13" s="316"/>
      <c r="E13" s="317"/>
      <c r="F13" s="317"/>
      <c r="G13" s="317"/>
      <c r="H13" s="317"/>
      <c r="I13" s="317"/>
      <c r="J13" s="317"/>
      <c r="K13" s="317"/>
    </row>
    <row r="14" spans="2:11" s="208" customFormat="1" ht="6.75" customHeight="1" x14ac:dyDescent="0.25">
      <c r="B14" s="209"/>
      <c r="C14" s="209"/>
      <c r="D14" s="209"/>
    </row>
    <row r="15" spans="2:11" s="208" customFormat="1" ht="24.95" customHeight="1" x14ac:dyDescent="0.25">
      <c r="B15" s="316" t="s">
        <v>268</v>
      </c>
      <c r="C15" s="316"/>
      <c r="D15" s="316"/>
      <c r="E15" s="317"/>
      <c r="F15" s="317"/>
      <c r="G15" s="317"/>
      <c r="H15" s="317"/>
      <c r="I15" s="317"/>
      <c r="J15" s="317"/>
      <c r="K15" s="317"/>
    </row>
    <row r="16" spans="2:11" s="208" customFormat="1" ht="6" customHeight="1" x14ac:dyDescent="0.25">
      <c r="B16" s="209"/>
      <c r="C16" s="209"/>
      <c r="D16" s="209"/>
    </row>
    <row r="17" spans="2:11" s="208" customFormat="1" ht="24.95" customHeight="1" x14ac:dyDescent="0.25">
      <c r="B17" s="316" t="s">
        <v>444</v>
      </c>
      <c r="C17" s="316"/>
      <c r="D17" s="316"/>
      <c r="E17" s="317"/>
      <c r="F17" s="317"/>
      <c r="G17" s="317"/>
      <c r="H17" s="317"/>
      <c r="I17" s="317"/>
      <c r="J17" s="317"/>
      <c r="K17" s="317"/>
    </row>
    <row r="18" spans="2:11" s="208" customFormat="1" ht="6.75" customHeight="1" x14ac:dyDescent="0.25">
      <c r="B18" s="210"/>
      <c r="C18" s="210"/>
      <c r="D18" s="210"/>
    </row>
    <row r="19" spans="2:11" s="208" customFormat="1" ht="24.95" customHeight="1" x14ac:dyDescent="0.25">
      <c r="B19" s="316" t="s">
        <v>267</v>
      </c>
      <c r="C19" s="316"/>
      <c r="D19" s="316"/>
      <c r="E19" s="317"/>
      <c r="F19" s="317"/>
      <c r="G19" s="317"/>
      <c r="H19" s="317"/>
      <c r="I19" s="317"/>
      <c r="J19" s="317"/>
      <c r="K19" s="317"/>
    </row>
    <row r="20" spans="2:11" s="208" customFormat="1" ht="6.75" customHeight="1" x14ac:dyDescent="0.25">
      <c r="B20" s="209"/>
      <c r="C20" s="209"/>
      <c r="D20" s="209"/>
    </row>
    <row r="21" spans="2:11" s="208" customFormat="1" ht="24.95" customHeight="1" x14ac:dyDescent="0.25">
      <c r="B21" s="316" t="s">
        <v>266</v>
      </c>
      <c r="C21" s="316"/>
      <c r="D21" s="316"/>
      <c r="E21" s="317"/>
      <c r="F21" s="317"/>
      <c r="G21" s="317"/>
      <c r="H21" s="317"/>
      <c r="I21" s="317"/>
      <c r="J21" s="317"/>
      <c r="K21" s="317"/>
    </row>
    <row r="22" spans="2:11" s="208" customFormat="1" ht="6" customHeight="1" x14ac:dyDescent="0.25">
      <c r="B22" s="209"/>
      <c r="C22" s="209"/>
      <c r="D22" s="209"/>
    </row>
    <row r="23" spans="2:11" s="208" customFormat="1" ht="24.95" customHeight="1" x14ac:dyDescent="0.25">
      <c r="B23" s="316" t="s">
        <v>265</v>
      </c>
      <c r="C23" s="316"/>
      <c r="D23" s="316"/>
      <c r="E23" s="317"/>
      <c r="F23" s="317"/>
      <c r="G23" s="317"/>
      <c r="H23" s="317"/>
      <c r="I23" s="317"/>
      <c r="J23" s="317"/>
      <c r="K23" s="317"/>
    </row>
    <row r="24" spans="2:11" s="208" customFormat="1" ht="6.75" customHeight="1" x14ac:dyDescent="0.25">
      <c r="B24" s="209"/>
      <c r="C24" s="209"/>
      <c r="D24" s="209"/>
    </row>
    <row r="25" spans="2:11" s="208" customFormat="1" ht="24.95" customHeight="1" x14ac:dyDescent="0.25">
      <c r="B25" s="318" t="s">
        <v>262</v>
      </c>
      <c r="C25" s="318"/>
      <c r="D25" s="318"/>
      <c r="E25" s="319"/>
      <c r="F25" s="319"/>
      <c r="G25" s="318" t="s">
        <v>129</v>
      </c>
      <c r="H25" s="318"/>
      <c r="I25" s="318"/>
      <c r="J25" s="319"/>
      <c r="K25" s="319"/>
    </row>
    <row r="26" spans="2:11" ht="6" customHeight="1" x14ac:dyDescent="0.25">
      <c r="B26" s="223"/>
      <c r="C26" s="223"/>
      <c r="D26" s="223"/>
      <c r="G26" s="222"/>
      <c r="H26" s="222"/>
      <c r="I26" s="222"/>
    </row>
    <row r="27" spans="2:11" s="208" customFormat="1" ht="24.95" customHeight="1" x14ac:dyDescent="0.25">
      <c r="B27" s="318" t="s">
        <v>262</v>
      </c>
      <c r="C27" s="318"/>
      <c r="D27" s="318"/>
      <c r="E27" s="319"/>
      <c r="F27" s="319"/>
      <c r="G27" s="318" t="s">
        <v>129</v>
      </c>
      <c r="H27" s="318"/>
      <c r="I27" s="318"/>
      <c r="J27" s="319"/>
      <c r="K27" s="319"/>
    </row>
    <row r="28" spans="2:11" ht="6" customHeight="1" x14ac:dyDescent="0.25">
      <c r="B28" s="223"/>
      <c r="C28" s="223"/>
      <c r="D28" s="223"/>
      <c r="G28" s="222"/>
      <c r="H28" s="222"/>
      <c r="I28" s="222"/>
    </row>
    <row r="29" spans="2:11" s="208" customFormat="1" ht="24.95" customHeight="1" x14ac:dyDescent="0.25">
      <c r="B29" s="318" t="s">
        <v>262</v>
      </c>
      <c r="C29" s="318"/>
      <c r="D29" s="318"/>
      <c r="E29" s="319"/>
      <c r="F29" s="319"/>
      <c r="G29" s="318" t="s">
        <v>129</v>
      </c>
      <c r="H29" s="318"/>
      <c r="I29" s="318"/>
      <c r="J29" s="319"/>
      <c r="K29" s="319"/>
    </row>
    <row r="30" spans="2:11" ht="7.5" customHeight="1" x14ac:dyDescent="0.25">
      <c r="B30" s="211"/>
      <c r="C30" s="211"/>
      <c r="D30" s="211"/>
    </row>
    <row r="31" spans="2:11" s="208" customFormat="1" ht="24.95" customHeight="1" x14ac:dyDescent="0.25">
      <c r="B31" s="316" t="s">
        <v>264</v>
      </c>
      <c r="C31" s="316"/>
      <c r="D31" s="316"/>
      <c r="E31" s="317"/>
      <c r="F31" s="317"/>
      <c r="G31" s="317"/>
      <c r="H31" s="317"/>
      <c r="I31" s="317"/>
      <c r="J31" s="317"/>
      <c r="K31" s="317"/>
    </row>
    <row r="32" spans="2:11" ht="8.25" customHeight="1" x14ac:dyDescent="0.25">
      <c r="B32" s="211"/>
      <c r="C32" s="211"/>
      <c r="D32" s="211"/>
    </row>
    <row r="33" spans="2:11" s="208" customFormat="1" ht="24.95" customHeight="1" x14ac:dyDescent="0.25">
      <c r="B33" s="316" t="s">
        <v>263</v>
      </c>
      <c r="C33" s="316"/>
      <c r="D33" s="316"/>
      <c r="E33" s="317"/>
      <c r="F33" s="317"/>
      <c r="G33" s="317"/>
      <c r="H33" s="317"/>
      <c r="I33" s="317"/>
      <c r="J33" s="317"/>
      <c r="K33" s="317"/>
    </row>
    <row r="34" spans="2:11" ht="8.25" customHeight="1" x14ac:dyDescent="0.25">
      <c r="B34" s="211"/>
      <c r="C34" s="211"/>
      <c r="D34" s="211"/>
    </row>
    <row r="35" spans="2:11" s="208" customFormat="1" ht="27.95" customHeight="1" x14ac:dyDescent="0.25">
      <c r="B35" s="320" t="s">
        <v>281</v>
      </c>
      <c r="C35" s="320"/>
      <c r="D35" s="320"/>
      <c r="E35" s="208" t="s">
        <v>435</v>
      </c>
      <c r="F35" s="319"/>
      <c r="G35" s="319"/>
      <c r="I35" s="208" t="s">
        <v>436</v>
      </c>
      <c r="J35" s="319"/>
      <c r="K35" s="319"/>
    </row>
    <row r="36" spans="2:11" s="208" customFormat="1" ht="8.25" customHeight="1" x14ac:dyDescent="0.25">
      <c r="B36" s="309"/>
      <c r="C36" s="309"/>
      <c r="D36" s="309"/>
    </row>
    <row r="37" spans="2:11" s="208" customFormat="1" ht="27.95" customHeight="1" x14ac:dyDescent="0.25">
      <c r="B37" s="320" t="s">
        <v>496</v>
      </c>
      <c r="C37" s="320"/>
      <c r="D37" s="320"/>
      <c r="E37" s="208" t="s">
        <v>435</v>
      </c>
      <c r="F37" s="308"/>
      <c r="G37" s="308"/>
      <c r="I37" s="208" t="s">
        <v>436</v>
      </c>
      <c r="J37" s="308"/>
      <c r="K37" s="308"/>
    </row>
    <row r="39" spans="2:11" ht="23.25" x14ac:dyDescent="0.35">
      <c r="B39" s="207" t="s">
        <v>269</v>
      </c>
    </row>
    <row r="41" spans="2:11" ht="18" customHeight="1" x14ac:dyDescent="0.2">
      <c r="B41" s="203" t="s">
        <v>270</v>
      </c>
      <c r="C41" s="313">
        <f>E13</f>
        <v>0</v>
      </c>
      <c r="D41" s="313"/>
      <c r="E41" s="313"/>
      <c r="F41" s="313"/>
      <c r="G41" s="203" t="s">
        <v>277</v>
      </c>
    </row>
    <row r="42" spans="2:11" ht="18" customHeight="1" x14ac:dyDescent="0.2">
      <c r="B42" s="203" t="s">
        <v>271</v>
      </c>
    </row>
    <row r="43" spans="2:11" ht="18" customHeight="1" x14ac:dyDescent="0.2">
      <c r="B43" s="203" t="s">
        <v>272</v>
      </c>
    </row>
    <row r="44" spans="2:11" ht="18" customHeight="1" x14ac:dyDescent="0.2">
      <c r="B44" s="203" t="s">
        <v>273</v>
      </c>
    </row>
    <row r="45" spans="2:11" ht="11.25" customHeight="1" x14ac:dyDescent="0.2"/>
    <row r="46" spans="2:11" ht="18" customHeight="1" x14ac:dyDescent="0.2">
      <c r="B46" s="203" t="s">
        <v>274</v>
      </c>
    </row>
    <row r="47" spans="2:11" ht="18" customHeight="1" x14ac:dyDescent="0.2">
      <c r="B47" s="203" t="s">
        <v>275</v>
      </c>
    </row>
    <row r="48" spans="2:11" ht="18" customHeight="1" x14ac:dyDescent="0.2">
      <c r="B48" s="203" t="s">
        <v>276</v>
      </c>
    </row>
    <row r="52" spans="2:12" x14ac:dyDescent="0.2">
      <c r="B52" s="203" t="s">
        <v>282</v>
      </c>
      <c r="G52" s="213" t="b">
        <v>0</v>
      </c>
      <c r="H52" s="203" t="s">
        <v>283</v>
      </c>
      <c r="J52" s="213" t="b">
        <v>0</v>
      </c>
    </row>
    <row r="55" spans="2:12" x14ac:dyDescent="0.2">
      <c r="B55" s="315" t="s">
        <v>440</v>
      </c>
      <c r="C55" s="315"/>
      <c r="D55" s="313">
        <f>+C41</f>
        <v>0</v>
      </c>
      <c r="E55" s="313"/>
      <c r="F55" s="313"/>
      <c r="G55" s="315" t="s">
        <v>431</v>
      </c>
      <c r="H55" s="315"/>
      <c r="I55" s="313"/>
      <c r="J55" s="313"/>
      <c r="K55" s="315"/>
      <c r="L55" s="315"/>
    </row>
    <row r="57" spans="2:12" ht="15" customHeight="1" x14ac:dyDescent="0.2">
      <c r="B57" s="314" t="s">
        <v>439</v>
      </c>
      <c r="C57" s="314"/>
      <c r="D57" s="314"/>
      <c r="E57" s="314"/>
      <c r="F57" s="314"/>
      <c r="I57" s="203" t="s">
        <v>491</v>
      </c>
    </row>
    <row r="58" spans="2:12" ht="14.25" customHeight="1" x14ac:dyDescent="0.2">
      <c r="B58" s="314"/>
      <c r="C58" s="314"/>
      <c r="D58" s="314"/>
      <c r="E58" s="314"/>
      <c r="F58" s="314"/>
      <c r="J58" s="306"/>
    </row>
    <row r="59" spans="2:12" x14ac:dyDescent="0.2">
      <c r="B59" s="314"/>
      <c r="C59" s="314"/>
      <c r="D59" s="314"/>
      <c r="E59" s="314"/>
      <c r="F59" s="314"/>
      <c r="I59" s="305"/>
      <c r="J59" s="203" t="s">
        <v>492</v>
      </c>
    </row>
    <row r="60" spans="2:12" x14ac:dyDescent="0.2">
      <c r="B60" s="314"/>
      <c r="C60" s="314"/>
      <c r="D60" s="314"/>
      <c r="E60" s="314"/>
      <c r="F60" s="314"/>
    </row>
    <row r="61" spans="2:12" x14ac:dyDescent="0.2">
      <c r="B61" s="314"/>
      <c r="C61" s="314"/>
      <c r="D61" s="314"/>
      <c r="E61" s="314"/>
      <c r="F61" s="314"/>
    </row>
    <row r="62" spans="2:12" x14ac:dyDescent="0.2">
      <c r="D62" s="203" t="s">
        <v>284</v>
      </c>
    </row>
    <row r="67" spans="2:14" ht="3" customHeight="1" x14ac:dyDescent="0.2">
      <c r="B67" s="212"/>
      <c r="C67" s="212"/>
      <c r="D67" s="212"/>
      <c r="E67" s="212"/>
      <c r="F67" s="212"/>
      <c r="G67" s="212"/>
      <c r="H67" s="212"/>
      <c r="I67" s="212"/>
      <c r="J67" s="212"/>
      <c r="K67" s="212"/>
      <c r="L67" s="212"/>
      <c r="M67" s="212"/>
      <c r="N67" s="212"/>
    </row>
    <row r="68" spans="2:14" x14ac:dyDescent="0.2">
      <c r="B68" s="203" t="s">
        <v>278</v>
      </c>
    </row>
    <row r="69" spans="2:14" x14ac:dyDescent="0.2">
      <c r="B69" s="203" t="s">
        <v>279</v>
      </c>
    </row>
    <row r="71" spans="2:14" x14ac:dyDescent="0.2">
      <c r="B71" s="203" t="s">
        <v>433</v>
      </c>
    </row>
    <row r="72" spans="2:14" x14ac:dyDescent="0.2">
      <c r="B72" s="203" t="s">
        <v>285</v>
      </c>
    </row>
  </sheetData>
  <mergeCells count="41">
    <mergeCell ref="B29:D29"/>
    <mergeCell ref="E29:F29"/>
    <mergeCell ref="G29:I29"/>
    <mergeCell ref="J29:K29"/>
    <mergeCell ref="C41:F41"/>
    <mergeCell ref="B31:D31"/>
    <mergeCell ref="E31:K31"/>
    <mergeCell ref="B35:D35"/>
    <mergeCell ref="B33:D33"/>
    <mergeCell ref="E33:K33"/>
    <mergeCell ref="F35:G35"/>
    <mergeCell ref="J35:K35"/>
    <mergeCell ref="B37:D37"/>
    <mergeCell ref="G25:I25"/>
    <mergeCell ref="E25:F25"/>
    <mergeCell ref="J25:K25"/>
    <mergeCell ref="B27:D27"/>
    <mergeCell ref="G27:I27"/>
    <mergeCell ref="E27:F27"/>
    <mergeCell ref="J27:K27"/>
    <mergeCell ref="K55:L55"/>
    <mergeCell ref="B11:D11"/>
    <mergeCell ref="E11:K11"/>
    <mergeCell ref="B13:D13"/>
    <mergeCell ref="E13:K13"/>
    <mergeCell ref="B15:D15"/>
    <mergeCell ref="E15:K15"/>
    <mergeCell ref="B17:D17"/>
    <mergeCell ref="E17:K17"/>
    <mergeCell ref="B19:D19"/>
    <mergeCell ref="E19:K19"/>
    <mergeCell ref="B21:D21"/>
    <mergeCell ref="E21:K21"/>
    <mergeCell ref="B23:D23"/>
    <mergeCell ref="E23:K23"/>
    <mergeCell ref="B25:D25"/>
    <mergeCell ref="D55:F55"/>
    <mergeCell ref="I55:J55"/>
    <mergeCell ref="B57:F61"/>
    <mergeCell ref="G55:H55"/>
    <mergeCell ref="B55:C55"/>
  </mergeCells>
  <pageMargins left="0.7" right="0.7" top="0.75" bottom="0.75" header="0.3" footer="0.3"/>
  <pageSetup paperSize="9" orientation="portrait" r:id="rId1"/>
  <customProperties>
    <customPr name="SSCSheetTrackingNo" r:id="rId2"/>
  </customProperties>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pageSetUpPr fitToPage="1"/>
  </sheetPr>
  <dimension ref="A1:V78"/>
  <sheetViews>
    <sheetView zoomScaleNormal="100" workbookViewId="0">
      <selection activeCell="J24" sqref="J24"/>
    </sheetView>
  </sheetViews>
  <sheetFormatPr defaultRowHeight="15" x14ac:dyDescent="0.25"/>
  <cols>
    <col min="1" max="1" width="21.140625" style="27" customWidth="1"/>
    <col min="2" max="2" width="9.140625" style="27" customWidth="1"/>
    <col min="3" max="3" width="10.85546875" style="27" customWidth="1"/>
    <col min="4" max="4" width="9.140625" style="27"/>
    <col min="5" max="5" width="11.5703125" style="27" bestFit="1" customWidth="1"/>
    <col min="6" max="7" width="11.5703125" style="27" customWidth="1"/>
    <col min="8" max="8" width="11.28515625" style="27" customWidth="1"/>
    <col min="9" max="9" width="11.140625" style="27" customWidth="1"/>
    <col min="10" max="10" width="12.5703125" style="27" bestFit="1" customWidth="1"/>
    <col min="11" max="11" width="14.140625" style="27" customWidth="1"/>
    <col min="12" max="12" width="14.85546875" style="27" customWidth="1"/>
    <col min="13" max="13" width="9.140625" style="27" customWidth="1"/>
    <col min="14" max="14" width="12.28515625" style="27" hidden="1" customWidth="1"/>
    <col min="15" max="15" width="10.5703125" style="27" hidden="1" customWidth="1"/>
    <col min="16" max="16" width="14.140625" style="27" hidden="1" customWidth="1"/>
    <col min="17" max="17" width="13.42578125" style="27" hidden="1" customWidth="1"/>
    <col min="18" max="18" width="18.42578125" style="27" hidden="1" customWidth="1"/>
    <col min="19" max="19" width="9.140625" style="27" customWidth="1"/>
    <col min="20" max="20" width="12.28515625" style="27" hidden="1" customWidth="1"/>
    <col min="21" max="21" width="10.5703125" style="27" hidden="1" customWidth="1"/>
    <col min="22" max="22" width="9.140625" style="27" hidden="1" customWidth="1"/>
    <col min="23" max="23" width="9.140625" style="27" customWidth="1"/>
    <col min="24" max="16384" width="9.140625" style="27"/>
  </cols>
  <sheetData>
    <row r="1" spans="1:14" s="61" customFormat="1" ht="15" customHeight="1" x14ac:dyDescent="0.25"/>
    <row r="4" spans="1:14" ht="15.75" thickBot="1" x14ac:dyDescent="0.3"/>
    <row r="5" spans="1:14" ht="15.75" thickBot="1" x14ac:dyDescent="0.3">
      <c r="C5" s="76"/>
      <c r="F5" s="117" t="s">
        <v>134</v>
      </c>
      <c r="G5" s="118" t="s">
        <v>117</v>
      </c>
    </row>
    <row r="6" spans="1:14" x14ac:dyDescent="0.25">
      <c r="C6" s="76"/>
    </row>
    <row r="7" spans="1:14" ht="15.75" thickBot="1" x14ac:dyDescent="0.3"/>
    <row r="8" spans="1:14" ht="15.75" thickBot="1" x14ac:dyDescent="0.3">
      <c r="A8" s="404" t="s">
        <v>39</v>
      </c>
      <c r="B8" s="405"/>
      <c r="C8" s="406"/>
      <c r="F8" s="376" t="s">
        <v>48</v>
      </c>
      <c r="G8" s="377"/>
      <c r="H8" s="378"/>
      <c r="J8" s="376" t="s">
        <v>36</v>
      </c>
      <c r="K8" s="377"/>
      <c r="L8" s="378"/>
    </row>
    <row r="9" spans="1:14" x14ac:dyDescent="0.25">
      <c r="A9" s="28" t="s">
        <v>40</v>
      </c>
      <c r="B9" s="407" t="str">
        <f>+'Koring 1 (dont use)'!B9:C9</f>
        <v>Jaque Fourie</v>
      </c>
      <c r="C9" s="408"/>
      <c r="F9" s="28" t="s">
        <v>81</v>
      </c>
      <c r="G9" s="387" t="str">
        <f>+'Koring 1 (dont use)'!G9:H9</f>
        <v>Bakkies Botha</v>
      </c>
      <c r="H9" s="388"/>
      <c r="J9" s="420" t="str">
        <f>+A20</f>
        <v>Saadbehandeling</v>
      </c>
      <c r="K9" s="421"/>
      <c r="L9" s="23">
        <f>+L24</f>
        <v>8500</v>
      </c>
    </row>
    <row r="10" spans="1:14" x14ac:dyDescent="0.25">
      <c r="A10" s="29" t="s">
        <v>47</v>
      </c>
      <c r="B10" s="424" t="str">
        <f>+'Koring 1 (dont use)'!B10:C10</f>
        <v>Japan</v>
      </c>
      <c r="C10" s="425"/>
      <c r="F10" s="29" t="s">
        <v>82</v>
      </c>
      <c r="G10" s="424" t="str">
        <f>+'Koring 1 (dont use)'!G10:H10</f>
        <v xml:space="preserve">Bus 524 </v>
      </c>
      <c r="H10" s="425"/>
      <c r="J10" s="389" t="str">
        <f>+A31</f>
        <v>Voor plant</v>
      </c>
      <c r="K10" s="390"/>
      <c r="L10" s="24">
        <f>+L33</f>
        <v>0</v>
      </c>
    </row>
    <row r="11" spans="1:14" x14ac:dyDescent="0.25">
      <c r="A11" s="30"/>
      <c r="B11" s="424">
        <f>+'Koring 1 (dont use)'!B11:C11</f>
        <v>0</v>
      </c>
      <c r="C11" s="425"/>
      <c r="F11" s="29" t="s">
        <v>83</v>
      </c>
      <c r="G11" s="424" t="str">
        <f>+'Koring 1 (dont use)'!G11:H11</f>
        <v>Brakfontein</v>
      </c>
      <c r="H11" s="425"/>
      <c r="J11" s="389" t="str">
        <f>+A42</f>
        <v>Voor-opkoms (met plant)</v>
      </c>
      <c r="K11" s="390"/>
      <c r="L11" s="24">
        <f>+L44</f>
        <v>0</v>
      </c>
    </row>
    <row r="12" spans="1:14" x14ac:dyDescent="0.25">
      <c r="A12" s="29" t="s">
        <v>45</v>
      </c>
      <c r="B12" s="424" t="str">
        <f>+'Koring 1 (dont use)'!B12:C12</f>
        <v>0001</v>
      </c>
      <c r="C12" s="425"/>
      <c r="F12" s="29" t="s">
        <v>84</v>
      </c>
      <c r="G12" s="424" t="str">
        <f>+'Koring 1 (dont use)'!G12:H12</f>
        <v>Humansdorp</v>
      </c>
      <c r="H12" s="425"/>
      <c r="J12" s="389" t="str">
        <f>+A53</f>
        <v>Na-opkoms</v>
      </c>
      <c r="K12" s="390"/>
      <c r="L12" s="24">
        <f>+L55</f>
        <v>0</v>
      </c>
    </row>
    <row r="13" spans="1:14" x14ac:dyDescent="0.25">
      <c r="A13" s="29" t="s">
        <v>41</v>
      </c>
      <c r="B13" s="424">
        <f>+'Koring 1 (dont use)'!B13:C13</f>
        <v>0</v>
      </c>
      <c r="C13" s="425"/>
      <c r="F13" s="29" t="s">
        <v>85</v>
      </c>
      <c r="G13" s="424" t="str">
        <f>+'Koring 1 (dont use)'!G13:H13</f>
        <v>2587</v>
      </c>
      <c r="H13" s="425"/>
      <c r="J13" s="389" t="str">
        <f>+A66</f>
        <v>Ander</v>
      </c>
      <c r="K13" s="390"/>
      <c r="L13" s="24">
        <f>+L68</f>
        <v>0</v>
      </c>
    </row>
    <row r="14" spans="1:14" ht="15.75" thickBot="1" x14ac:dyDescent="0.3">
      <c r="A14" s="29" t="s">
        <v>42</v>
      </c>
      <c r="B14" s="424">
        <f>+'Koring 1 (dont use)'!B14:C14</f>
        <v>0</v>
      </c>
      <c r="C14" s="425"/>
      <c r="F14" s="29" t="s">
        <v>86</v>
      </c>
      <c r="G14" s="424" t="str">
        <f>+'Koring 1 (dont use)'!G14:H14</f>
        <v>0112548798</v>
      </c>
      <c r="H14" s="425"/>
      <c r="J14" s="391" t="s">
        <v>55</v>
      </c>
      <c r="K14" s="392"/>
      <c r="L14" s="26">
        <f>SUM(L9:L13)</f>
        <v>8500</v>
      </c>
    </row>
    <row r="15" spans="1:14" ht="16.5" thickTop="1" thickBot="1" x14ac:dyDescent="0.3">
      <c r="A15" s="29" t="s">
        <v>43</v>
      </c>
      <c r="B15" s="424" t="str">
        <f>+'Koring 1 (dont use)'!B15:C15</f>
        <v>0878522233</v>
      </c>
      <c r="C15" s="425"/>
      <c r="F15" s="29" t="s">
        <v>87</v>
      </c>
      <c r="G15" s="424" t="str">
        <f>+'Koring 1 (dont use)'!G15:H15</f>
        <v>0768543221</v>
      </c>
      <c r="H15" s="425"/>
      <c r="J15" s="426"/>
      <c r="K15" s="427"/>
      <c r="L15" s="25"/>
    </row>
    <row r="16" spans="1:14" ht="15.75" thickBot="1" x14ac:dyDescent="0.3">
      <c r="A16" s="31" t="s">
        <v>44</v>
      </c>
      <c r="B16" s="428" t="str">
        <f>+'Koring 1 (dont use)'!B16:C16</f>
        <v>jfourie@gmail.com</v>
      </c>
      <c r="C16" s="429"/>
      <c r="F16" s="31" t="s">
        <v>88</v>
      </c>
      <c r="G16" s="430" t="str">
        <f>+'Koring 1 (dont use)'!G16:H16</f>
        <v>bb@bok.co.za</v>
      </c>
      <c r="H16" s="431"/>
      <c r="J16" s="432" t="s">
        <v>70</v>
      </c>
      <c r="K16" s="433"/>
      <c r="L16" s="104">
        <f>+G24+G33+G44+G55+G68</f>
        <v>920.63333333333344</v>
      </c>
      <c r="N16" s="62" t="e">
        <f>+L14/L18</f>
        <v>#DIV/0!</v>
      </c>
    </row>
    <row r="17" spans="1:22" ht="15.75" thickBot="1" x14ac:dyDescent="0.3">
      <c r="E17" s="32"/>
      <c r="J17" s="33"/>
      <c r="K17" s="33"/>
      <c r="L17" s="34"/>
    </row>
    <row r="18" spans="1:22" ht="15.75" thickBot="1" x14ac:dyDescent="0.3">
      <c r="A18" s="35" t="s">
        <v>106</v>
      </c>
      <c r="B18" s="434" t="str">
        <f>+'Koring 1 (dont use)'!B18:C18</f>
        <v>Co</v>
      </c>
      <c r="C18" s="435"/>
      <c r="E18" s="32"/>
      <c r="F18" s="35" t="s">
        <v>69</v>
      </c>
      <c r="G18" s="418" t="str">
        <f>+'Koring 1 (dont use)'!G18:H18</f>
        <v>2012/09/12</v>
      </c>
      <c r="H18" s="436"/>
      <c r="J18" s="404" t="s">
        <v>46</v>
      </c>
      <c r="K18" s="405"/>
      <c r="L18" s="3"/>
    </row>
    <row r="19" spans="1:22" s="77" customFormat="1" ht="15.75" thickBot="1" x14ac:dyDescent="0.3">
      <c r="A19" s="101"/>
      <c r="B19" s="109"/>
      <c r="C19" s="109"/>
      <c r="E19" s="102"/>
      <c r="F19" s="101"/>
      <c r="G19" s="109"/>
      <c r="H19" s="109"/>
      <c r="J19" s="100"/>
      <c r="K19" s="100"/>
      <c r="L19" s="110"/>
    </row>
    <row r="20" spans="1:22" s="77" customFormat="1" ht="18" thickBot="1" x14ac:dyDescent="0.35">
      <c r="A20" s="409" t="s">
        <v>38</v>
      </c>
      <c r="B20" s="410"/>
      <c r="C20" s="410"/>
      <c r="D20" s="410"/>
      <c r="E20" s="410"/>
      <c r="F20" s="410"/>
      <c r="G20" s="410"/>
      <c r="H20" s="410"/>
      <c r="I20" s="410"/>
      <c r="J20" s="410"/>
      <c r="K20" s="410"/>
      <c r="L20" s="411"/>
    </row>
    <row r="21" spans="1:22" s="77" customFormat="1" x14ac:dyDescent="0.25">
      <c r="A21" s="52"/>
      <c r="B21" s="53" t="s">
        <v>97</v>
      </c>
      <c r="C21" s="19">
        <v>26000</v>
      </c>
      <c r="D21" s="54"/>
      <c r="E21" s="55"/>
      <c r="F21" s="55"/>
      <c r="G21" s="437" t="s">
        <v>99</v>
      </c>
      <c r="H21" s="438"/>
      <c r="I21" s="441">
        <f>+C21/C22</f>
        <v>0.43333333333333335</v>
      </c>
      <c r="J21" s="54"/>
      <c r="K21" s="54"/>
      <c r="L21" s="56"/>
    </row>
    <row r="22" spans="1:22" s="77" customFormat="1" ht="15.75" thickBot="1" x14ac:dyDescent="0.3">
      <c r="A22" s="57"/>
      <c r="B22" s="58" t="s">
        <v>98</v>
      </c>
      <c r="C22" s="20">
        <v>60000</v>
      </c>
      <c r="D22" s="59"/>
      <c r="E22" s="55"/>
      <c r="F22" s="55"/>
      <c r="G22" s="439"/>
      <c r="H22" s="440"/>
      <c r="I22" s="442"/>
      <c r="J22" s="59"/>
      <c r="K22" s="59"/>
      <c r="L22" s="60"/>
      <c r="T22" s="107"/>
      <c r="U22" s="108" t="s">
        <v>113</v>
      </c>
      <c r="V22" s="107"/>
    </row>
    <row r="23" spans="1:22" s="77" customFormat="1" ht="43.5" thickBot="1" x14ac:dyDescent="0.3">
      <c r="A23" s="37" t="s">
        <v>1</v>
      </c>
      <c r="B23" s="38" t="s">
        <v>95</v>
      </c>
      <c r="C23" s="39" t="s">
        <v>96</v>
      </c>
      <c r="D23" s="40" t="s">
        <v>93</v>
      </c>
      <c r="E23" s="39" t="s">
        <v>61</v>
      </c>
      <c r="F23" s="40" t="s">
        <v>94</v>
      </c>
      <c r="G23" s="41" t="s">
        <v>60</v>
      </c>
      <c r="H23" s="39" t="s">
        <v>59</v>
      </c>
      <c r="I23" s="103" t="s">
        <v>56</v>
      </c>
      <c r="J23" s="40" t="s">
        <v>57</v>
      </c>
      <c r="K23" s="40" t="s">
        <v>58</v>
      </c>
      <c r="L23" s="42" t="s">
        <v>0</v>
      </c>
      <c r="N23" s="63" t="s">
        <v>101</v>
      </c>
      <c r="O23" s="63" t="s">
        <v>100</v>
      </c>
      <c r="P23" s="64" t="s">
        <v>102</v>
      </c>
      <c r="Q23" s="64" t="s">
        <v>103</v>
      </c>
      <c r="R23" s="64" t="s">
        <v>104</v>
      </c>
      <c r="S23" s="27"/>
      <c r="T23" s="65" t="s">
        <v>72</v>
      </c>
      <c r="U23" s="65" t="s">
        <v>74</v>
      </c>
      <c r="V23" s="65" t="s">
        <v>75</v>
      </c>
    </row>
    <row r="24" spans="1:22" s="77" customFormat="1" x14ac:dyDescent="0.25">
      <c r="A24" s="134" t="s">
        <v>1</v>
      </c>
      <c r="B24" s="135">
        <v>0.1</v>
      </c>
      <c r="C24" s="136">
        <v>100</v>
      </c>
      <c r="D24" s="43">
        <f t="shared" ref="D24" si="0">+B24*C24</f>
        <v>10</v>
      </c>
      <c r="E24" s="137">
        <v>850</v>
      </c>
      <c r="F24" s="44">
        <f t="shared" ref="F24" si="1">+IFERROR(K24/(C24/$I$21),0)</f>
        <v>36.833333333333336</v>
      </c>
      <c r="G24" s="373">
        <f>SUM(F24:F29)</f>
        <v>36.833333333333336</v>
      </c>
      <c r="H24" s="138">
        <v>1</v>
      </c>
      <c r="I24" s="45">
        <f t="shared" ref="I24" si="2">+IFERROR(ROUNDUP(D24/H24,0),0)</f>
        <v>10</v>
      </c>
      <c r="J24" s="44">
        <f>+E24*H24</f>
        <v>850</v>
      </c>
      <c r="K24" s="44">
        <f>+I24*J24</f>
        <v>8500</v>
      </c>
      <c r="L24" s="370">
        <f>SUM(K24:K29)</f>
        <v>8500</v>
      </c>
      <c r="T24" s="70" t="str">
        <f>IFERROR(VLOOKUP(A24,VLOOKUPS!$A$3:$D$31,2,0),"Ander")</f>
        <v>Ander</v>
      </c>
      <c r="U24" s="71">
        <f t="shared" ref="U24:U29" si="3">IF(T24="Syngenta",K24,0)</f>
        <v>0</v>
      </c>
      <c r="V24" s="71">
        <f t="shared" ref="V24:V29" si="4">IF(T24="Ander",K24,0)</f>
        <v>8500</v>
      </c>
    </row>
    <row r="25" spans="1:22" s="77" customFormat="1" x14ac:dyDescent="0.25">
      <c r="A25" s="9"/>
      <c r="B25" s="10"/>
      <c r="C25" s="21"/>
      <c r="D25" s="46">
        <f t="shared" ref="D25:D29" si="5">+B25*C25</f>
        <v>0</v>
      </c>
      <c r="E25" s="12"/>
      <c r="F25" s="47">
        <f t="shared" ref="F25:F29" si="6">+IFERROR(K25/(C25/$I$21),0)</f>
        <v>0</v>
      </c>
      <c r="G25" s="374"/>
      <c r="H25" s="13"/>
      <c r="I25" s="48">
        <f t="shared" ref="I25:I26" si="7">+IFERROR(ROUNDUP(D25/H25,0),0)</f>
        <v>0</v>
      </c>
      <c r="J25" s="47">
        <f>+E25*H25</f>
        <v>0</v>
      </c>
      <c r="K25" s="47">
        <f>+I25*J25</f>
        <v>0</v>
      </c>
      <c r="L25" s="371"/>
      <c r="T25" s="70" t="str">
        <f>IFERROR(VLOOKUP(A25,VLOOKUPS!$A$3:$D$31,2,0),"Ander")</f>
        <v>Ander</v>
      </c>
      <c r="U25" s="71">
        <f t="shared" si="3"/>
        <v>0</v>
      </c>
      <c r="V25" s="71">
        <f t="shared" si="4"/>
        <v>0</v>
      </c>
    </row>
    <row r="26" spans="1:22" s="77" customFormat="1" x14ac:dyDescent="0.25">
      <c r="A26" s="9"/>
      <c r="B26" s="10"/>
      <c r="C26" s="21"/>
      <c r="D26" s="46">
        <f t="shared" si="5"/>
        <v>0</v>
      </c>
      <c r="E26" s="12"/>
      <c r="F26" s="47">
        <f t="shared" si="6"/>
        <v>0</v>
      </c>
      <c r="G26" s="374"/>
      <c r="H26" s="13"/>
      <c r="I26" s="48">
        <f t="shared" si="7"/>
        <v>0</v>
      </c>
      <c r="J26" s="47">
        <f t="shared" ref="J26:J29" si="8">+E26*H26</f>
        <v>0</v>
      </c>
      <c r="K26" s="47">
        <f t="shared" ref="K26:K29" si="9">+I26*J26</f>
        <v>0</v>
      </c>
      <c r="L26" s="371"/>
      <c r="T26" s="70" t="str">
        <f>IFERROR(VLOOKUP(A26,VLOOKUPS!$A$3:$D$31,2,0),"Ander")</f>
        <v>Ander</v>
      </c>
      <c r="U26" s="71">
        <f t="shared" si="3"/>
        <v>0</v>
      </c>
      <c r="V26" s="71">
        <f t="shared" si="4"/>
        <v>0</v>
      </c>
    </row>
    <row r="27" spans="1:22" s="77" customFormat="1" x14ac:dyDescent="0.25">
      <c r="A27" s="9"/>
      <c r="B27" s="10"/>
      <c r="C27" s="21"/>
      <c r="D27" s="46">
        <f t="shared" si="5"/>
        <v>0</v>
      </c>
      <c r="E27" s="12"/>
      <c r="F27" s="47">
        <f t="shared" si="6"/>
        <v>0</v>
      </c>
      <c r="G27" s="374"/>
      <c r="H27" s="13"/>
      <c r="I27" s="48">
        <f>+IFERROR(ROUNDUP(D27/H27,0),0)</f>
        <v>0</v>
      </c>
      <c r="J27" s="47">
        <f t="shared" si="8"/>
        <v>0</v>
      </c>
      <c r="K27" s="47">
        <f t="shared" si="9"/>
        <v>0</v>
      </c>
      <c r="L27" s="371"/>
      <c r="T27" s="70" t="str">
        <f>IFERROR(VLOOKUP(A27,VLOOKUPS!$A$3:$D$31,2,0),"Ander")</f>
        <v>Ander</v>
      </c>
      <c r="U27" s="71">
        <f t="shared" si="3"/>
        <v>0</v>
      </c>
      <c r="V27" s="71">
        <f t="shared" si="4"/>
        <v>0</v>
      </c>
    </row>
    <row r="28" spans="1:22" s="77" customFormat="1" x14ac:dyDescent="0.25">
      <c r="A28" s="9"/>
      <c r="B28" s="10"/>
      <c r="C28" s="21"/>
      <c r="D28" s="46">
        <f t="shared" si="5"/>
        <v>0</v>
      </c>
      <c r="E28" s="12"/>
      <c r="F28" s="47">
        <f t="shared" si="6"/>
        <v>0</v>
      </c>
      <c r="G28" s="374"/>
      <c r="H28" s="13"/>
      <c r="I28" s="48">
        <f t="shared" ref="I28:I29" si="10">+IFERROR(ROUNDUP(D28/H28,0),0)</f>
        <v>0</v>
      </c>
      <c r="J28" s="47">
        <f t="shared" si="8"/>
        <v>0</v>
      </c>
      <c r="K28" s="47">
        <f t="shared" si="9"/>
        <v>0</v>
      </c>
      <c r="L28" s="371"/>
      <c r="T28" s="70" t="str">
        <f>IFERROR(VLOOKUP(A28,VLOOKUPS!$A$3:$D$31,2,0),"Ander")</f>
        <v>Ander</v>
      </c>
      <c r="U28" s="71">
        <f t="shared" si="3"/>
        <v>0</v>
      </c>
      <c r="V28" s="71">
        <f t="shared" si="4"/>
        <v>0</v>
      </c>
    </row>
    <row r="29" spans="1:22" s="77" customFormat="1" ht="15.75" thickBot="1" x14ac:dyDescent="0.3">
      <c r="A29" s="14"/>
      <c r="B29" s="15"/>
      <c r="C29" s="22"/>
      <c r="D29" s="49">
        <f t="shared" si="5"/>
        <v>0</v>
      </c>
      <c r="E29" s="17"/>
      <c r="F29" s="50">
        <f t="shared" si="6"/>
        <v>0</v>
      </c>
      <c r="G29" s="375"/>
      <c r="H29" s="18"/>
      <c r="I29" s="51">
        <f t="shared" si="10"/>
        <v>0</v>
      </c>
      <c r="J29" s="50">
        <f t="shared" si="8"/>
        <v>0</v>
      </c>
      <c r="K29" s="50">
        <f t="shared" si="9"/>
        <v>0</v>
      </c>
      <c r="L29" s="372"/>
      <c r="T29" s="70" t="str">
        <f>IFERROR(VLOOKUP(A29,VLOOKUPS!$A$3:$D$31,2,0),"Ander")</f>
        <v>Ander</v>
      </c>
      <c r="U29" s="71">
        <f t="shared" si="3"/>
        <v>0</v>
      </c>
      <c r="V29" s="71">
        <f t="shared" si="4"/>
        <v>0</v>
      </c>
    </row>
    <row r="30" spans="1:22" s="77" customFormat="1" ht="15.75" thickBot="1" x14ac:dyDescent="0.3">
      <c r="A30" s="101"/>
      <c r="B30" s="109"/>
      <c r="C30" s="109"/>
      <c r="E30" s="102"/>
      <c r="F30" s="101"/>
      <c r="G30" s="109"/>
      <c r="H30" s="109"/>
      <c r="J30" s="100"/>
      <c r="K30" s="100"/>
      <c r="L30" s="110"/>
      <c r="T30" s="27"/>
      <c r="U30" s="72">
        <f>SUM(U24:U29)</f>
        <v>0</v>
      </c>
      <c r="V30" s="72">
        <f>SUM(V24:V29)</f>
        <v>8500</v>
      </c>
    </row>
    <row r="31" spans="1:22" ht="18.75" thickTop="1" thickBot="1" x14ac:dyDescent="0.35">
      <c r="A31" s="415" t="s">
        <v>37</v>
      </c>
      <c r="B31" s="416"/>
      <c r="C31" s="416"/>
      <c r="D31" s="416"/>
      <c r="E31" s="416"/>
      <c r="F31" s="416"/>
      <c r="G31" s="416"/>
      <c r="H31" s="416"/>
      <c r="I31" s="416"/>
      <c r="J31" s="416"/>
      <c r="K31" s="416"/>
      <c r="L31" s="417"/>
    </row>
    <row r="32" spans="1:22" ht="33" customHeight="1" thickBot="1" x14ac:dyDescent="0.3">
      <c r="A32" s="37" t="s">
        <v>1</v>
      </c>
      <c r="B32" s="38" t="s">
        <v>62</v>
      </c>
      <c r="C32" s="39" t="s">
        <v>2</v>
      </c>
      <c r="D32" s="40" t="s">
        <v>93</v>
      </c>
      <c r="E32" s="39" t="s">
        <v>61</v>
      </c>
      <c r="F32" s="40" t="s">
        <v>94</v>
      </c>
      <c r="G32" s="41" t="s">
        <v>60</v>
      </c>
      <c r="H32" s="39" t="s">
        <v>59</v>
      </c>
      <c r="I32" s="103" t="s">
        <v>56</v>
      </c>
      <c r="J32" s="40" t="s">
        <v>57</v>
      </c>
      <c r="K32" s="40" t="s">
        <v>58</v>
      </c>
      <c r="L32" s="42" t="s">
        <v>0</v>
      </c>
    </row>
    <row r="33" spans="1:22" x14ac:dyDescent="0.25">
      <c r="A33" s="4" t="s">
        <v>1</v>
      </c>
      <c r="B33" s="5">
        <v>1.5</v>
      </c>
      <c r="C33" s="6">
        <v>1</v>
      </c>
      <c r="D33" s="43">
        <f>+L18*B33*C33</f>
        <v>0</v>
      </c>
      <c r="E33" s="7">
        <v>48</v>
      </c>
      <c r="F33" s="44">
        <f>+B33*C33*E33</f>
        <v>72</v>
      </c>
      <c r="G33" s="373">
        <f>SUM(F33:F40)</f>
        <v>108.6</v>
      </c>
      <c r="H33" s="8">
        <v>25</v>
      </c>
      <c r="I33" s="45">
        <f t="shared" ref="I33:I40" si="11">+IFERROR(ROUNDUP(D33/H33,0),0)</f>
        <v>0</v>
      </c>
      <c r="J33" s="44">
        <f>+E33*H33</f>
        <v>1200</v>
      </c>
      <c r="K33" s="44">
        <f t="shared" ref="K33:K40" si="12">+I33*J33</f>
        <v>0</v>
      </c>
      <c r="L33" s="370">
        <f>SUM(K33:K40)</f>
        <v>0</v>
      </c>
      <c r="N33" s="66">
        <f>+IFERROR((I33*H33)/B33,0)</f>
        <v>0</v>
      </c>
      <c r="O33" s="67">
        <f>+IFERROR(C33*$L$18,0)</f>
        <v>0</v>
      </c>
      <c r="P33" s="68">
        <f t="shared" ref="P33:P40" si="13">+IFERROR(K33/N33,0)</f>
        <v>0</v>
      </c>
      <c r="Q33" s="68">
        <f t="shared" ref="Q33:Q40" si="14">+IFERROR(K33/O33,0)</f>
        <v>0</v>
      </c>
      <c r="R33" s="69">
        <f t="shared" ref="R33:R40" si="15">+B33*C33*E33</f>
        <v>72</v>
      </c>
      <c r="T33" s="70" t="str">
        <f>IFERROR(VLOOKUP(A33,VLOOKUPS!$A$3:$D$31,2,0),"Ander")</f>
        <v>Ander</v>
      </c>
      <c r="U33" s="71">
        <f t="shared" ref="U33:U40" si="16">IF(T33="Syngenta",K33,0)</f>
        <v>0</v>
      </c>
      <c r="V33" s="71">
        <f t="shared" ref="V33:V40" si="17">IF(T33="Ander",K33,0)</f>
        <v>0</v>
      </c>
    </row>
    <row r="34" spans="1:22" x14ac:dyDescent="0.25">
      <c r="A34" s="9" t="s">
        <v>1</v>
      </c>
      <c r="B34" s="10">
        <v>1.5</v>
      </c>
      <c r="C34" s="11">
        <v>1</v>
      </c>
      <c r="D34" s="46">
        <f>+L18*B34*C34</f>
        <v>0</v>
      </c>
      <c r="E34" s="12">
        <v>11</v>
      </c>
      <c r="F34" s="47">
        <f t="shared" ref="F34:F40" si="18">+B34*C34*E34</f>
        <v>16.5</v>
      </c>
      <c r="G34" s="374"/>
      <c r="H34" s="13">
        <v>20</v>
      </c>
      <c r="I34" s="48">
        <f t="shared" si="11"/>
        <v>0</v>
      </c>
      <c r="J34" s="47">
        <f>+E34*H34</f>
        <v>220</v>
      </c>
      <c r="K34" s="47">
        <f t="shared" si="12"/>
        <v>0</v>
      </c>
      <c r="L34" s="371"/>
      <c r="N34" s="66">
        <f t="shared" ref="N34:N71" si="19">+IFERROR((I34*H34)/B34,0)</f>
        <v>0</v>
      </c>
      <c r="O34" s="67">
        <f t="shared" ref="O34:O71" si="20">+IFERROR(C34*$L$18,0)</f>
        <v>0</v>
      </c>
      <c r="P34" s="68">
        <f t="shared" si="13"/>
        <v>0</v>
      </c>
      <c r="Q34" s="68">
        <f t="shared" si="14"/>
        <v>0</v>
      </c>
      <c r="R34" s="69">
        <f t="shared" si="15"/>
        <v>16.5</v>
      </c>
      <c r="T34" s="70" t="str">
        <f>IFERROR(VLOOKUP(A34,VLOOKUPS!$A$3:$D$31,2,0),"Ander")</f>
        <v>Ander</v>
      </c>
      <c r="U34" s="71">
        <f t="shared" si="16"/>
        <v>0</v>
      </c>
      <c r="V34" s="71">
        <f t="shared" si="17"/>
        <v>0</v>
      </c>
    </row>
    <row r="35" spans="1:22" x14ac:dyDescent="0.25">
      <c r="A35" s="9" t="s">
        <v>1</v>
      </c>
      <c r="B35" s="10">
        <v>0.3</v>
      </c>
      <c r="C35" s="11">
        <v>1</v>
      </c>
      <c r="D35" s="46">
        <f>+L18*B35*C35</f>
        <v>0</v>
      </c>
      <c r="E35" s="12">
        <v>67</v>
      </c>
      <c r="F35" s="47">
        <f t="shared" si="18"/>
        <v>20.099999999999998</v>
      </c>
      <c r="G35" s="374"/>
      <c r="H35" s="13">
        <v>20</v>
      </c>
      <c r="I35" s="48">
        <f t="shared" si="11"/>
        <v>0</v>
      </c>
      <c r="J35" s="47">
        <f>+E35*H35</f>
        <v>1340</v>
      </c>
      <c r="K35" s="47">
        <f t="shared" si="12"/>
        <v>0</v>
      </c>
      <c r="L35" s="371"/>
      <c r="N35" s="66">
        <f t="shared" si="19"/>
        <v>0</v>
      </c>
      <c r="O35" s="67">
        <f t="shared" si="20"/>
        <v>0</v>
      </c>
      <c r="P35" s="68">
        <f t="shared" si="13"/>
        <v>0</v>
      </c>
      <c r="Q35" s="68">
        <f t="shared" si="14"/>
        <v>0</v>
      </c>
      <c r="R35" s="69">
        <f t="shared" si="15"/>
        <v>20.099999999999998</v>
      </c>
      <c r="T35" s="70" t="str">
        <f>IFERROR(VLOOKUP(A35,VLOOKUPS!$A$3:$D$31,2,0),"Ander")</f>
        <v>Ander</v>
      </c>
      <c r="U35" s="71">
        <f t="shared" si="16"/>
        <v>0</v>
      </c>
      <c r="V35" s="71">
        <f t="shared" si="17"/>
        <v>0</v>
      </c>
    </row>
    <row r="36" spans="1:22" x14ac:dyDescent="0.25">
      <c r="A36" s="9"/>
      <c r="B36" s="10"/>
      <c r="C36" s="11"/>
      <c r="D36" s="46">
        <f t="shared" ref="D36:D37" si="21">+L19*B36*C36</f>
        <v>0</v>
      </c>
      <c r="E36" s="12"/>
      <c r="F36" s="47">
        <f t="shared" si="18"/>
        <v>0</v>
      </c>
      <c r="G36" s="374"/>
      <c r="H36" s="13"/>
      <c r="I36" s="48">
        <f t="shared" si="11"/>
        <v>0</v>
      </c>
      <c r="J36" s="47">
        <f t="shared" ref="J36:J38" si="22">+E36*H36</f>
        <v>0</v>
      </c>
      <c r="K36" s="47">
        <f t="shared" si="12"/>
        <v>0</v>
      </c>
      <c r="L36" s="371"/>
      <c r="N36" s="66">
        <f t="shared" si="19"/>
        <v>0</v>
      </c>
      <c r="O36" s="67">
        <f t="shared" si="20"/>
        <v>0</v>
      </c>
      <c r="P36" s="68">
        <f t="shared" si="13"/>
        <v>0</v>
      </c>
      <c r="Q36" s="68">
        <f t="shared" si="14"/>
        <v>0</v>
      </c>
      <c r="R36" s="69">
        <f t="shared" si="15"/>
        <v>0</v>
      </c>
      <c r="T36" s="70" t="str">
        <f>IFERROR(VLOOKUP(A36,VLOOKUPS!$A$3:$D$31,2,0),"Ander")</f>
        <v>Ander</v>
      </c>
      <c r="U36" s="71">
        <f t="shared" si="16"/>
        <v>0</v>
      </c>
      <c r="V36" s="71">
        <f t="shared" si="17"/>
        <v>0</v>
      </c>
    </row>
    <row r="37" spans="1:22" x14ac:dyDescent="0.25">
      <c r="A37" s="9"/>
      <c r="B37" s="10"/>
      <c r="C37" s="11"/>
      <c r="D37" s="46">
        <f t="shared" si="21"/>
        <v>0</v>
      </c>
      <c r="E37" s="12"/>
      <c r="F37" s="47">
        <f t="shared" si="18"/>
        <v>0</v>
      </c>
      <c r="G37" s="374"/>
      <c r="H37" s="13"/>
      <c r="I37" s="48">
        <f t="shared" si="11"/>
        <v>0</v>
      </c>
      <c r="J37" s="47">
        <f t="shared" si="22"/>
        <v>0</v>
      </c>
      <c r="K37" s="47">
        <f t="shared" si="12"/>
        <v>0</v>
      </c>
      <c r="L37" s="371"/>
      <c r="N37" s="66">
        <f t="shared" si="19"/>
        <v>0</v>
      </c>
      <c r="O37" s="67">
        <f t="shared" si="20"/>
        <v>0</v>
      </c>
      <c r="P37" s="68">
        <f t="shared" si="13"/>
        <v>0</v>
      </c>
      <c r="Q37" s="68">
        <f t="shared" si="14"/>
        <v>0</v>
      </c>
      <c r="R37" s="69">
        <f t="shared" si="15"/>
        <v>0</v>
      </c>
      <c r="T37" s="70" t="str">
        <f>IFERROR(VLOOKUP(A37,VLOOKUPS!$A$3:$D$31,2,0),"Ander")</f>
        <v>Ander</v>
      </c>
      <c r="U37" s="71">
        <f t="shared" si="16"/>
        <v>0</v>
      </c>
      <c r="V37" s="71">
        <f t="shared" si="17"/>
        <v>0</v>
      </c>
    </row>
    <row r="38" spans="1:22" x14ac:dyDescent="0.25">
      <c r="A38" s="9"/>
      <c r="B38" s="10"/>
      <c r="C38" s="11"/>
      <c r="D38" s="46">
        <f>+L18*B38*C38</f>
        <v>0</v>
      </c>
      <c r="E38" s="12"/>
      <c r="F38" s="47">
        <f t="shared" si="18"/>
        <v>0</v>
      </c>
      <c r="G38" s="374"/>
      <c r="H38" s="13"/>
      <c r="I38" s="48">
        <f t="shared" si="11"/>
        <v>0</v>
      </c>
      <c r="J38" s="47">
        <f t="shared" si="22"/>
        <v>0</v>
      </c>
      <c r="K38" s="47">
        <f t="shared" si="12"/>
        <v>0</v>
      </c>
      <c r="L38" s="371"/>
      <c r="N38" s="66">
        <f t="shared" si="19"/>
        <v>0</v>
      </c>
      <c r="O38" s="67">
        <f t="shared" si="20"/>
        <v>0</v>
      </c>
      <c r="P38" s="68">
        <f t="shared" si="13"/>
        <v>0</v>
      </c>
      <c r="Q38" s="68">
        <f t="shared" si="14"/>
        <v>0</v>
      </c>
      <c r="R38" s="69">
        <f t="shared" si="15"/>
        <v>0</v>
      </c>
      <c r="T38" s="70" t="str">
        <f>IFERROR(VLOOKUP(A38,VLOOKUPS!$A$3:$D$31,2,0),"Ander")</f>
        <v>Ander</v>
      </c>
      <c r="U38" s="71">
        <f t="shared" si="16"/>
        <v>0</v>
      </c>
      <c r="V38" s="71">
        <f t="shared" si="17"/>
        <v>0</v>
      </c>
    </row>
    <row r="39" spans="1:22" x14ac:dyDescent="0.25">
      <c r="A39" s="9"/>
      <c r="B39" s="10"/>
      <c r="C39" s="11"/>
      <c r="D39" s="46">
        <f>+L18*B39*C39</f>
        <v>0</v>
      </c>
      <c r="E39" s="12"/>
      <c r="F39" s="47">
        <f t="shared" si="18"/>
        <v>0</v>
      </c>
      <c r="G39" s="374"/>
      <c r="H39" s="13"/>
      <c r="I39" s="48">
        <f t="shared" si="11"/>
        <v>0</v>
      </c>
      <c r="J39" s="47">
        <f>+E39*H39</f>
        <v>0</v>
      </c>
      <c r="K39" s="47">
        <f t="shared" si="12"/>
        <v>0</v>
      </c>
      <c r="L39" s="371"/>
      <c r="N39" s="66">
        <f t="shared" si="19"/>
        <v>0</v>
      </c>
      <c r="O39" s="67">
        <f t="shared" si="20"/>
        <v>0</v>
      </c>
      <c r="P39" s="68">
        <f t="shared" si="13"/>
        <v>0</v>
      </c>
      <c r="Q39" s="68">
        <f t="shared" si="14"/>
        <v>0</v>
      </c>
      <c r="R39" s="69">
        <f t="shared" si="15"/>
        <v>0</v>
      </c>
      <c r="T39" s="70" t="str">
        <f>IFERROR(VLOOKUP(A39,VLOOKUPS!$A$3:$D$31,2,0),"Ander")</f>
        <v>Ander</v>
      </c>
      <c r="U39" s="71">
        <f t="shared" si="16"/>
        <v>0</v>
      </c>
      <c r="V39" s="71">
        <f t="shared" si="17"/>
        <v>0</v>
      </c>
    </row>
    <row r="40" spans="1:22" ht="15.75" thickBot="1" x14ac:dyDescent="0.3">
      <c r="A40" s="14"/>
      <c r="B40" s="15"/>
      <c r="C40" s="16"/>
      <c r="D40" s="49">
        <f>+L18*B40*C40</f>
        <v>0</v>
      </c>
      <c r="E40" s="17"/>
      <c r="F40" s="50">
        <f t="shared" si="18"/>
        <v>0</v>
      </c>
      <c r="G40" s="375"/>
      <c r="H40" s="18"/>
      <c r="I40" s="51">
        <f t="shared" si="11"/>
        <v>0</v>
      </c>
      <c r="J40" s="50">
        <f>+E40*H40</f>
        <v>0</v>
      </c>
      <c r="K40" s="50">
        <f t="shared" si="12"/>
        <v>0</v>
      </c>
      <c r="L40" s="372"/>
      <c r="N40" s="66">
        <f t="shared" si="19"/>
        <v>0</v>
      </c>
      <c r="O40" s="67">
        <f t="shared" si="20"/>
        <v>0</v>
      </c>
      <c r="P40" s="68">
        <f t="shared" si="13"/>
        <v>0</v>
      </c>
      <c r="Q40" s="68">
        <f t="shared" si="14"/>
        <v>0</v>
      </c>
      <c r="R40" s="69">
        <f t="shared" si="15"/>
        <v>0</v>
      </c>
      <c r="T40" s="70" t="str">
        <f>IFERROR(VLOOKUP(A40,VLOOKUPS!$A$3:$D$31,2,0),"Ander")</f>
        <v>Ander</v>
      </c>
      <c r="U40" s="71">
        <f t="shared" si="16"/>
        <v>0</v>
      </c>
      <c r="V40" s="71">
        <f t="shared" si="17"/>
        <v>0</v>
      </c>
    </row>
    <row r="41" spans="1:22" ht="15.75" thickBot="1" x14ac:dyDescent="0.3">
      <c r="N41" s="66"/>
      <c r="O41" s="67"/>
      <c r="P41" s="68"/>
      <c r="Q41" s="68"/>
      <c r="R41" s="69"/>
      <c r="U41" s="72">
        <f>SUM(U33:U40)</f>
        <v>0</v>
      </c>
      <c r="V41" s="72">
        <f>SUM(V33:V40)</f>
        <v>0</v>
      </c>
    </row>
    <row r="42" spans="1:22" ht="18.75" thickTop="1" thickBot="1" x14ac:dyDescent="0.3">
      <c r="A42" s="412" t="s">
        <v>107</v>
      </c>
      <c r="B42" s="413"/>
      <c r="C42" s="413"/>
      <c r="D42" s="413"/>
      <c r="E42" s="413"/>
      <c r="F42" s="413"/>
      <c r="G42" s="413"/>
      <c r="H42" s="413"/>
      <c r="I42" s="413"/>
      <c r="J42" s="413"/>
      <c r="K42" s="413"/>
      <c r="L42" s="414"/>
      <c r="N42" s="66"/>
      <c r="O42" s="67"/>
      <c r="P42" s="68"/>
      <c r="Q42" s="68"/>
      <c r="R42" s="69"/>
      <c r="U42" s="71"/>
      <c r="V42" s="71"/>
    </row>
    <row r="43" spans="1:22" ht="43.5" thickBot="1" x14ac:dyDescent="0.3">
      <c r="A43" s="37" t="s">
        <v>1</v>
      </c>
      <c r="B43" s="38" t="s">
        <v>62</v>
      </c>
      <c r="C43" s="39" t="s">
        <v>2</v>
      </c>
      <c r="D43" s="40" t="s">
        <v>93</v>
      </c>
      <c r="E43" s="39" t="s">
        <v>61</v>
      </c>
      <c r="F43" s="40" t="s">
        <v>94</v>
      </c>
      <c r="G43" s="41" t="s">
        <v>60</v>
      </c>
      <c r="H43" s="39" t="s">
        <v>59</v>
      </c>
      <c r="I43" s="103" t="s">
        <v>56</v>
      </c>
      <c r="J43" s="40" t="s">
        <v>57</v>
      </c>
      <c r="K43" s="40" t="s">
        <v>58</v>
      </c>
      <c r="L43" s="42" t="s">
        <v>0</v>
      </c>
      <c r="N43" s="66"/>
      <c r="O43" s="67"/>
      <c r="P43" s="68"/>
      <c r="Q43" s="68"/>
      <c r="R43" s="69"/>
      <c r="U43" s="71"/>
      <c r="V43" s="71"/>
    </row>
    <row r="44" spans="1:22" x14ac:dyDescent="0.25">
      <c r="A44" s="4" t="s">
        <v>1</v>
      </c>
      <c r="B44" s="5">
        <v>1.7</v>
      </c>
      <c r="C44" s="6">
        <v>1</v>
      </c>
      <c r="D44" s="43">
        <f t="shared" ref="D44:D51" si="23">+$L$18*B44*C44</f>
        <v>0</v>
      </c>
      <c r="E44" s="7">
        <v>78</v>
      </c>
      <c r="F44" s="44">
        <f>+B44*C44*E44</f>
        <v>132.6</v>
      </c>
      <c r="G44" s="373">
        <f>SUM(F44:F51)</f>
        <v>337</v>
      </c>
      <c r="H44" s="8">
        <v>20</v>
      </c>
      <c r="I44" s="45">
        <f t="shared" ref="I44:I51" si="24">+IFERROR(ROUNDUP(D44/H44,0),0)</f>
        <v>0</v>
      </c>
      <c r="J44" s="44">
        <f>+E44*H44</f>
        <v>1560</v>
      </c>
      <c r="K44" s="44">
        <f>+I44*J44</f>
        <v>0</v>
      </c>
      <c r="L44" s="370">
        <f>SUM(K44:K51)</f>
        <v>0</v>
      </c>
      <c r="N44" s="66">
        <f t="shared" si="19"/>
        <v>0</v>
      </c>
      <c r="O44" s="67">
        <f t="shared" si="20"/>
        <v>0</v>
      </c>
      <c r="P44" s="68">
        <f t="shared" ref="P44:P51" si="25">+IFERROR(K44/N44,0)</f>
        <v>0</v>
      </c>
      <c r="Q44" s="68">
        <f t="shared" ref="Q44:Q51" si="26">+IFERROR(K44/O44,0)</f>
        <v>0</v>
      </c>
      <c r="R44" s="69">
        <f t="shared" ref="R44:R51" si="27">+B44*C44*E44</f>
        <v>132.6</v>
      </c>
      <c r="T44" s="70" t="str">
        <f>IFERROR(VLOOKUP(A44,VLOOKUPS!$A$3:$D$31,2,0),"Ander")</f>
        <v>Ander</v>
      </c>
      <c r="U44" s="71">
        <f t="shared" ref="U44:U51" si="28">IF(T44="Syngenta",K44,0)</f>
        <v>0</v>
      </c>
      <c r="V44" s="71">
        <f t="shared" ref="V44:V51" si="29">IF(T44="Ander",K44,0)</f>
        <v>0</v>
      </c>
    </row>
    <row r="45" spans="1:22" x14ac:dyDescent="0.25">
      <c r="A45" s="9" t="s">
        <v>1</v>
      </c>
      <c r="B45" s="10">
        <v>7.3</v>
      </c>
      <c r="C45" s="11">
        <f>+C44</f>
        <v>1</v>
      </c>
      <c r="D45" s="46">
        <f t="shared" si="23"/>
        <v>0</v>
      </c>
      <c r="E45" s="12">
        <v>28</v>
      </c>
      <c r="F45" s="47">
        <f t="shared" ref="F45:F51" si="30">+B45*C45*E45</f>
        <v>204.4</v>
      </c>
      <c r="G45" s="374"/>
      <c r="H45" s="13">
        <v>18</v>
      </c>
      <c r="I45" s="48">
        <f t="shared" si="24"/>
        <v>0</v>
      </c>
      <c r="J45" s="47">
        <f t="shared" ref="J45:J51" si="31">+E45*H45</f>
        <v>504</v>
      </c>
      <c r="K45" s="47">
        <f t="shared" ref="K45:K51" si="32">+I45*J45</f>
        <v>0</v>
      </c>
      <c r="L45" s="371"/>
      <c r="N45" s="66">
        <f t="shared" si="19"/>
        <v>0</v>
      </c>
      <c r="O45" s="67">
        <f t="shared" si="20"/>
        <v>0</v>
      </c>
      <c r="P45" s="68">
        <f t="shared" si="25"/>
        <v>0</v>
      </c>
      <c r="Q45" s="68">
        <f t="shared" si="26"/>
        <v>0</v>
      </c>
      <c r="R45" s="69">
        <f t="shared" si="27"/>
        <v>204.4</v>
      </c>
      <c r="T45" s="70" t="str">
        <f>IFERROR(VLOOKUP(A45,VLOOKUPS!$A$3:$D$31,2,0),"Ander")</f>
        <v>Ander</v>
      </c>
      <c r="U45" s="71">
        <f t="shared" si="28"/>
        <v>0</v>
      </c>
      <c r="V45" s="71">
        <f t="shared" si="29"/>
        <v>0</v>
      </c>
    </row>
    <row r="46" spans="1:22" x14ac:dyDescent="0.25">
      <c r="A46" s="9"/>
      <c r="B46" s="10"/>
      <c r="C46" s="11"/>
      <c r="D46" s="46">
        <f t="shared" si="23"/>
        <v>0</v>
      </c>
      <c r="E46" s="12"/>
      <c r="F46" s="47">
        <f t="shared" si="30"/>
        <v>0</v>
      </c>
      <c r="G46" s="374"/>
      <c r="H46" s="13"/>
      <c r="I46" s="48">
        <f t="shared" si="24"/>
        <v>0</v>
      </c>
      <c r="J46" s="47">
        <f t="shared" si="31"/>
        <v>0</v>
      </c>
      <c r="K46" s="47">
        <f t="shared" si="32"/>
        <v>0</v>
      </c>
      <c r="L46" s="371"/>
      <c r="N46" s="66">
        <f t="shared" si="19"/>
        <v>0</v>
      </c>
      <c r="O46" s="67">
        <f t="shared" si="20"/>
        <v>0</v>
      </c>
      <c r="P46" s="68">
        <f t="shared" si="25"/>
        <v>0</v>
      </c>
      <c r="Q46" s="68">
        <f t="shared" si="26"/>
        <v>0</v>
      </c>
      <c r="R46" s="69">
        <f t="shared" si="27"/>
        <v>0</v>
      </c>
      <c r="T46" s="70" t="str">
        <f>IFERROR(VLOOKUP(A46,VLOOKUPS!$A$3:$D$31,2,0),"Ander")</f>
        <v>Ander</v>
      </c>
      <c r="U46" s="71">
        <f t="shared" si="28"/>
        <v>0</v>
      </c>
      <c r="V46" s="71">
        <f t="shared" si="29"/>
        <v>0</v>
      </c>
    </row>
    <row r="47" spans="1:22" x14ac:dyDescent="0.25">
      <c r="A47" s="9"/>
      <c r="B47" s="10"/>
      <c r="C47" s="11"/>
      <c r="D47" s="46">
        <f t="shared" si="23"/>
        <v>0</v>
      </c>
      <c r="E47" s="12"/>
      <c r="F47" s="47">
        <f t="shared" si="30"/>
        <v>0</v>
      </c>
      <c r="G47" s="374"/>
      <c r="H47" s="13"/>
      <c r="I47" s="48">
        <f t="shared" si="24"/>
        <v>0</v>
      </c>
      <c r="J47" s="47">
        <f t="shared" si="31"/>
        <v>0</v>
      </c>
      <c r="K47" s="47">
        <f t="shared" si="32"/>
        <v>0</v>
      </c>
      <c r="L47" s="371"/>
      <c r="N47" s="66"/>
      <c r="O47" s="67"/>
      <c r="P47" s="68"/>
      <c r="Q47" s="68"/>
      <c r="R47" s="69"/>
      <c r="T47" s="70" t="str">
        <f>IFERROR(VLOOKUP(A47,VLOOKUPS!$A$3:$D$31,2,0),"Ander")</f>
        <v>Ander</v>
      </c>
      <c r="U47" s="71">
        <f t="shared" si="28"/>
        <v>0</v>
      </c>
      <c r="V47" s="71">
        <f t="shared" si="29"/>
        <v>0</v>
      </c>
    </row>
    <row r="48" spans="1:22" x14ac:dyDescent="0.25">
      <c r="A48" s="9"/>
      <c r="B48" s="10"/>
      <c r="C48" s="11"/>
      <c r="D48" s="46">
        <f t="shared" si="23"/>
        <v>0</v>
      </c>
      <c r="E48" s="12"/>
      <c r="F48" s="47">
        <f t="shared" si="30"/>
        <v>0</v>
      </c>
      <c r="G48" s="374"/>
      <c r="H48" s="13"/>
      <c r="I48" s="48">
        <f t="shared" si="24"/>
        <v>0</v>
      </c>
      <c r="J48" s="47">
        <f t="shared" si="31"/>
        <v>0</v>
      </c>
      <c r="K48" s="47">
        <f t="shared" si="32"/>
        <v>0</v>
      </c>
      <c r="L48" s="371"/>
      <c r="N48" s="66"/>
      <c r="O48" s="67"/>
      <c r="P48" s="68"/>
      <c r="Q48" s="68"/>
      <c r="R48" s="69"/>
      <c r="T48" s="70" t="str">
        <f>IFERROR(VLOOKUP(A48,VLOOKUPS!$A$3:$D$31,2,0),"Ander")</f>
        <v>Ander</v>
      </c>
      <c r="U48" s="71">
        <f t="shared" si="28"/>
        <v>0</v>
      </c>
      <c r="V48" s="71">
        <f t="shared" si="29"/>
        <v>0</v>
      </c>
    </row>
    <row r="49" spans="1:22" x14ac:dyDescent="0.25">
      <c r="A49" s="9"/>
      <c r="B49" s="10"/>
      <c r="C49" s="11"/>
      <c r="D49" s="46">
        <f t="shared" si="23"/>
        <v>0</v>
      </c>
      <c r="E49" s="12"/>
      <c r="F49" s="47">
        <f t="shared" si="30"/>
        <v>0</v>
      </c>
      <c r="G49" s="374"/>
      <c r="H49" s="13"/>
      <c r="I49" s="48">
        <f t="shared" si="24"/>
        <v>0</v>
      </c>
      <c r="J49" s="47">
        <f t="shared" si="31"/>
        <v>0</v>
      </c>
      <c r="K49" s="47">
        <f t="shared" si="32"/>
        <v>0</v>
      </c>
      <c r="L49" s="371"/>
      <c r="N49" s="66">
        <f t="shared" si="19"/>
        <v>0</v>
      </c>
      <c r="O49" s="67">
        <f t="shared" si="20"/>
        <v>0</v>
      </c>
      <c r="P49" s="68">
        <f t="shared" si="25"/>
        <v>0</v>
      </c>
      <c r="Q49" s="68">
        <f t="shared" si="26"/>
        <v>0</v>
      </c>
      <c r="R49" s="69">
        <f t="shared" si="27"/>
        <v>0</v>
      </c>
      <c r="T49" s="70" t="str">
        <f>IFERROR(VLOOKUP(A49,VLOOKUPS!$A$3:$D$31,2,0),"Ander")</f>
        <v>Ander</v>
      </c>
      <c r="U49" s="71">
        <f t="shared" si="28"/>
        <v>0</v>
      </c>
      <c r="V49" s="71">
        <f t="shared" si="29"/>
        <v>0</v>
      </c>
    </row>
    <row r="50" spans="1:22" x14ac:dyDescent="0.25">
      <c r="A50" s="9"/>
      <c r="B50" s="10"/>
      <c r="C50" s="11"/>
      <c r="D50" s="46">
        <f t="shared" si="23"/>
        <v>0</v>
      </c>
      <c r="E50" s="12"/>
      <c r="F50" s="47">
        <f t="shared" si="30"/>
        <v>0</v>
      </c>
      <c r="G50" s="374"/>
      <c r="H50" s="13"/>
      <c r="I50" s="48">
        <f t="shared" si="24"/>
        <v>0</v>
      </c>
      <c r="J50" s="47">
        <f t="shared" si="31"/>
        <v>0</v>
      </c>
      <c r="K50" s="47">
        <f t="shared" si="32"/>
        <v>0</v>
      </c>
      <c r="L50" s="371"/>
      <c r="N50" s="66">
        <f t="shared" si="19"/>
        <v>0</v>
      </c>
      <c r="O50" s="67">
        <f t="shared" si="20"/>
        <v>0</v>
      </c>
      <c r="P50" s="68">
        <f t="shared" si="25"/>
        <v>0</v>
      </c>
      <c r="Q50" s="68">
        <f t="shared" si="26"/>
        <v>0</v>
      </c>
      <c r="R50" s="69">
        <f t="shared" si="27"/>
        <v>0</v>
      </c>
      <c r="T50" s="70" t="str">
        <f>IFERROR(VLOOKUP(A50,VLOOKUPS!$A$3:$D$31,2,0),"Ander")</f>
        <v>Ander</v>
      </c>
      <c r="U50" s="71">
        <f t="shared" si="28"/>
        <v>0</v>
      </c>
      <c r="V50" s="71">
        <f t="shared" si="29"/>
        <v>0</v>
      </c>
    </row>
    <row r="51" spans="1:22" ht="15.75" thickBot="1" x14ac:dyDescent="0.3">
      <c r="A51" s="14"/>
      <c r="B51" s="15"/>
      <c r="C51" s="16"/>
      <c r="D51" s="49">
        <f t="shared" si="23"/>
        <v>0</v>
      </c>
      <c r="E51" s="17"/>
      <c r="F51" s="50">
        <f t="shared" si="30"/>
        <v>0</v>
      </c>
      <c r="G51" s="375"/>
      <c r="H51" s="18"/>
      <c r="I51" s="51">
        <f t="shared" si="24"/>
        <v>0</v>
      </c>
      <c r="J51" s="50">
        <f t="shared" si="31"/>
        <v>0</v>
      </c>
      <c r="K51" s="50">
        <f t="shared" si="32"/>
        <v>0</v>
      </c>
      <c r="L51" s="372"/>
      <c r="N51" s="66">
        <f t="shared" si="19"/>
        <v>0</v>
      </c>
      <c r="O51" s="67">
        <f t="shared" si="20"/>
        <v>0</v>
      </c>
      <c r="P51" s="68">
        <f t="shared" si="25"/>
        <v>0</v>
      </c>
      <c r="Q51" s="68">
        <f t="shared" si="26"/>
        <v>0</v>
      </c>
      <c r="R51" s="69">
        <f t="shared" si="27"/>
        <v>0</v>
      </c>
      <c r="T51" s="70" t="str">
        <f>IFERROR(VLOOKUP(A51,VLOOKUPS!$A$3:$D$31,2,0),"Ander")</f>
        <v>Ander</v>
      </c>
      <c r="U51" s="71">
        <f t="shared" si="28"/>
        <v>0</v>
      </c>
      <c r="V51" s="71">
        <f t="shared" si="29"/>
        <v>0</v>
      </c>
    </row>
    <row r="52" spans="1:22" ht="15.75" thickBot="1" x14ac:dyDescent="0.3">
      <c r="N52" s="66"/>
      <c r="O52" s="67"/>
      <c r="P52" s="68"/>
      <c r="Q52" s="68"/>
      <c r="R52" s="69"/>
      <c r="U52" s="72">
        <f>SUM(U44:U51)</f>
        <v>0</v>
      </c>
      <c r="V52" s="72">
        <f>SUM(V44:V51)</f>
        <v>0</v>
      </c>
    </row>
    <row r="53" spans="1:22" ht="18.75" thickTop="1" thickBot="1" x14ac:dyDescent="0.3">
      <c r="A53" s="412" t="s">
        <v>64</v>
      </c>
      <c r="B53" s="413"/>
      <c r="C53" s="413"/>
      <c r="D53" s="413"/>
      <c r="E53" s="413"/>
      <c r="F53" s="413"/>
      <c r="G53" s="413"/>
      <c r="H53" s="413"/>
      <c r="I53" s="413"/>
      <c r="J53" s="413"/>
      <c r="K53" s="413"/>
      <c r="L53" s="414"/>
      <c r="N53" s="66"/>
      <c r="O53" s="67"/>
      <c r="P53" s="68"/>
      <c r="Q53" s="68"/>
      <c r="R53" s="69"/>
      <c r="U53" s="71"/>
      <c r="V53" s="71"/>
    </row>
    <row r="54" spans="1:22" ht="43.5" thickBot="1" x14ac:dyDescent="0.3">
      <c r="A54" s="37" t="s">
        <v>1</v>
      </c>
      <c r="B54" s="38" t="s">
        <v>62</v>
      </c>
      <c r="C54" s="39" t="s">
        <v>2</v>
      </c>
      <c r="D54" s="40" t="s">
        <v>93</v>
      </c>
      <c r="E54" s="39" t="s">
        <v>61</v>
      </c>
      <c r="F54" s="40" t="s">
        <v>94</v>
      </c>
      <c r="G54" s="41" t="s">
        <v>60</v>
      </c>
      <c r="H54" s="39" t="s">
        <v>59</v>
      </c>
      <c r="I54" s="103" t="s">
        <v>56</v>
      </c>
      <c r="J54" s="40" t="s">
        <v>57</v>
      </c>
      <c r="K54" s="40" t="s">
        <v>58</v>
      </c>
      <c r="L54" s="42" t="s">
        <v>0</v>
      </c>
      <c r="N54" s="66"/>
      <c r="O54" s="67"/>
      <c r="P54" s="68"/>
      <c r="Q54" s="68"/>
      <c r="R54" s="69"/>
      <c r="U54" s="71"/>
      <c r="V54" s="71"/>
    </row>
    <row r="55" spans="1:22" x14ac:dyDescent="0.25">
      <c r="A55" s="4" t="s">
        <v>1</v>
      </c>
      <c r="B55" s="5">
        <v>2</v>
      </c>
      <c r="C55" s="6">
        <v>1</v>
      </c>
      <c r="D55" s="43">
        <f>+L18*B55*C55</f>
        <v>0</v>
      </c>
      <c r="E55" s="7">
        <v>69</v>
      </c>
      <c r="F55" s="44">
        <f>+B55*C55*E55</f>
        <v>138</v>
      </c>
      <c r="G55" s="373">
        <f>SUM(F55:F64)</f>
        <v>313.20000000000005</v>
      </c>
      <c r="H55" s="8">
        <v>20</v>
      </c>
      <c r="I55" s="45">
        <f t="shared" ref="I55:I64" si="33">+IFERROR(ROUNDUP(D55/H55,0),0)</f>
        <v>0</v>
      </c>
      <c r="J55" s="44">
        <f>+E55*H55</f>
        <v>1380</v>
      </c>
      <c r="K55" s="44">
        <f>+I55*J55</f>
        <v>0</v>
      </c>
      <c r="L55" s="370">
        <f>SUM(K55:K64)</f>
        <v>0</v>
      </c>
      <c r="N55" s="66">
        <f t="shared" si="19"/>
        <v>0</v>
      </c>
      <c r="O55" s="67">
        <f t="shared" si="20"/>
        <v>0</v>
      </c>
      <c r="P55" s="68">
        <f t="shared" ref="P55:P64" si="34">+IFERROR(K55/N55,0)</f>
        <v>0</v>
      </c>
      <c r="Q55" s="68">
        <f t="shared" ref="Q55:Q64" si="35">+IFERROR(K55/O55,0)</f>
        <v>0</v>
      </c>
      <c r="R55" s="69">
        <f t="shared" ref="R55:R64" si="36">+B55*C55*E55</f>
        <v>138</v>
      </c>
      <c r="T55" s="70" t="str">
        <f>IFERROR(VLOOKUP(A55,VLOOKUPS!$A$3:$D$31,2,0),"Ander")</f>
        <v>Ander</v>
      </c>
      <c r="U55" s="71">
        <f t="shared" ref="U55:U64" si="37">IF(T55="Syngenta",K55,0)</f>
        <v>0</v>
      </c>
      <c r="V55" s="71">
        <f t="shared" ref="V55:V64" si="38">IF(T55="Ander",K55,0)</f>
        <v>0</v>
      </c>
    </row>
    <row r="56" spans="1:22" x14ac:dyDescent="0.25">
      <c r="A56" s="9" t="s">
        <v>1</v>
      </c>
      <c r="B56" s="10">
        <v>0.6</v>
      </c>
      <c r="C56" s="11">
        <f>+C55</f>
        <v>1</v>
      </c>
      <c r="D56" s="46">
        <f>+L18*B56*C56</f>
        <v>0</v>
      </c>
      <c r="E56" s="12">
        <v>148</v>
      </c>
      <c r="F56" s="47">
        <f t="shared" ref="F56:F64" si="39">+B56*C56*E56</f>
        <v>88.8</v>
      </c>
      <c r="G56" s="374"/>
      <c r="H56" s="13">
        <v>20</v>
      </c>
      <c r="I56" s="48">
        <f t="shared" si="33"/>
        <v>0</v>
      </c>
      <c r="J56" s="47">
        <f t="shared" ref="J56:J64" si="40">+E56*H56</f>
        <v>2960</v>
      </c>
      <c r="K56" s="47">
        <f t="shared" ref="K56:K64" si="41">+I56*J56</f>
        <v>0</v>
      </c>
      <c r="L56" s="371"/>
      <c r="N56" s="66">
        <f t="shared" si="19"/>
        <v>0</v>
      </c>
      <c r="O56" s="67">
        <f t="shared" si="20"/>
        <v>0</v>
      </c>
      <c r="P56" s="68">
        <f t="shared" si="34"/>
        <v>0</v>
      </c>
      <c r="Q56" s="68">
        <f t="shared" si="35"/>
        <v>0</v>
      </c>
      <c r="R56" s="69">
        <f t="shared" si="36"/>
        <v>88.8</v>
      </c>
      <c r="T56" s="70" t="str">
        <f>IFERROR(VLOOKUP(A56,VLOOKUPS!$A$3:$D$31,2,0),"Ander")</f>
        <v>Ander</v>
      </c>
      <c r="U56" s="71">
        <f t="shared" si="37"/>
        <v>0</v>
      </c>
      <c r="V56" s="71">
        <f t="shared" si="38"/>
        <v>0</v>
      </c>
    </row>
    <row r="57" spans="1:22" x14ac:dyDescent="0.25">
      <c r="A57" s="9" t="s">
        <v>1</v>
      </c>
      <c r="B57" s="10">
        <v>1.8</v>
      </c>
      <c r="C57" s="11">
        <v>1</v>
      </c>
      <c r="D57" s="46">
        <f>L18*B57*C57</f>
        <v>0</v>
      </c>
      <c r="E57" s="12">
        <v>48</v>
      </c>
      <c r="F57" s="47">
        <f t="shared" si="39"/>
        <v>86.4</v>
      </c>
      <c r="G57" s="374"/>
      <c r="H57" s="13">
        <v>25</v>
      </c>
      <c r="I57" s="48">
        <f t="shared" si="33"/>
        <v>0</v>
      </c>
      <c r="J57" s="47">
        <f t="shared" si="40"/>
        <v>1200</v>
      </c>
      <c r="K57" s="47">
        <f t="shared" si="41"/>
        <v>0</v>
      </c>
      <c r="L57" s="371"/>
      <c r="N57" s="66">
        <f t="shared" si="19"/>
        <v>0</v>
      </c>
      <c r="O57" s="67">
        <f t="shared" si="20"/>
        <v>0</v>
      </c>
      <c r="P57" s="68">
        <f t="shared" si="34"/>
        <v>0</v>
      </c>
      <c r="Q57" s="68">
        <f t="shared" si="35"/>
        <v>0</v>
      </c>
      <c r="R57" s="69">
        <f t="shared" si="36"/>
        <v>86.4</v>
      </c>
      <c r="T57" s="70" t="str">
        <f>IFERROR(VLOOKUP(A57,VLOOKUPS!$A$3:$D$31,2,0),"Ander")</f>
        <v>Ander</v>
      </c>
      <c r="U57" s="71">
        <f t="shared" si="37"/>
        <v>0</v>
      </c>
      <c r="V57" s="71">
        <f t="shared" si="38"/>
        <v>0</v>
      </c>
    </row>
    <row r="58" spans="1:22" x14ac:dyDescent="0.25">
      <c r="A58" s="9"/>
      <c r="B58" s="10"/>
      <c r="C58" s="11"/>
      <c r="D58" s="46">
        <f>L18*B58*C58</f>
        <v>0</v>
      </c>
      <c r="E58" s="12"/>
      <c r="F58" s="47">
        <f t="shared" si="39"/>
        <v>0</v>
      </c>
      <c r="G58" s="374"/>
      <c r="H58" s="13"/>
      <c r="I58" s="48">
        <f t="shared" si="33"/>
        <v>0</v>
      </c>
      <c r="J58" s="47">
        <f t="shared" si="40"/>
        <v>0</v>
      </c>
      <c r="K58" s="47">
        <f t="shared" si="41"/>
        <v>0</v>
      </c>
      <c r="L58" s="371"/>
      <c r="N58" s="66"/>
      <c r="O58" s="67"/>
      <c r="P58" s="68"/>
      <c r="Q58" s="68"/>
      <c r="R58" s="69"/>
      <c r="T58" s="70" t="str">
        <f>IFERROR(VLOOKUP(A58,VLOOKUPS!$A$3:$D$31,2,0),"Ander")</f>
        <v>Ander</v>
      </c>
      <c r="U58" s="71">
        <f t="shared" si="37"/>
        <v>0</v>
      </c>
      <c r="V58" s="71">
        <f t="shared" si="38"/>
        <v>0</v>
      </c>
    </row>
    <row r="59" spans="1:22" x14ac:dyDescent="0.25">
      <c r="A59" s="9"/>
      <c r="B59" s="10"/>
      <c r="C59" s="11"/>
      <c r="D59" s="46">
        <f>L18*B59*C59</f>
        <v>0</v>
      </c>
      <c r="E59" s="12"/>
      <c r="F59" s="47">
        <f t="shared" si="39"/>
        <v>0</v>
      </c>
      <c r="G59" s="374"/>
      <c r="H59" s="13"/>
      <c r="I59" s="48">
        <f t="shared" si="33"/>
        <v>0</v>
      </c>
      <c r="J59" s="47">
        <f t="shared" si="40"/>
        <v>0</v>
      </c>
      <c r="K59" s="47">
        <f t="shared" si="41"/>
        <v>0</v>
      </c>
      <c r="L59" s="371"/>
      <c r="N59" s="66"/>
      <c r="O59" s="67"/>
      <c r="P59" s="68"/>
      <c r="Q59" s="68"/>
      <c r="R59" s="69"/>
      <c r="T59" s="70" t="str">
        <f>IFERROR(VLOOKUP(A59,VLOOKUPS!$A$3:$D$31,2,0),"Ander")</f>
        <v>Ander</v>
      </c>
      <c r="U59" s="71">
        <f t="shared" si="37"/>
        <v>0</v>
      </c>
      <c r="V59" s="71">
        <f t="shared" si="38"/>
        <v>0</v>
      </c>
    </row>
    <row r="60" spans="1:22" x14ac:dyDescent="0.25">
      <c r="A60" s="9"/>
      <c r="B60" s="10"/>
      <c r="C60" s="11"/>
      <c r="D60" s="46">
        <f t="shared" ref="D60:D61" si="42">L19*B60*C60</f>
        <v>0</v>
      </c>
      <c r="E60" s="12"/>
      <c r="F60" s="47">
        <f t="shared" si="39"/>
        <v>0</v>
      </c>
      <c r="G60" s="374"/>
      <c r="H60" s="13"/>
      <c r="I60" s="48">
        <f t="shared" si="33"/>
        <v>0</v>
      </c>
      <c r="J60" s="47">
        <f t="shared" si="40"/>
        <v>0</v>
      </c>
      <c r="K60" s="47">
        <f t="shared" si="41"/>
        <v>0</v>
      </c>
      <c r="L60" s="371"/>
      <c r="N60" s="66"/>
      <c r="O60" s="67"/>
      <c r="P60" s="68"/>
      <c r="Q60" s="68"/>
      <c r="R60" s="69"/>
      <c r="T60" s="70" t="str">
        <f>IFERROR(VLOOKUP(A60,VLOOKUPS!$A$3:$D$31,2,0),"Ander")</f>
        <v>Ander</v>
      </c>
      <c r="U60" s="71">
        <f t="shared" si="37"/>
        <v>0</v>
      </c>
      <c r="V60" s="71">
        <f t="shared" si="38"/>
        <v>0</v>
      </c>
    </row>
    <row r="61" spans="1:22" x14ac:dyDescent="0.25">
      <c r="A61" s="9"/>
      <c r="B61" s="10"/>
      <c r="C61" s="11"/>
      <c r="D61" s="46">
        <f t="shared" si="42"/>
        <v>0</v>
      </c>
      <c r="E61" s="12"/>
      <c r="F61" s="47">
        <f t="shared" si="39"/>
        <v>0</v>
      </c>
      <c r="G61" s="374"/>
      <c r="H61" s="13"/>
      <c r="I61" s="48">
        <f t="shared" si="33"/>
        <v>0</v>
      </c>
      <c r="J61" s="47">
        <f t="shared" si="40"/>
        <v>0</v>
      </c>
      <c r="K61" s="47">
        <f t="shared" si="41"/>
        <v>0</v>
      </c>
      <c r="L61" s="371"/>
      <c r="N61" s="66"/>
      <c r="O61" s="67"/>
      <c r="P61" s="68"/>
      <c r="Q61" s="68"/>
      <c r="R61" s="69"/>
      <c r="T61" s="70" t="str">
        <f>IFERROR(VLOOKUP(A61,VLOOKUPS!$A$3:$D$31,2,0),"Ander")</f>
        <v>Ander</v>
      </c>
      <c r="U61" s="71">
        <f t="shared" si="37"/>
        <v>0</v>
      </c>
      <c r="V61" s="71">
        <f t="shared" si="38"/>
        <v>0</v>
      </c>
    </row>
    <row r="62" spans="1:22" x14ac:dyDescent="0.25">
      <c r="A62" s="9"/>
      <c r="B62" s="10"/>
      <c r="C62" s="11"/>
      <c r="D62" s="46">
        <f>L18*B62*C62</f>
        <v>0</v>
      </c>
      <c r="E62" s="12"/>
      <c r="F62" s="47">
        <f t="shared" si="39"/>
        <v>0</v>
      </c>
      <c r="G62" s="374"/>
      <c r="H62" s="13"/>
      <c r="I62" s="48">
        <f t="shared" si="33"/>
        <v>0</v>
      </c>
      <c r="J62" s="47">
        <f t="shared" si="40"/>
        <v>0</v>
      </c>
      <c r="K62" s="47">
        <f t="shared" si="41"/>
        <v>0</v>
      </c>
      <c r="L62" s="371"/>
      <c r="N62" s="66">
        <f t="shared" si="19"/>
        <v>0</v>
      </c>
      <c r="O62" s="67">
        <f t="shared" si="20"/>
        <v>0</v>
      </c>
      <c r="P62" s="68">
        <f t="shared" si="34"/>
        <v>0</v>
      </c>
      <c r="Q62" s="68">
        <f t="shared" si="35"/>
        <v>0</v>
      </c>
      <c r="R62" s="69">
        <f t="shared" si="36"/>
        <v>0</v>
      </c>
      <c r="T62" s="70" t="str">
        <f>IFERROR(VLOOKUP(A62,VLOOKUPS!$A$3:$D$31,2,0),"Ander")</f>
        <v>Ander</v>
      </c>
      <c r="U62" s="71">
        <f t="shared" si="37"/>
        <v>0</v>
      </c>
      <c r="V62" s="71">
        <f t="shared" si="38"/>
        <v>0</v>
      </c>
    </row>
    <row r="63" spans="1:22" x14ac:dyDescent="0.25">
      <c r="A63" s="9"/>
      <c r="B63" s="10"/>
      <c r="C63" s="11"/>
      <c r="D63" s="46">
        <f>L18*B63*C63</f>
        <v>0</v>
      </c>
      <c r="E63" s="12"/>
      <c r="F63" s="47">
        <f t="shared" si="39"/>
        <v>0</v>
      </c>
      <c r="G63" s="374"/>
      <c r="H63" s="13"/>
      <c r="I63" s="48">
        <f t="shared" si="33"/>
        <v>0</v>
      </c>
      <c r="J63" s="47">
        <f t="shared" si="40"/>
        <v>0</v>
      </c>
      <c r="K63" s="47">
        <f t="shared" si="41"/>
        <v>0</v>
      </c>
      <c r="L63" s="371"/>
      <c r="N63" s="66">
        <f t="shared" si="19"/>
        <v>0</v>
      </c>
      <c r="O63" s="67">
        <f t="shared" si="20"/>
        <v>0</v>
      </c>
      <c r="P63" s="68">
        <f t="shared" si="34"/>
        <v>0</v>
      </c>
      <c r="Q63" s="68">
        <f t="shared" si="35"/>
        <v>0</v>
      </c>
      <c r="R63" s="69">
        <f t="shared" si="36"/>
        <v>0</v>
      </c>
      <c r="T63" s="70" t="str">
        <f>IFERROR(VLOOKUP(A63,VLOOKUPS!$A$3:$D$31,2,0),"Ander")</f>
        <v>Ander</v>
      </c>
      <c r="U63" s="71">
        <f t="shared" si="37"/>
        <v>0</v>
      </c>
      <c r="V63" s="71">
        <f t="shared" si="38"/>
        <v>0</v>
      </c>
    </row>
    <row r="64" spans="1:22" ht="15.75" thickBot="1" x14ac:dyDescent="0.3">
      <c r="A64" s="14"/>
      <c r="B64" s="15"/>
      <c r="C64" s="16"/>
      <c r="D64" s="49">
        <f>L18*B64*C64</f>
        <v>0</v>
      </c>
      <c r="E64" s="17"/>
      <c r="F64" s="50">
        <f t="shared" si="39"/>
        <v>0</v>
      </c>
      <c r="G64" s="375"/>
      <c r="H64" s="18"/>
      <c r="I64" s="51">
        <f t="shared" si="33"/>
        <v>0</v>
      </c>
      <c r="J64" s="50">
        <f t="shared" si="40"/>
        <v>0</v>
      </c>
      <c r="K64" s="50">
        <f t="shared" si="41"/>
        <v>0</v>
      </c>
      <c r="L64" s="372"/>
      <c r="N64" s="66">
        <f t="shared" si="19"/>
        <v>0</v>
      </c>
      <c r="O64" s="67">
        <f t="shared" si="20"/>
        <v>0</v>
      </c>
      <c r="P64" s="68">
        <f t="shared" si="34"/>
        <v>0</v>
      </c>
      <c r="Q64" s="68">
        <f t="shared" si="35"/>
        <v>0</v>
      </c>
      <c r="R64" s="69">
        <f t="shared" si="36"/>
        <v>0</v>
      </c>
      <c r="T64" s="70" t="str">
        <f>IFERROR(VLOOKUP(A64,VLOOKUPS!$A$3:$D$31,2,0),"Ander")</f>
        <v>Ander</v>
      </c>
      <c r="U64" s="71">
        <f t="shared" si="37"/>
        <v>0</v>
      </c>
      <c r="V64" s="71">
        <f t="shared" si="38"/>
        <v>0</v>
      </c>
    </row>
    <row r="65" spans="1:22" ht="15.75" thickBot="1" x14ac:dyDescent="0.3">
      <c r="N65" s="66"/>
      <c r="O65" s="67"/>
      <c r="P65" s="68"/>
      <c r="Q65" s="68"/>
      <c r="R65" s="69"/>
      <c r="U65" s="72">
        <f>SUM(U55:U64)</f>
        <v>0</v>
      </c>
      <c r="V65" s="72">
        <f>SUM(V55:V64)</f>
        <v>0</v>
      </c>
    </row>
    <row r="66" spans="1:22" ht="18.75" thickTop="1" thickBot="1" x14ac:dyDescent="0.35">
      <c r="A66" s="409" t="s">
        <v>67</v>
      </c>
      <c r="B66" s="410"/>
      <c r="C66" s="410"/>
      <c r="D66" s="410"/>
      <c r="E66" s="410"/>
      <c r="F66" s="410"/>
      <c r="G66" s="410"/>
      <c r="H66" s="410"/>
      <c r="I66" s="410"/>
      <c r="J66" s="410"/>
      <c r="K66" s="410"/>
      <c r="L66" s="411"/>
      <c r="N66" s="66"/>
      <c r="O66" s="67"/>
      <c r="P66" s="68"/>
      <c r="Q66" s="68"/>
      <c r="R66" s="69"/>
      <c r="U66" s="71"/>
      <c r="V66" s="71"/>
    </row>
    <row r="67" spans="1:22" ht="43.5" thickBot="1" x14ac:dyDescent="0.3">
      <c r="A67" s="37" t="s">
        <v>1</v>
      </c>
      <c r="B67" s="38" t="s">
        <v>62</v>
      </c>
      <c r="C67" s="39" t="s">
        <v>2</v>
      </c>
      <c r="D67" s="40" t="s">
        <v>93</v>
      </c>
      <c r="E67" s="39" t="s">
        <v>61</v>
      </c>
      <c r="F67" s="40" t="s">
        <v>94</v>
      </c>
      <c r="G67" s="41" t="s">
        <v>60</v>
      </c>
      <c r="H67" s="39" t="s">
        <v>59</v>
      </c>
      <c r="I67" s="103" t="s">
        <v>56</v>
      </c>
      <c r="J67" s="40" t="s">
        <v>57</v>
      </c>
      <c r="K67" s="40" t="s">
        <v>58</v>
      </c>
      <c r="L67" s="42" t="s">
        <v>0</v>
      </c>
      <c r="N67" s="66"/>
      <c r="O67" s="67"/>
      <c r="P67" s="68"/>
      <c r="Q67" s="68"/>
      <c r="R67" s="69"/>
      <c r="U67" s="71"/>
      <c r="V67" s="71"/>
    </row>
    <row r="68" spans="1:22" x14ac:dyDescent="0.25">
      <c r="A68" s="4" t="s">
        <v>1</v>
      </c>
      <c r="B68" s="5">
        <v>0.5</v>
      </c>
      <c r="C68" s="6">
        <v>1</v>
      </c>
      <c r="D68" s="43">
        <f>+L18*B68*C68</f>
        <v>0</v>
      </c>
      <c r="E68" s="7">
        <v>250</v>
      </c>
      <c r="F68" s="44">
        <f>+B68*C68*E68</f>
        <v>125</v>
      </c>
      <c r="G68" s="373">
        <f>SUM(F68:F71)</f>
        <v>125</v>
      </c>
      <c r="H68" s="8">
        <v>5</v>
      </c>
      <c r="I68" s="45">
        <f t="shared" ref="I68:I71" si="43">+IFERROR(ROUNDUP(D68/H68,0),0)</f>
        <v>0</v>
      </c>
      <c r="J68" s="44">
        <f>+E68*H68</f>
        <v>1250</v>
      </c>
      <c r="K68" s="44">
        <f>+I68*J68</f>
        <v>0</v>
      </c>
      <c r="L68" s="370">
        <f>SUM(K68:K71)</f>
        <v>0</v>
      </c>
      <c r="N68" s="66">
        <f t="shared" si="19"/>
        <v>0</v>
      </c>
      <c r="O68" s="67">
        <f t="shared" si="20"/>
        <v>0</v>
      </c>
      <c r="P68" s="68">
        <f t="shared" ref="P68:P71" si="44">+IFERROR(K68/N68,0)</f>
        <v>0</v>
      </c>
      <c r="Q68" s="68">
        <f t="shared" ref="Q68:Q71" si="45">+IFERROR(K68/O68,0)</f>
        <v>0</v>
      </c>
      <c r="R68" s="69">
        <f t="shared" ref="R68:R71" si="46">+B68*C68*E68</f>
        <v>125</v>
      </c>
      <c r="T68" s="70" t="str">
        <f>IFERROR(VLOOKUP(A68,VLOOKUPS!$A$3:$D$31,2,0),"Ander")</f>
        <v>Ander</v>
      </c>
      <c r="U68" s="71">
        <f t="shared" ref="U68:U71" si="47">IF(T68="Syngenta",K68,0)</f>
        <v>0</v>
      </c>
      <c r="V68" s="71">
        <f t="shared" ref="V68:V71" si="48">IF(T68="Ander",K68,0)</f>
        <v>0</v>
      </c>
    </row>
    <row r="69" spans="1:22" x14ac:dyDescent="0.25">
      <c r="A69" s="9"/>
      <c r="B69" s="10"/>
      <c r="C69" s="11"/>
      <c r="D69" s="46">
        <f>+L18*B69*C69</f>
        <v>0</v>
      </c>
      <c r="E69" s="12"/>
      <c r="F69" s="47">
        <f t="shared" ref="F69:F71" si="49">+B69*C69*E69</f>
        <v>0</v>
      </c>
      <c r="G69" s="374"/>
      <c r="H69" s="13"/>
      <c r="I69" s="48">
        <f t="shared" si="43"/>
        <v>0</v>
      </c>
      <c r="J69" s="47">
        <f t="shared" ref="J69:J71" si="50">+E69*H69</f>
        <v>0</v>
      </c>
      <c r="K69" s="47">
        <f t="shared" ref="K69:K71" si="51">+I69*J69</f>
        <v>0</v>
      </c>
      <c r="L69" s="371"/>
      <c r="N69" s="66">
        <f t="shared" si="19"/>
        <v>0</v>
      </c>
      <c r="O69" s="67">
        <f t="shared" si="20"/>
        <v>0</v>
      </c>
      <c r="P69" s="68">
        <f t="shared" si="44"/>
        <v>0</v>
      </c>
      <c r="Q69" s="68">
        <f t="shared" si="45"/>
        <v>0</v>
      </c>
      <c r="R69" s="69">
        <f t="shared" si="46"/>
        <v>0</v>
      </c>
      <c r="T69" s="70" t="str">
        <f>IFERROR(VLOOKUP(A69,VLOOKUPS!$A$3:$D$31,2,0),"Ander")</f>
        <v>Ander</v>
      </c>
      <c r="U69" s="71">
        <f t="shared" si="47"/>
        <v>0</v>
      </c>
      <c r="V69" s="71">
        <f t="shared" si="48"/>
        <v>0</v>
      </c>
    </row>
    <row r="70" spans="1:22" x14ac:dyDescent="0.25">
      <c r="A70" s="9"/>
      <c r="B70" s="10"/>
      <c r="C70" s="11"/>
      <c r="D70" s="46">
        <f>L18*B70*C70</f>
        <v>0</v>
      </c>
      <c r="E70" s="12"/>
      <c r="F70" s="47">
        <f t="shared" si="49"/>
        <v>0</v>
      </c>
      <c r="G70" s="374"/>
      <c r="H70" s="13"/>
      <c r="I70" s="48">
        <f t="shared" si="43"/>
        <v>0</v>
      </c>
      <c r="J70" s="47">
        <f t="shared" si="50"/>
        <v>0</v>
      </c>
      <c r="K70" s="47">
        <f t="shared" si="51"/>
        <v>0</v>
      </c>
      <c r="L70" s="371"/>
      <c r="N70" s="66">
        <f t="shared" si="19"/>
        <v>0</v>
      </c>
      <c r="O70" s="67">
        <f t="shared" si="20"/>
        <v>0</v>
      </c>
      <c r="P70" s="68">
        <f t="shared" si="44"/>
        <v>0</v>
      </c>
      <c r="Q70" s="68">
        <f t="shared" si="45"/>
        <v>0</v>
      </c>
      <c r="R70" s="69">
        <f t="shared" si="46"/>
        <v>0</v>
      </c>
      <c r="T70" s="70" t="str">
        <f>IFERROR(VLOOKUP(A70,VLOOKUPS!$A$3:$D$31,2,0),"Ander")</f>
        <v>Ander</v>
      </c>
      <c r="U70" s="71">
        <f t="shared" si="47"/>
        <v>0</v>
      </c>
      <c r="V70" s="71">
        <f t="shared" si="48"/>
        <v>0</v>
      </c>
    </row>
    <row r="71" spans="1:22" ht="15.75" thickBot="1" x14ac:dyDescent="0.3">
      <c r="A71" s="14"/>
      <c r="B71" s="15"/>
      <c r="C71" s="16"/>
      <c r="D71" s="49">
        <f>+L18*B71*C71</f>
        <v>0</v>
      </c>
      <c r="E71" s="17"/>
      <c r="F71" s="50">
        <f t="shared" si="49"/>
        <v>0</v>
      </c>
      <c r="G71" s="375"/>
      <c r="H71" s="18"/>
      <c r="I71" s="51">
        <f t="shared" si="43"/>
        <v>0</v>
      </c>
      <c r="J71" s="50">
        <f t="shared" si="50"/>
        <v>0</v>
      </c>
      <c r="K71" s="50">
        <f t="shared" si="51"/>
        <v>0</v>
      </c>
      <c r="L71" s="372"/>
      <c r="N71" s="66">
        <f t="shared" si="19"/>
        <v>0</v>
      </c>
      <c r="O71" s="67">
        <f t="shared" si="20"/>
        <v>0</v>
      </c>
      <c r="P71" s="68">
        <f t="shared" si="44"/>
        <v>0</v>
      </c>
      <c r="Q71" s="68">
        <f t="shared" si="45"/>
        <v>0</v>
      </c>
      <c r="R71" s="69">
        <f t="shared" si="46"/>
        <v>0</v>
      </c>
      <c r="T71" s="70" t="str">
        <f>IFERROR(VLOOKUP(A71,VLOOKUPS!$A$3:$D$31,2,0),"Ander")</f>
        <v>Ander</v>
      </c>
      <c r="U71" s="71">
        <f t="shared" si="47"/>
        <v>0</v>
      </c>
      <c r="V71" s="71">
        <f t="shared" si="48"/>
        <v>0</v>
      </c>
    </row>
    <row r="72" spans="1:22" ht="15.75" thickBot="1" x14ac:dyDescent="0.3">
      <c r="U72" s="72">
        <f>SUM(U68:U71)</f>
        <v>0</v>
      </c>
      <c r="V72" s="72">
        <f>SUM(V68:V71)</f>
        <v>0</v>
      </c>
    </row>
    <row r="73" spans="1:22" ht="15.75" thickTop="1" x14ac:dyDescent="0.25">
      <c r="U73" s="73"/>
      <c r="V73" s="73"/>
    </row>
    <row r="74" spans="1:22" ht="15" customHeight="1" thickBot="1" x14ac:dyDescent="0.3">
      <c r="B74" s="395" t="s">
        <v>89</v>
      </c>
      <c r="C74" s="396"/>
      <c r="D74" s="396"/>
      <c r="E74" s="396"/>
      <c r="F74" s="396"/>
      <c r="G74" s="396"/>
      <c r="H74" s="396"/>
      <c r="I74" s="396"/>
      <c r="J74" s="396"/>
      <c r="K74" s="397"/>
    </row>
    <row r="75" spans="1:22" ht="15.75" thickBot="1" x14ac:dyDescent="0.3">
      <c r="B75" s="398"/>
      <c r="C75" s="399"/>
      <c r="D75" s="399"/>
      <c r="E75" s="399"/>
      <c r="F75" s="399"/>
      <c r="G75" s="399"/>
      <c r="H75" s="399"/>
      <c r="I75" s="399"/>
      <c r="J75" s="399"/>
      <c r="K75" s="400"/>
      <c r="T75" s="74" t="s">
        <v>76</v>
      </c>
      <c r="U75" s="105">
        <f>U72+U65+U52+U41+U30</f>
        <v>0</v>
      </c>
      <c r="V75" s="106">
        <f>V72+V65+V52+V41+V30</f>
        <v>8500</v>
      </c>
    </row>
    <row r="76" spans="1:22" x14ac:dyDescent="0.25">
      <c r="B76" s="36"/>
      <c r="C76" s="111"/>
      <c r="D76" s="111"/>
      <c r="E76" s="111"/>
      <c r="F76" s="111"/>
      <c r="T76" s="27" t="s">
        <v>77</v>
      </c>
      <c r="U76" s="75">
        <f>V75+U75-L14</f>
        <v>0</v>
      </c>
    </row>
    <row r="77" spans="1:22" x14ac:dyDescent="0.25">
      <c r="B77" s="36"/>
      <c r="C77" s="111"/>
      <c r="D77" s="111"/>
      <c r="E77" s="111"/>
      <c r="F77" s="111"/>
    </row>
    <row r="78" spans="1:22" x14ac:dyDescent="0.25">
      <c r="B78" s="36"/>
      <c r="C78" s="111"/>
      <c r="D78" s="111"/>
      <c r="E78" s="111"/>
      <c r="F78" s="111"/>
    </row>
  </sheetData>
  <sheetProtection selectLockedCells="1"/>
  <mergeCells count="48">
    <mergeCell ref="B74:K75"/>
    <mergeCell ref="G33:G40"/>
    <mergeCell ref="L33:L40"/>
    <mergeCell ref="A42:L42"/>
    <mergeCell ref="G44:G51"/>
    <mergeCell ref="L44:L51"/>
    <mergeCell ref="A53:L53"/>
    <mergeCell ref="G55:G64"/>
    <mergeCell ref="L55:L64"/>
    <mergeCell ref="A66:L66"/>
    <mergeCell ref="G68:G71"/>
    <mergeCell ref="L68:L71"/>
    <mergeCell ref="A31:L31"/>
    <mergeCell ref="B16:C16"/>
    <mergeCell ref="G16:H16"/>
    <mergeCell ref="J16:K16"/>
    <mergeCell ref="B18:C18"/>
    <mergeCell ref="G18:H18"/>
    <mergeCell ref="J18:K18"/>
    <mergeCell ref="A20:L20"/>
    <mergeCell ref="G21:H22"/>
    <mergeCell ref="I21:I22"/>
    <mergeCell ref="G24:G29"/>
    <mergeCell ref="L24:L29"/>
    <mergeCell ref="B14:C14"/>
    <mergeCell ref="G14:H14"/>
    <mergeCell ref="J14:K14"/>
    <mergeCell ref="B15:C15"/>
    <mergeCell ref="G15:H15"/>
    <mergeCell ref="J15:K15"/>
    <mergeCell ref="B12:C12"/>
    <mergeCell ref="G12:H12"/>
    <mergeCell ref="J12:K12"/>
    <mergeCell ref="B13:C13"/>
    <mergeCell ref="G13:H13"/>
    <mergeCell ref="J13:K13"/>
    <mergeCell ref="B10:C10"/>
    <mergeCell ref="G10:H10"/>
    <mergeCell ref="J10:K10"/>
    <mergeCell ref="B11:C11"/>
    <mergeCell ref="G11:H11"/>
    <mergeCell ref="J11:K11"/>
    <mergeCell ref="A8:C8"/>
    <mergeCell ref="F8:H8"/>
    <mergeCell ref="J8:L8"/>
    <mergeCell ref="B9:C9"/>
    <mergeCell ref="G9:H9"/>
    <mergeCell ref="J9:K9"/>
  </mergeCells>
  <dataValidations count="1">
    <dataValidation allowBlank="1" showInputMessage="1" sqref="A24:A29 A33:A40 A44:A51 A55:A63 A64 A68:A71"/>
  </dataValidations>
  <printOptions horizontalCentered="1" verticalCentered="1"/>
  <pageMargins left="0.26" right="0.28999999999999998" top="0.19" bottom="0.18" header="0" footer="0"/>
  <pageSetup paperSize="9" scale="64"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pageSetUpPr fitToPage="1"/>
  </sheetPr>
  <dimension ref="A1:V78"/>
  <sheetViews>
    <sheetView topLeftCell="A22" zoomScaleNormal="100" workbookViewId="0">
      <selection activeCell="J24" sqref="J24"/>
    </sheetView>
  </sheetViews>
  <sheetFormatPr defaultRowHeight="15" x14ac:dyDescent="0.25"/>
  <cols>
    <col min="1" max="1" width="21.140625" style="27" customWidth="1"/>
    <col min="2" max="2" width="9.140625" style="27" customWidth="1"/>
    <col min="3" max="3" width="10.85546875" style="27" customWidth="1"/>
    <col min="4" max="4" width="9.140625" style="27"/>
    <col min="5" max="5" width="11.5703125" style="27" bestFit="1" customWidth="1"/>
    <col min="6" max="6" width="11.5703125" style="27" customWidth="1"/>
    <col min="7" max="7" width="12.5703125" style="27" bestFit="1" customWidth="1"/>
    <col min="8" max="8" width="11.28515625" style="27" customWidth="1"/>
    <col min="9" max="9" width="11.140625" style="27" customWidth="1"/>
    <col min="10" max="10" width="12.5703125" style="27" bestFit="1" customWidth="1"/>
    <col min="11" max="11" width="14.140625" style="27" customWidth="1"/>
    <col min="12" max="12" width="14.85546875" style="27" customWidth="1"/>
    <col min="13" max="13" width="9.140625" style="27" customWidth="1"/>
    <col min="14" max="14" width="12.28515625" style="27" hidden="1" customWidth="1"/>
    <col min="15" max="15" width="10.5703125" style="27" hidden="1" customWidth="1"/>
    <col min="16" max="16" width="14.140625" style="27" hidden="1" customWidth="1"/>
    <col min="17" max="17" width="13.42578125" style="27" hidden="1" customWidth="1"/>
    <col min="18" max="18" width="18.42578125" style="27" hidden="1" customWidth="1"/>
    <col min="19" max="19" width="9.140625" style="27" customWidth="1"/>
    <col min="20" max="20" width="12.28515625" style="27" hidden="1" customWidth="1"/>
    <col min="21" max="21" width="10.5703125" style="27" hidden="1" customWidth="1"/>
    <col min="22" max="22" width="9.140625" style="27" hidden="1" customWidth="1"/>
    <col min="23" max="23" width="9.140625" style="27" customWidth="1"/>
    <col min="24" max="16384" width="9.140625" style="27"/>
  </cols>
  <sheetData>
    <row r="1" spans="1:14" s="61" customFormat="1" ht="15" customHeight="1" x14ac:dyDescent="0.25"/>
    <row r="4" spans="1:14" ht="15.75" thickBot="1" x14ac:dyDescent="0.3"/>
    <row r="5" spans="1:14" ht="15.75" thickBot="1" x14ac:dyDescent="0.3">
      <c r="C5" s="76"/>
      <c r="F5" s="117" t="s">
        <v>134</v>
      </c>
      <c r="G5" s="118" t="s">
        <v>119</v>
      </c>
    </row>
    <row r="6" spans="1:14" x14ac:dyDescent="0.25">
      <c r="C6" s="76"/>
    </row>
    <row r="7" spans="1:14" ht="15.75" thickBot="1" x14ac:dyDescent="0.3"/>
    <row r="8" spans="1:14" ht="15.75" thickBot="1" x14ac:dyDescent="0.3">
      <c r="A8" s="404" t="s">
        <v>39</v>
      </c>
      <c r="B8" s="405"/>
      <c r="C8" s="406"/>
      <c r="F8" s="376" t="s">
        <v>48</v>
      </c>
      <c r="G8" s="377"/>
      <c r="H8" s="378"/>
      <c r="J8" s="376" t="s">
        <v>36</v>
      </c>
      <c r="K8" s="377"/>
      <c r="L8" s="378"/>
    </row>
    <row r="9" spans="1:14" x14ac:dyDescent="0.25">
      <c r="A9" s="28" t="s">
        <v>40</v>
      </c>
      <c r="B9" s="407" t="str">
        <f>+'Koring 1 (dont use)'!B9:C9</f>
        <v>Jaque Fourie</v>
      </c>
      <c r="C9" s="408"/>
      <c r="F9" s="28" t="s">
        <v>81</v>
      </c>
      <c r="G9" s="387" t="str">
        <f>+'Koring 1 (dont use)'!G9:H9</f>
        <v>Bakkies Botha</v>
      </c>
      <c r="H9" s="388"/>
      <c r="J9" s="420" t="str">
        <f>+A20</f>
        <v>Saadbehandeling</v>
      </c>
      <c r="K9" s="421"/>
      <c r="L9" s="23">
        <f>+L24</f>
        <v>8500</v>
      </c>
    </row>
    <row r="10" spans="1:14" x14ac:dyDescent="0.25">
      <c r="A10" s="29" t="s">
        <v>47</v>
      </c>
      <c r="B10" s="424" t="str">
        <f>+'Koring 1 (dont use)'!B10:C10</f>
        <v>Japan</v>
      </c>
      <c r="C10" s="425"/>
      <c r="F10" s="29" t="s">
        <v>82</v>
      </c>
      <c r="G10" s="424" t="str">
        <f>+'Koring 1 (dont use)'!G10:H10</f>
        <v xml:space="preserve">Bus 524 </v>
      </c>
      <c r="H10" s="425"/>
      <c r="J10" s="389" t="str">
        <f>+A31</f>
        <v>Voor plant</v>
      </c>
      <c r="K10" s="390"/>
      <c r="L10" s="24">
        <f>+L33</f>
        <v>1340</v>
      </c>
    </row>
    <row r="11" spans="1:14" x14ac:dyDescent="0.25">
      <c r="A11" s="30"/>
      <c r="B11" s="424">
        <f>+'Koring 1 (dont use)'!B11:C11</f>
        <v>0</v>
      </c>
      <c r="C11" s="425"/>
      <c r="F11" s="29" t="s">
        <v>83</v>
      </c>
      <c r="G11" s="424" t="str">
        <f>+'Koring 1 (dont use)'!G11:H11</f>
        <v>Brakfontein</v>
      </c>
      <c r="H11" s="425"/>
      <c r="J11" s="389" t="str">
        <f>+A42</f>
        <v>Voor-opkoms (met plant)</v>
      </c>
      <c r="K11" s="390"/>
      <c r="L11" s="24">
        <f>+L44</f>
        <v>18384</v>
      </c>
    </row>
    <row r="12" spans="1:14" x14ac:dyDescent="0.25">
      <c r="A12" s="29" t="s">
        <v>45</v>
      </c>
      <c r="B12" s="424" t="str">
        <f>+'Koring 1 (dont use)'!B12:C12</f>
        <v>0001</v>
      </c>
      <c r="C12" s="425"/>
      <c r="F12" s="29" t="s">
        <v>84</v>
      </c>
      <c r="G12" s="424" t="str">
        <f>+'Koring 1 (dont use)'!G12:H12</f>
        <v>Humansdorp</v>
      </c>
      <c r="H12" s="425"/>
      <c r="J12" s="389" t="str">
        <f>+A53</f>
        <v>Na-opkoms</v>
      </c>
      <c r="K12" s="390"/>
      <c r="L12" s="24">
        <f>+L55</f>
        <v>17620</v>
      </c>
    </row>
    <row r="13" spans="1:14" x14ac:dyDescent="0.25">
      <c r="A13" s="29" t="s">
        <v>41</v>
      </c>
      <c r="B13" s="424">
        <f>+'Koring 1 (dont use)'!B13:C13</f>
        <v>0</v>
      </c>
      <c r="C13" s="425"/>
      <c r="F13" s="29" t="s">
        <v>85</v>
      </c>
      <c r="G13" s="424" t="str">
        <f>+'Koring 1 (dont use)'!G13:H13</f>
        <v>2587</v>
      </c>
      <c r="H13" s="425"/>
      <c r="J13" s="389" t="str">
        <f>+A66</f>
        <v>Ander</v>
      </c>
      <c r="K13" s="390"/>
      <c r="L13" s="24">
        <f>+L68</f>
        <v>6250</v>
      </c>
    </row>
    <row r="14" spans="1:14" ht="15.75" thickBot="1" x14ac:dyDescent="0.3">
      <c r="A14" s="29" t="s">
        <v>42</v>
      </c>
      <c r="B14" s="424">
        <f>+'Koring 1 (dont use)'!B14:C14</f>
        <v>0</v>
      </c>
      <c r="C14" s="425"/>
      <c r="F14" s="29" t="s">
        <v>86</v>
      </c>
      <c r="G14" s="424" t="str">
        <f>+'Koring 1 (dont use)'!G14:H14</f>
        <v>0112548798</v>
      </c>
      <c r="H14" s="425"/>
      <c r="J14" s="391" t="s">
        <v>55</v>
      </c>
      <c r="K14" s="392"/>
      <c r="L14" s="26">
        <f>SUM(L9:L13)</f>
        <v>52094</v>
      </c>
    </row>
    <row r="15" spans="1:14" ht="16.5" thickTop="1" thickBot="1" x14ac:dyDescent="0.3">
      <c r="A15" s="29" t="s">
        <v>43</v>
      </c>
      <c r="B15" s="424" t="str">
        <f>+'Koring 1 (dont use)'!B15:C15</f>
        <v>0878522233</v>
      </c>
      <c r="C15" s="425"/>
      <c r="F15" s="29" t="s">
        <v>87</v>
      </c>
      <c r="G15" s="424" t="str">
        <f>+'Koring 1 (dont use)'!G15:H15</f>
        <v>0768543221</v>
      </c>
      <c r="H15" s="425"/>
      <c r="J15" s="426"/>
      <c r="K15" s="427"/>
      <c r="L15" s="25"/>
    </row>
    <row r="16" spans="1:14" ht="15.75" thickBot="1" x14ac:dyDescent="0.3">
      <c r="A16" s="31" t="s">
        <v>44</v>
      </c>
      <c r="B16" s="428" t="str">
        <f>+'Koring 1 (dont use)'!B16:C16</f>
        <v>jfourie@gmail.com</v>
      </c>
      <c r="C16" s="429"/>
      <c r="F16" s="31" t="s">
        <v>88</v>
      </c>
      <c r="G16" s="430" t="str">
        <f>+'Koring 1 (dont use)'!G16:H16</f>
        <v>bb@bok.co.za</v>
      </c>
      <c r="H16" s="431"/>
      <c r="J16" s="432" t="s">
        <v>70</v>
      </c>
      <c r="K16" s="433"/>
      <c r="L16" s="104">
        <f>+G24+G33+G44+G55+G68</f>
        <v>832.13333333333344</v>
      </c>
      <c r="N16" s="62">
        <f>+L14/L18</f>
        <v>1041.8800000000001</v>
      </c>
    </row>
    <row r="17" spans="1:22" ht="15.75" thickBot="1" x14ac:dyDescent="0.3">
      <c r="E17" s="32"/>
      <c r="J17" s="33"/>
      <c r="K17" s="33"/>
      <c r="L17" s="34"/>
    </row>
    <row r="18" spans="1:22" ht="15.75" thickBot="1" x14ac:dyDescent="0.3">
      <c r="A18" s="35" t="s">
        <v>106</v>
      </c>
      <c r="B18" s="434" t="str">
        <f>+'Koring 1 (dont use)'!B18:C18</f>
        <v>Co</v>
      </c>
      <c r="C18" s="435"/>
      <c r="E18" s="32"/>
      <c r="F18" s="35" t="s">
        <v>69</v>
      </c>
      <c r="G18" s="418" t="str">
        <f>+'Koring 1 (dont use)'!G18:H18</f>
        <v>2012/09/12</v>
      </c>
      <c r="H18" s="436"/>
      <c r="J18" s="404" t="s">
        <v>46</v>
      </c>
      <c r="K18" s="405"/>
      <c r="L18" s="3">
        <v>50</v>
      </c>
    </row>
    <row r="19" spans="1:22" s="77" customFormat="1" ht="15.75" thickBot="1" x14ac:dyDescent="0.3">
      <c r="A19" s="101"/>
      <c r="B19" s="109"/>
      <c r="C19" s="109"/>
      <c r="E19" s="102"/>
      <c r="F19" s="101"/>
      <c r="G19" s="109"/>
      <c r="H19" s="109"/>
      <c r="J19" s="100"/>
      <c r="K19" s="100"/>
      <c r="L19" s="110"/>
    </row>
    <row r="20" spans="1:22" s="77" customFormat="1" ht="18" thickBot="1" x14ac:dyDescent="0.35">
      <c r="A20" s="409" t="s">
        <v>38</v>
      </c>
      <c r="B20" s="410"/>
      <c r="C20" s="410"/>
      <c r="D20" s="410"/>
      <c r="E20" s="410"/>
      <c r="F20" s="410"/>
      <c r="G20" s="410"/>
      <c r="H20" s="410"/>
      <c r="I20" s="410"/>
      <c r="J20" s="410"/>
      <c r="K20" s="410"/>
      <c r="L20" s="411"/>
    </row>
    <row r="21" spans="1:22" s="77" customFormat="1" x14ac:dyDescent="0.25">
      <c r="A21" s="52"/>
      <c r="B21" s="53" t="s">
        <v>97</v>
      </c>
      <c r="C21" s="19">
        <v>26000</v>
      </c>
      <c r="D21" s="54"/>
      <c r="E21" s="55"/>
      <c r="F21" s="55"/>
      <c r="G21" s="437" t="s">
        <v>99</v>
      </c>
      <c r="H21" s="438"/>
      <c r="I21" s="441">
        <f>+C21/C22</f>
        <v>0.43333333333333335</v>
      </c>
      <c r="J21" s="54"/>
      <c r="K21" s="54"/>
      <c r="L21" s="56"/>
    </row>
    <row r="22" spans="1:22" s="77" customFormat="1" ht="15.75" thickBot="1" x14ac:dyDescent="0.3">
      <c r="A22" s="57"/>
      <c r="B22" s="58" t="s">
        <v>98</v>
      </c>
      <c r="C22" s="20">
        <v>60000</v>
      </c>
      <c r="D22" s="59"/>
      <c r="E22" s="55"/>
      <c r="F22" s="55"/>
      <c r="G22" s="439"/>
      <c r="H22" s="440"/>
      <c r="I22" s="442"/>
      <c r="J22" s="59"/>
      <c r="K22" s="59"/>
      <c r="L22" s="60"/>
      <c r="T22" s="107"/>
      <c r="U22" s="108" t="s">
        <v>113</v>
      </c>
      <c r="V22" s="107"/>
    </row>
    <row r="23" spans="1:22" s="77" customFormat="1" ht="43.5" thickBot="1" x14ac:dyDescent="0.3">
      <c r="A23" s="37" t="s">
        <v>1</v>
      </c>
      <c r="B23" s="38" t="s">
        <v>95</v>
      </c>
      <c r="C23" s="39" t="s">
        <v>96</v>
      </c>
      <c r="D23" s="40" t="s">
        <v>93</v>
      </c>
      <c r="E23" s="39" t="s">
        <v>61</v>
      </c>
      <c r="F23" s="40" t="s">
        <v>94</v>
      </c>
      <c r="G23" s="41" t="s">
        <v>60</v>
      </c>
      <c r="H23" s="39" t="s">
        <v>59</v>
      </c>
      <c r="I23" s="103" t="s">
        <v>56</v>
      </c>
      <c r="J23" s="40" t="s">
        <v>57</v>
      </c>
      <c r="K23" s="40" t="s">
        <v>58</v>
      </c>
      <c r="L23" s="42" t="s">
        <v>0</v>
      </c>
      <c r="N23" s="63" t="s">
        <v>101</v>
      </c>
      <c r="O23" s="63" t="s">
        <v>100</v>
      </c>
      <c r="P23" s="64" t="s">
        <v>102</v>
      </c>
      <c r="Q23" s="64" t="s">
        <v>103</v>
      </c>
      <c r="R23" s="64" t="s">
        <v>104</v>
      </c>
      <c r="S23" s="27"/>
      <c r="T23" s="65" t="s">
        <v>72</v>
      </c>
      <c r="U23" s="65" t="s">
        <v>74</v>
      </c>
      <c r="V23" s="65" t="s">
        <v>75</v>
      </c>
    </row>
    <row r="24" spans="1:22" s="77" customFormat="1" x14ac:dyDescent="0.25">
      <c r="A24" s="134" t="s">
        <v>1</v>
      </c>
      <c r="B24" s="135">
        <v>0.1</v>
      </c>
      <c r="C24" s="136">
        <v>100</v>
      </c>
      <c r="D24" s="43">
        <f t="shared" ref="D24" si="0">+B24*C24</f>
        <v>10</v>
      </c>
      <c r="E24" s="137">
        <v>850</v>
      </c>
      <c r="F24" s="44">
        <f t="shared" ref="F24" si="1">+IFERROR(K24/(C24/$I$21),0)</f>
        <v>36.833333333333336</v>
      </c>
      <c r="G24" s="373">
        <f>SUM(F24:F29)</f>
        <v>36.833333333333336</v>
      </c>
      <c r="H24" s="138">
        <v>1</v>
      </c>
      <c r="I24" s="45">
        <f t="shared" ref="I24" si="2">+IFERROR(ROUNDUP(D24/H24,0),0)</f>
        <v>10</v>
      </c>
      <c r="J24" s="44">
        <f>+E24*H24</f>
        <v>850</v>
      </c>
      <c r="K24" s="44">
        <f>+I24*J24</f>
        <v>8500</v>
      </c>
      <c r="L24" s="370">
        <f>SUM(K24:K29)</f>
        <v>8500</v>
      </c>
      <c r="T24" s="70" t="str">
        <f>IFERROR(VLOOKUP(A24,VLOOKUPS!$A$3:$D$31,2,0),"Ander")</f>
        <v>Ander</v>
      </c>
      <c r="U24" s="71">
        <f t="shared" ref="U24:U29" si="3">IF(T24="Syngenta",K24,0)</f>
        <v>0</v>
      </c>
      <c r="V24" s="71">
        <f t="shared" ref="V24:V29" si="4">IF(T24="Ander",K24,0)</f>
        <v>8500</v>
      </c>
    </row>
    <row r="25" spans="1:22" s="77" customFormat="1" x14ac:dyDescent="0.25">
      <c r="A25" s="9"/>
      <c r="B25" s="10"/>
      <c r="C25" s="21"/>
      <c r="D25" s="46">
        <f t="shared" ref="D25:D29" si="5">+B25*C25</f>
        <v>0</v>
      </c>
      <c r="E25" s="12"/>
      <c r="F25" s="47">
        <f t="shared" ref="F25:F29" si="6">+IFERROR(K25/(C25/$I$21),0)</f>
        <v>0</v>
      </c>
      <c r="G25" s="374"/>
      <c r="H25" s="13"/>
      <c r="I25" s="48">
        <f t="shared" ref="I25:I26" si="7">+IFERROR(ROUNDUP(D25/H25,0),0)</f>
        <v>0</v>
      </c>
      <c r="J25" s="47">
        <f>+E25*H25</f>
        <v>0</v>
      </c>
      <c r="K25" s="47">
        <f>+I25*J25</f>
        <v>0</v>
      </c>
      <c r="L25" s="371"/>
      <c r="T25" s="70" t="str">
        <f>IFERROR(VLOOKUP(A25,VLOOKUPS!$A$3:$D$31,2,0),"Ander")</f>
        <v>Ander</v>
      </c>
      <c r="U25" s="71">
        <f t="shared" si="3"/>
        <v>0</v>
      </c>
      <c r="V25" s="71">
        <f t="shared" si="4"/>
        <v>0</v>
      </c>
    </row>
    <row r="26" spans="1:22" s="77" customFormat="1" x14ac:dyDescent="0.25">
      <c r="A26" s="9"/>
      <c r="B26" s="10"/>
      <c r="C26" s="21"/>
      <c r="D26" s="46">
        <f t="shared" si="5"/>
        <v>0</v>
      </c>
      <c r="E26" s="12"/>
      <c r="F26" s="47">
        <f t="shared" si="6"/>
        <v>0</v>
      </c>
      <c r="G26" s="374"/>
      <c r="H26" s="13"/>
      <c r="I26" s="48">
        <f t="shared" si="7"/>
        <v>0</v>
      </c>
      <c r="J26" s="47">
        <f t="shared" ref="J26:J29" si="8">+E26*H26</f>
        <v>0</v>
      </c>
      <c r="K26" s="47">
        <f t="shared" ref="K26:K29" si="9">+I26*J26</f>
        <v>0</v>
      </c>
      <c r="L26" s="371"/>
      <c r="T26" s="70" t="str">
        <f>IFERROR(VLOOKUP(A26,VLOOKUPS!$A$3:$D$31,2,0),"Ander")</f>
        <v>Ander</v>
      </c>
      <c r="U26" s="71">
        <f t="shared" si="3"/>
        <v>0</v>
      </c>
      <c r="V26" s="71">
        <f t="shared" si="4"/>
        <v>0</v>
      </c>
    </row>
    <row r="27" spans="1:22" s="77" customFormat="1" x14ac:dyDescent="0.25">
      <c r="A27" s="9"/>
      <c r="B27" s="10"/>
      <c r="C27" s="21"/>
      <c r="D27" s="46">
        <f t="shared" si="5"/>
        <v>0</v>
      </c>
      <c r="E27" s="12"/>
      <c r="F27" s="47">
        <f t="shared" si="6"/>
        <v>0</v>
      </c>
      <c r="G27" s="374"/>
      <c r="H27" s="13"/>
      <c r="I27" s="48">
        <f>+IFERROR(ROUNDUP(D27/H27,0),0)</f>
        <v>0</v>
      </c>
      <c r="J27" s="47">
        <f t="shared" si="8"/>
        <v>0</v>
      </c>
      <c r="K27" s="47">
        <f t="shared" si="9"/>
        <v>0</v>
      </c>
      <c r="L27" s="371"/>
      <c r="T27" s="70" t="str">
        <f>IFERROR(VLOOKUP(A27,VLOOKUPS!$A$3:$D$31,2,0),"Ander")</f>
        <v>Ander</v>
      </c>
      <c r="U27" s="71">
        <f t="shared" si="3"/>
        <v>0</v>
      </c>
      <c r="V27" s="71">
        <f t="shared" si="4"/>
        <v>0</v>
      </c>
    </row>
    <row r="28" spans="1:22" s="77" customFormat="1" x14ac:dyDescent="0.25">
      <c r="A28" s="9"/>
      <c r="B28" s="10"/>
      <c r="C28" s="21"/>
      <c r="D28" s="46">
        <f t="shared" si="5"/>
        <v>0</v>
      </c>
      <c r="E28" s="12"/>
      <c r="F28" s="47">
        <f t="shared" si="6"/>
        <v>0</v>
      </c>
      <c r="G28" s="374"/>
      <c r="H28" s="13"/>
      <c r="I28" s="48">
        <f t="shared" ref="I28:I29" si="10">+IFERROR(ROUNDUP(D28/H28,0),0)</f>
        <v>0</v>
      </c>
      <c r="J28" s="47">
        <f t="shared" si="8"/>
        <v>0</v>
      </c>
      <c r="K28" s="47">
        <f t="shared" si="9"/>
        <v>0</v>
      </c>
      <c r="L28" s="371"/>
      <c r="T28" s="70" t="str">
        <f>IFERROR(VLOOKUP(A28,VLOOKUPS!$A$3:$D$31,2,0),"Ander")</f>
        <v>Ander</v>
      </c>
      <c r="U28" s="71">
        <f t="shared" si="3"/>
        <v>0</v>
      </c>
      <c r="V28" s="71">
        <f t="shared" si="4"/>
        <v>0</v>
      </c>
    </row>
    <row r="29" spans="1:22" s="77" customFormat="1" ht="15.75" thickBot="1" x14ac:dyDescent="0.3">
      <c r="A29" s="14"/>
      <c r="B29" s="15"/>
      <c r="C29" s="22"/>
      <c r="D29" s="49">
        <f t="shared" si="5"/>
        <v>0</v>
      </c>
      <c r="E29" s="17"/>
      <c r="F29" s="50">
        <f t="shared" si="6"/>
        <v>0</v>
      </c>
      <c r="G29" s="375"/>
      <c r="H29" s="18"/>
      <c r="I29" s="51">
        <f t="shared" si="10"/>
        <v>0</v>
      </c>
      <c r="J29" s="50">
        <f t="shared" si="8"/>
        <v>0</v>
      </c>
      <c r="K29" s="50">
        <f t="shared" si="9"/>
        <v>0</v>
      </c>
      <c r="L29" s="372"/>
      <c r="T29" s="70" t="str">
        <f>IFERROR(VLOOKUP(A29,VLOOKUPS!$A$3:$D$31,2,0),"Ander")</f>
        <v>Ander</v>
      </c>
      <c r="U29" s="71">
        <f t="shared" si="3"/>
        <v>0</v>
      </c>
      <c r="V29" s="71">
        <f t="shared" si="4"/>
        <v>0</v>
      </c>
    </row>
    <row r="30" spans="1:22" s="77" customFormat="1" ht="15.75" thickBot="1" x14ac:dyDescent="0.3">
      <c r="A30" s="101"/>
      <c r="B30" s="109"/>
      <c r="C30" s="109"/>
      <c r="E30" s="102"/>
      <c r="F30" s="101"/>
      <c r="G30" s="109"/>
      <c r="H30" s="109"/>
      <c r="J30" s="100"/>
      <c r="K30" s="100"/>
      <c r="L30" s="110"/>
      <c r="T30" s="27"/>
      <c r="U30" s="72">
        <f>SUM(U24:U29)</f>
        <v>0</v>
      </c>
      <c r="V30" s="72">
        <f>SUM(V24:V29)</f>
        <v>8500</v>
      </c>
    </row>
    <row r="31" spans="1:22" ht="18.75" thickTop="1" thickBot="1" x14ac:dyDescent="0.35">
      <c r="A31" s="415" t="s">
        <v>37</v>
      </c>
      <c r="B31" s="416"/>
      <c r="C31" s="416"/>
      <c r="D31" s="416"/>
      <c r="E31" s="416"/>
      <c r="F31" s="416"/>
      <c r="G31" s="416"/>
      <c r="H31" s="416"/>
      <c r="I31" s="416"/>
      <c r="J31" s="416"/>
      <c r="K31" s="416"/>
      <c r="L31" s="417"/>
    </row>
    <row r="32" spans="1:22" ht="33" customHeight="1" thickBot="1" x14ac:dyDescent="0.3">
      <c r="A32" s="37" t="s">
        <v>1</v>
      </c>
      <c r="B32" s="38" t="s">
        <v>62</v>
      </c>
      <c r="C32" s="39" t="s">
        <v>2</v>
      </c>
      <c r="D32" s="40" t="s">
        <v>93</v>
      </c>
      <c r="E32" s="39" t="s">
        <v>61</v>
      </c>
      <c r="F32" s="40" t="s">
        <v>94</v>
      </c>
      <c r="G32" s="41" t="s">
        <v>60</v>
      </c>
      <c r="H32" s="39" t="s">
        <v>59</v>
      </c>
      <c r="I32" s="103" t="s">
        <v>56</v>
      </c>
      <c r="J32" s="40" t="s">
        <v>57</v>
      </c>
      <c r="K32" s="40" t="s">
        <v>58</v>
      </c>
      <c r="L32" s="42" t="s">
        <v>0</v>
      </c>
    </row>
    <row r="33" spans="1:22" x14ac:dyDescent="0.25">
      <c r="A33" s="9" t="s">
        <v>1</v>
      </c>
      <c r="B33" s="10">
        <v>0.3</v>
      </c>
      <c r="C33" s="11">
        <v>1</v>
      </c>
      <c r="D33" s="43">
        <f>+L18*B33*C33</f>
        <v>15</v>
      </c>
      <c r="E33" s="12">
        <v>67</v>
      </c>
      <c r="F33" s="44">
        <f>+B33*C33*E33</f>
        <v>20.099999999999998</v>
      </c>
      <c r="G33" s="373">
        <f>SUM(F33:F40)</f>
        <v>20.099999999999998</v>
      </c>
      <c r="H33" s="13">
        <v>20</v>
      </c>
      <c r="I33" s="45">
        <f t="shared" ref="I33:I40" si="11">+IFERROR(ROUNDUP(D33/H33,0),0)</f>
        <v>1</v>
      </c>
      <c r="J33" s="44">
        <f>+E33*H33</f>
        <v>1340</v>
      </c>
      <c r="K33" s="44">
        <f t="shared" ref="K33:K40" si="12">+I33*J33</f>
        <v>1340</v>
      </c>
      <c r="L33" s="370">
        <f>SUM(K33:K40)</f>
        <v>1340</v>
      </c>
      <c r="N33" s="66">
        <f>+IFERROR((I33*H33)/B33,0)</f>
        <v>66.666666666666671</v>
      </c>
      <c r="O33" s="67">
        <f>+IFERROR(C33*$L$18,0)</f>
        <v>50</v>
      </c>
      <c r="P33" s="68">
        <f t="shared" ref="P33:P40" si="13">+IFERROR(K33/N33,0)</f>
        <v>20.099999999999998</v>
      </c>
      <c r="Q33" s="68">
        <f t="shared" ref="Q33:Q40" si="14">+IFERROR(K33/O33,0)</f>
        <v>26.8</v>
      </c>
      <c r="R33" s="69">
        <f t="shared" ref="R33:R40" si="15">+B33*C33*E33</f>
        <v>20.099999999999998</v>
      </c>
      <c r="T33" s="70" t="str">
        <f>IFERROR(VLOOKUP(A33,VLOOKUPS!$A$3:$D$31,2,0),"Ander")</f>
        <v>Ander</v>
      </c>
      <c r="U33" s="71">
        <f t="shared" ref="U33:U40" si="16">IF(T33="Syngenta",K33,0)</f>
        <v>0</v>
      </c>
      <c r="V33" s="71">
        <f t="shared" ref="V33:V40" si="17">IF(T33="Ander",K33,0)</f>
        <v>1340</v>
      </c>
    </row>
    <row r="34" spans="1:22" x14ac:dyDescent="0.25">
      <c r="A34" s="9"/>
      <c r="B34" s="10"/>
      <c r="C34" s="11"/>
      <c r="D34" s="46">
        <f>+L18*B34*C34</f>
        <v>0</v>
      </c>
      <c r="E34" s="12">
        <v>11</v>
      </c>
      <c r="F34" s="47">
        <f t="shared" ref="F34:F40" si="18">+B34*C34*E34</f>
        <v>0</v>
      </c>
      <c r="G34" s="374"/>
      <c r="H34" s="13"/>
      <c r="I34" s="48">
        <f t="shared" si="11"/>
        <v>0</v>
      </c>
      <c r="J34" s="47">
        <f>+E34*H34</f>
        <v>0</v>
      </c>
      <c r="K34" s="47">
        <f t="shared" si="12"/>
        <v>0</v>
      </c>
      <c r="L34" s="371"/>
      <c r="N34" s="66">
        <f t="shared" ref="N34:N71" si="19">+IFERROR((I34*H34)/B34,0)</f>
        <v>0</v>
      </c>
      <c r="O34" s="67">
        <f t="shared" ref="O34:O71" si="20">+IFERROR(C34*$L$18,0)</f>
        <v>0</v>
      </c>
      <c r="P34" s="68">
        <f t="shared" si="13"/>
        <v>0</v>
      </c>
      <c r="Q34" s="68">
        <f t="shared" si="14"/>
        <v>0</v>
      </c>
      <c r="R34" s="69">
        <f t="shared" si="15"/>
        <v>0</v>
      </c>
      <c r="T34" s="70" t="str">
        <f>IFERROR(VLOOKUP(A34,VLOOKUPS!$A$3:$D$31,2,0),"Ander")</f>
        <v>Ander</v>
      </c>
      <c r="U34" s="71">
        <f t="shared" si="16"/>
        <v>0</v>
      </c>
      <c r="V34" s="71">
        <f t="shared" si="17"/>
        <v>0</v>
      </c>
    </row>
    <row r="35" spans="1:22" x14ac:dyDescent="0.25">
      <c r="A35" s="9"/>
      <c r="B35" s="10"/>
      <c r="C35" s="11"/>
      <c r="D35" s="46">
        <f>+L18*B35*C35</f>
        <v>0</v>
      </c>
      <c r="E35" s="12">
        <v>67</v>
      </c>
      <c r="F35" s="47">
        <f t="shared" si="18"/>
        <v>0</v>
      </c>
      <c r="G35" s="374"/>
      <c r="H35" s="13"/>
      <c r="I35" s="48">
        <f t="shared" si="11"/>
        <v>0</v>
      </c>
      <c r="J35" s="47">
        <f>+E35*H35</f>
        <v>0</v>
      </c>
      <c r="K35" s="47">
        <f t="shared" si="12"/>
        <v>0</v>
      </c>
      <c r="L35" s="371"/>
      <c r="N35" s="66">
        <f t="shared" si="19"/>
        <v>0</v>
      </c>
      <c r="O35" s="67">
        <f t="shared" si="20"/>
        <v>0</v>
      </c>
      <c r="P35" s="68">
        <f t="shared" si="13"/>
        <v>0</v>
      </c>
      <c r="Q35" s="68">
        <f t="shared" si="14"/>
        <v>0</v>
      </c>
      <c r="R35" s="69">
        <f t="shared" si="15"/>
        <v>0</v>
      </c>
      <c r="T35" s="70" t="str">
        <f>IFERROR(VLOOKUP(A35,VLOOKUPS!$A$3:$D$31,2,0),"Ander")</f>
        <v>Ander</v>
      </c>
      <c r="U35" s="71">
        <f t="shared" si="16"/>
        <v>0</v>
      </c>
      <c r="V35" s="71">
        <f t="shared" si="17"/>
        <v>0</v>
      </c>
    </row>
    <row r="36" spans="1:22" x14ac:dyDescent="0.25">
      <c r="A36" s="9"/>
      <c r="B36" s="10"/>
      <c r="C36" s="11"/>
      <c r="D36" s="46">
        <f t="shared" ref="D36:D37" si="21">+L19*B36*C36</f>
        <v>0</v>
      </c>
      <c r="E36" s="12"/>
      <c r="F36" s="47">
        <f t="shared" si="18"/>
        <v>0</v>
      </c>
      <c r="G36" s="374"/>
      <c r="H36" s="13"/>
      <c r="I36" s="48">
        <f t="shared" si="11"/>
        <v>0</v>
      </c>
      <c r="J36" s="47">
        <f t="shared" ref="J36:J38" si="22">+E36*H36</f>
        <v>0</v>
      </c>
      <c r="K36" s="47">
        <f t="shared" si="12"/>
        <v>0</v>
      </c>
      <c r="L36" s="371"/>
      <c r="N36" s="66">
        <f t="shared" si="19"/>
        <v>0</v>
      </c>
      <c r="O36" s="67">
        <f t="shared" si="20"/>
        <v>0</v>
      </c>
      <c r="P36" s="68">
        <f t="shared" si="13"/>
        <v>0</v>
      </c>
      <c r="Q36" s="68">
        <f t="shared" si="14"/>
        <v>0</v>
      </c>
      <c r="R36" s="69">
        <f t="shared" si="15"/>
        <v>0</v>
      </c>
      <c r="T36" s="70" t="str">
        <f>IFERROR(VLOOKUP(A36,VLOOKUPS!$A$3:$D$31,2,0),"Ander")</f>
        <v>Ander</v>
      </c>
      <c r="U36" s="71">
        <f t="shared" si="16"/>
        <v>0</v>
      </c>
      <c r="V36" s="71">
        <f t="shared" si="17"/>
        <v>0</v>
      </c>
    </row>
    <row r="37" spans="1:22" x14ac:dyDescent="0.25">
      <c r="A37" s="9"/>
      <c r="B37" s="10"/>
      <c r="C37" s="11"/>
      <c r="D37" s="46">
        <f t="shared" si="21"/>
        <v>0</v>
      </c>
      <c r="E37" s="12"/>
      <c r="F37" s="47">
        <f t="shared" si="18"/>
        <v>0</v>
      </c>
      <c r="G37" s="374"/>
      <c r="H37" s="13"/>
      <c r="I37" s="48">
        <f t="shared" si="11"/>
        <v>0</v>
      </c>
      <c r="J37" s="47">
        <f t="shared" si="22"/>
        <v>0</v>
      </c>
      <c r="K37" s="47">
        <f t="shared" si="12"/>
        <v>0</v>
      </c>
      <c r="L37" s="371"/>
      <c r="N37" s="66">
        <f t="shared" si="19"/>
        <v>0</v>
      </c>
      <c r="O37" s="67">
        <f t="shared" si="20"/>
        <v>0</v>
      </c>
      <c r="P37" s="68">
        <f t="shared" si="13"/>
        <v>0</v>
      </c>
      <c r="Q37" s="68">
        <f t="shared" si="14"/>
        <v>0</v>
      </c>
      <c r="R37" s="69">
        <f t="shared" si="15"/>
        <v>0</v>
      </c>
      <c r="T37" s="70" t="str">
        <f>IFERROR(VLOOKUP(A37,VLOOKUPS!$A$3:$D$31,2,0),"Ander")</f>
        <v>Ander</v>
      </c>
      <c r="U37" s="71">
        <f t="shared" si="16"/>
        <v>0</v>
      </c>
      <c r="V37" s="71">
        <f t="shared" si="17"/>
        <v>0</v>
      </c>
    </row>
    <row r="38" spans="1:22" x14ac:dyDescent="0.25">
      <c r="A38" s="9"/>
      <c r="B38" s="10"/>
      <c r="C38" s="11"/>
      <c r="D38" s="46">
        <f>+L18*B38*C38</f>
        <v>0</v>
      </c>
      <c r="E38" s="12"/>
      <c r="F38" s="47">
        <f t="shared" si="18"/>
        <v>0</v>
      </c>
      <c r="G38" s="374"/>
      <c r="H38" s="13"/>
      <c r="I38" s="48">
        <f t="shared" si="11"/>
        <v>0</v>
      </c>
      <c r="J38" s="47">
        <f t="shared" si="22"/>
        <v>0</v>
      </c>
      <c r="K38" s="47">
        <f t="shared" si="12"/>
        <v>0</v>
      </c>
      <c r="L38" s="371"/>
      <c r="N38" s="66">
        <f t="shared" si="19"/>
        <v>0</v>
      </c>
      <c r="O38" s="67">
        <f t="shared" si="20"/>
        <v>0</v>
      </c>
      <c r="P38" s="68">
        <f t="shared" si="13"/>
        <v>0</v>
      </c>
      <c r="Q38" s="68">
        <f t="shared" si="14"/>
        <v>0</v>
      </c>
      <c r="R38" s="69">
        <f t="shared" si="15"/>
        <v>0</v>
      </c>
      <c r="T38" s="70" t="str">
        <f>IFERROR(VLOOKUP(A38,VLOOKUPS!$A$3:$D$31,2,0),"Ander")</f>
        <v>Ander</v>
      </c>
      <c r="U38" s="71">
        <f t="shared" si="16"/>
        <v>0</v>
      </c>
      <c r="V38" s="71">
        <f t="shared" si="17"/>
        <v>0</v>
      </c>
    </row>
    <row r="39" spans="1:22" x14ac:dyDescent="0.25">
      <c r="A39" s="9"/>
      <c r="B39" s="10"/>
      <c r="C39" s="11"/>
      <c r="D39" s="46">
        <f>+L18*B39*C39</f>
        <v>0</v>
      </c>
      <c r="E39" s="12"/>
      <c r="F39" s="47">
        <f t="shared" si="18"/>
        <v>0</v>
      </c>
      <c r="G39" s="374"/>
      <c r="H39" s="13"/>
      <c r="I39" s="48">
        <f t="shared" si="11"/>
        <v>0</v>
      </c>
      <c r="J39" s="47">
        <f>+E39*H39</f>
        <v>0</v>
      </c>
      <c r="K39" s="47">
        <f t="shared" si="12"/>
        <v>0</v>
      </c>
      <c r="L39" s="371"/>
      <c r="N39" s="66">
        <f t="shared" si="19"/>
        <v>0</v>
      </c>
      <c r="O39" s="67">
        <f t="shared" si="20"/>
        <v>0</v>
      </c>
      <c r="P39" s="68">
        <f t="shared" si="13"/>
        <v>0</v>
      </c>
      <c r="Q39" s="68">
        <f t="shared" si="14"/>
        <v>0</v>
      </c>
      <c r="R39" s="69">
        <f t="shared" si="15"/>
        <v>0</v>
      </c>
      <c r="T39" s="70" t="str">
        <f>IFERROR(VLOOKUP(A39,VLOOKUPS!$A$3:$D$31,2,0),"Ander")</f>
        <v>Ander</v>
      </c>
      <c r="U39" s="71">
        <f t="shared" si="16"/>
        <v>0</v>
      </c>
      <c r="V39" s="71">
        <f t="shared" si="17"/>
        <v>0</v>
      </c>
    </row>
    <row r="40" spans="1:22" ht="15.75" thickBot="1" x14ac:dyDescent="0.3">
      <c r="A40" s="14"/>
      <c r="B40" s="15"/>
      <c r="C40" s="16"/>
      <c r="D40" s="49">
        <f>+L18*B40*C40</f>
        <v>0</v>
      </c>
      <c r="E40" s="17"/>
      <c r="F40" s="50">
        <f t="shared" si="18"/>
        <v>0</v>
      </c>
      <c r="G40" s="375"/>
      <c r="H40" s="18"/>
      <c r="I40" s="51">
        <f t="shared" si="11"/>
        <v>0</v>
      </c>
      <c r="J40" s="50">
        <f>+E40*H40</f>
        <v>0</v>
      </c>
      <c r="K40" s="50">
        <f t="shared" si="12"/>
        <v>0</v>
      </c>
      <c r="L40" s="372"/>
      <c r="N40" s="66">
        <f t="shared" si="19"/>
        <v>0</v>
      </c>
      <c r="O40" s="67">
        <f t="shared" si="20"/>
        <v>0</v>
      </c>
      <c r="P40" s="68">
        <f t="shared" si="13"/>
        <v>0</v>
      </c>
      <c r="Q40" s="68">
        <f t="shared" si="14"/>
        <v>0</v>
      </c>
      <c r="R40" s="69">
        <f t="shared" si="15"/>
        <v>0</v>
      </c>
      <c r="T40" s="70" t="str">
        <f>IFERROR(VLOOKUP(A40,VLOOKUPS!$A$3:$D$31,2,0),"Ander")</f>
        <v>Ander</v>
      </c>
      <c r="U40" s="71">
        <f t="shared" si="16"/>
        <v>0</v>
      </c>
      <c r="V40" s="71">
        <f t="shared" si="17"/>
        <v>0</v>
      </c>
    </row>
    <row r="41" spans="1:22" ht="15.75" thickBot="1" x14ac:dyDescent="0.3">
      <c r="N41" s="66"/>
      <c r="O41" s="67"/>
      <c r="P41" s="68"/>
      <c r="Q41" s="68"/>
      <c r="R41" s="69"/>
      <c r="U41" s="72">
        <f>SUM(U33:U40)</f>
        <v>0</v>
      </c>
      <c r="V41" s="72">
        <f>SUM(V33:V40)</f>
        <v>1340</v>
      </c>
    </row>
    <row r="42" spans="1:22" ht="18.75" thickTop="1" thickBot="1" x14ac:dyDescent="0.3">
      <c r="A42" s="412" t="s">
        <v>107</v>
      </c>
      <c r="B42" s="413"/>
      <c r="C42" s="413"/>
      <c r="D42" s="413"/>
      <c r="E42" s="413"/>
      <c r="F42" s="413"/>
      <c r="G42" s="413"/>
      <c r="H42" s="413"/>
      <c r="I42" s="413"/>
      <c r="J42" s="413"/>
      <c r="K42" s="413"/>
      <c r="L42" s="414"/>
      <c r="N42" s="66"/>
      <c r="O42" s="67"/>
      <c r="P42" s="68"/>
      <c r="Q42" s="68"/>
      <c r="R42" s="69"/>
      <c r="U42" s="71"/>
      <c r="V42" s="71"/>
    </row>
    <row r="43" spans="1:22" ht="43.5" thickBot="1" x14ac:dyDescent="0.3">
      <c r="A43" s="37" t="s">
        <v>1</v>
      </c>
      <c r="B43" s="38" t="s">
        <v>62</v>
      </c>
      <c r="C43" s="39" t="s">
        <v>2</v>
      </c>
      <c r="D43" s="40" t="s">
        <v>93</v>
      </c>
      <c r="E43" s="39" t="s">
        <v>61</v>
      </c>
      <c r="F43" s="40" t="s">
        <v>94</v>
      </c>
      <c r="G43" s="41" t="s">
        <v>60</v>
      </c>
      <c r="H43" s="39" t="s">
        <v>59</v>
      </c>
      <c r="I43" s="103" t="s">
        <v>56</v>
      </c>
      <c r="J43" s="40" t="s">
        <v>57</v>
      </c>
      <c r="K43" s="40" t="s">
        <v>58</v>
      </c>
      <c r="L43" s="42" t="s">
        <v>0</v>
      </c>
      <c r="N43" s="66"/>
      <c r="O43" s="67"/>
      <c r="P43" s="68"/>
      <c r="Q43" s="68"/>
      <c r="R43" s="69"/>
      <c r="U43" s="71"/>
      <c r="V43" s="71"/>
    </row>
    <row r="44" spans="1:22" x14ac:dyDescent="0.25">
      <c r="A44" s="4" t="s">
        <v>1</v>
      </c>
      <c r="B44" s="5">
        <v>1.7</v>
      </c>
      <c r="C44" s="6">
        <v>1</v>
      </c>
      <c r="D44" s="43">
        <f t="shared" ref="D44:D51" si="23">+$L$18*B44*C44</f>
        <v>85</v>
      </c>
      <c r="E44" s="7">
        <v>78</v>
      </c>
      <c r="F44" s="44">
        <f>+B44*C44*E44</f>
        <v>132.6</v>
      </c>
      <c r="G44" s="373">
        <f>SUM(F44:F51)</f>
        <v>337</v>
      </c>
      <c r="H44" s="8">
        <v>20</v>
      </c>
      <c r="I44" s="45">
        <f t="shared" ref="I44:I51" si="24">+IFERROR(ROUNDUP(D44/H44,0),0)</f>
        <v>5</v>
      </c>
      <c r="J44" s="44">
        <f>+E44*H44</f>
        <v>1560</v>
      </c>
      <c r="K44" s="44">
        <f>+I44*J44</f>
        <v>7800</v>
      </c>
      <c r="L44" s="370">
        <f>SUM(K44:K51)</f>
        <v>18384</v>
      </c>
      <c r="N44" s="66">
        <f t="shared" si="19"/>
        <v>58.82352941176471</v>
      </c>
      <c r="O44" s="67">
        <f t="shared" si="20"/>
        <v>50</v>
      </c>
      <c r="P44" s="68">
        <f t="shared" ref="P44:P51" si="25">+IFERROR(K44/N44,0)</f>
        <v>132.6</v>
      </c>
      <c r="Q44" s="68">
        <f t="shared" ref="Q44:Q51" si="26">+IFERROR(K44/O44,0)</f>
        <v>156</v>
      </c>
      <c r="R44" s="69">
        <f t="shared" ref="R44:R51" si="27">+B44*C44*E44</f>
        <v>132.6</v>
      </c>
      <c r="T44" s="70" t="str">
        <f>IFERROR(VLOOKUP(A44,VLOOKUPS!$A$3:$D$31,2,0),"Ander")</f>
        <v>Ander</v>
      </c>
      <c r="U44" s="71">
        <f t="shared" ref="U44:U51" si="28">IF(T44="Syngenta",K44,0)</f>
        <v>0</v>
      </c>
      <c r="V44" s="71">
        <f t="shared" ref="V44:V51" si="29">IF(T44="Ander",K44,0)</f>
        <v>7800</v>
      </c>
    </row>
    <row r="45" spans="1:22" x14ac:dyDescent="0.25">
      <c r="A45" s="9" t="s">
        <v>1</v>
      </c>
      <c r="B45" s="10">
        <v>7.3</v>
      </c>
      <c r="C45" s="11">
        <f>+C44</f>
        <v>1</v>
      </c>
      <c r="D45" s="46">
        <f t="shared" si="23"/>
        <v>365</v>
      </c>
      <c r="E45" s="12">
        <v>28</v>
      </c>
      <c r="F45" s="47">
        <f t="shared" ref="F45:F51" si="30">+B45*C45*E45</f>
        <v>204.4</v>
      </c>
      <c r="G45" s="374"/>
      <c r="H45" s="13">
        <v>18</v>
      </c>
      <c r="I45" s="48">
        <f t="shared" si="24"/>
        <v>21</v>
      </c>
      <c r="J45" s="47">
        <f t="shared" ref="J45:J51" si="31">+E45*H45</f>
        <v>504</v>
      </c>
      <c r="K45" s="47">
        <f t="shared" ref="K45:K51" si="32">+I45*J45</f>
        <v>10584</v>
      </c>
      <c r="L45" s="371"/>
      <c r="N45" s="66">
        <f t="shared" si="19"/>
        <v>51.780821917808218</v>
      </c>
      <c r="O45" s="67">
        <f t="shared" si="20"/>
        <v>50</v>
      </c>
      <c r="P45" s="68">
        <f t="shared" si="25"/>
        <v>204.4</v>
      </c>
      <c r="Q45" s="68">
        <f t="shared" si="26"/>
        <v>211.68</v>
      </c>
      <c r="R45" s="69">
        <f t="shared" si="27"/>
        <v>204.4</v>
      </c>
      <c r="T45" s="70" t="str">
        <f>IFERROR(VLOOKUP(A45,VLOOKUPS!$A$3:$D$31,2,0),"Ander")</f>
        <v>Ander</v>
      </c>
      <c r="U45" s="71">
        <f t="shared" si="28"/>
        <v>0</v>
      </c>
      <c r="V45" s="71">
        <f t="shared" si="29"/>
        <v>10584</v>
      </c>
    </row>
    <row r="46" spans="1:22" x14ac:dyDescent="0.25">
      <c r="A46" s="9"/>
      <c r="B46" s="10"/>
      <c r="C46" s="11"/>
      <c r="D46" s="46">
        <f t="shared" si="23"/>
        <v>0</v>
      </c>
      <c r="E46" s="12"/>
      <c r="F46" s="47">
        <f t="shared" si="30"/>
        <v>0</v>
      </c>
      <c r="G46" s="374"/>
      <c r="H46" s="13"/>
      <c r="I46" s="48">
        <f t="shared" si="24"/>
        <v>0</v>
      </c>
      <c r="J46" s="47">
        <f t="shared" si="31"/>
        <v>0</v>
      </c>
      <c r="K46" s="47">
        <f t="shared" si="32"/>
        <v>0</v>
      </c>
      <c r="L46" s="371"/>
      <c r="N46" s="66">
        <f t="shared" si="19"/>
        <v>0</v>
      </c>
      <c r="O46" s="67">
        <f t="shared" si="20"/>
        <v>0</v>
      </c>
      <c r="P46" s="68">
        <f t="shared" si="25"/>
        <v>0</v>
      </c>
      <c r="Q46" s="68">
        <f t="shared" si="26"/>
        <v>0</v>
      </c>
      <c r="R46" s="69">
        <f t="shared" si="27"/>
        <v>0</v>
      </c>
      <c r="T46" s="70" t="str">
        <f>IFERROR(VLOOKUP(A46,VLOOKUPS!$A$3:$D$31,2,0),"Ander")</f>
        <v>Ander</v>
      </c>
      <c r="U46" s="71">
        <f t="shared" si="28"/>
        <v>0</v>
      </c>
      <c r="V46" s="71">
        <f t="shared" si="29"/>
        <v>0</v>
      </c>
    </row>
    <row r="47" spans="1:22" x14ac:dyDescent="0.25">
      <c r="A47" s="9"/>
      <c r="B47" s="10"/>
      <c r="C47" s="11"/>
      <c r="D47" s="46">
        <f t="shared" si="23"/>
        <v>0</v>
      </c>
      <c r="E47" s="12"/>
      <c r="F47" s="47">
        <f t="shared" si="30"/>
        <v>0</v>
      </c>
      <c r="G47" s="374"/>
      <c r="H47" s="13"/>
      <c r="I47" s="48">
        <f t="shared" si="24"/>
        <v>0</v>
      </c>
      <c r="J47" s="47">
        <f t="shared" si="31"/>
        <v>0</v>
      </c>
      <c r="K47" s="47">
        <f t="shared" si="32"/>
        <v>0</v>
      </c>
      <c r="L47" s="371"/>
      <c r="N47" s="66"/>
      <c r="O47" s="67"/>
      <c r="P47" s="68"/>
      <c r="Q47" s="68"/>
      <c r="R47" s="69"/>
      <c r="T47" s="70" t="str">
        <f>IFERROR(VLOOKUP(A47,VLOOKUPS!$A$3:$D$31,2,0),"Ander")</f>
        <v>Ander</v>
      </c>
      <c r="U47" s="71">
        <f t="shared" si="28"/>
        <v>0</v>
      </c>
      <c r="V47" s="71">
        <f t="shared" si="29"/>
        <v>0</v>
      </c>
    </row>
    <row r="48" spans="1:22" x14ac:dyDescent="0.25">
      <c r="A48" s="9"/>
      <c r="B48" s="10"/>
      <c r="C48" s="11"/>
      <c r="D48" s="46">
        <f t="shared" si="23"/>
        <v>0</v>
      </c>
      <c r="E48" s="12"/>
      <c r="F48" s="47">
        <f t="shared" si="30"/>
        <v>0</v>
      </c>
      <c r="G48" s="374"/>
      <c r="H48" s="13"/>
      <c r="I48" s="48">
        <f t="shared" si="24"/>
        <v>0</v>
      </c>
      <c r="J48" s="47">
        <f t="shared" si="31"/>
        <v>0</v>
      </c>
      <c r="K48" s="47">
        <f t="shared" si="32"/>
        <v>0</v>
      </c>
      <c r="L48" s="371"/>
      <c r="N48" s="66"/>
      <c r="O48" s="67"/>
      <c r="P48" s="68"/>
      <c r="Q48" s="68"/>
      <c r="R48" s="69"/>
      <c r="T48" s="70" t="str">
        <f>IFERROR(VLOOKUP(A48,VLOOKUPS!$A$3:$D$31,2,0),"Ander")</f>
        <v>Ander</v>
      </c>
      <c r="U48" s="71">
        <f t="shared" si="28"/>
        <v>0</v>
      </c>
      <c r="V48" s="71">
        <f t="shared" si="29"/>
        <v>0</v>
      </c>
    </row>
    <row r="49" spans="1:22" x14ac:dyDescent="0.25">
      <c r="A49" s="9"/>
      <c r="B49" s="10"/>
      <c r="C49" s="11"/>
      <c r="D49" s="46">
        <f t="shared" si="23"/>
        <v>0</v>
      </c>
      <c r="E49" s="12"/>
      <c r="F49" s="47">
        <f t="shared" si="30"/>
        <v>0</v>
      </c>
      <c r="G49" s="374"/>
      <c r="H49" s="13"/>
      <c r="I49" s="48">
        <f t="shared" si="24"/>
        <v>0</v>
      </c>
      <c r="J49" s="47">
        <f t="shared" si="31"/>
        <v>0</v>
      </c>
      <c r="K49" s="47">
        <f t="shared" si="32"/>
        <v>0</v>
      </c>
      <c r="L49" s="371"/>
      <c r="N49" s="66">
        <f t="shared" si="19"/>
        <v>0</v>
      </c>
      <c r="O49" s="67">
        <f t="shared" si="20"/>
        <v>0</v>
      </c>
      <c r="P49" s="68">
        <f t="shared" si="25"/>
        <v>0</v>
      </c>
      <c r="Q49" s="68">
        <f t="shared" si="26"/>
        <v>0</v>
      </c>
      <c r="R49" s="69">
        <f t="shared" si="27"/>
        <v>0</v>
      </c>
      <c r="T49" s="70" t="str">
        <f>IFERROR(VLOOKUP(A49,VLOOKUPS!$A$3:$D$31,2,0),"Ander")</f>
        <v>Ander</v>
      </c>
      <c r="U49" s="71">
        <f t="shared" si="28"/>
        <v>0</v>
      </c>
      <c r="V49" s="71">
        <f t="shared" si="29"/>
        <v>0</v>
      </c>
    </row>
    <row r="50" spans="1:22" x14ac:dyDescent="0.25">
      <c r="A50" s="9"/>
      <c r="B50" s="10"/>
      <c r="C50" s="11"/>
      <c r="D50" s="46">
        <f t="shared" si="23"/>
        <v>0</v>
      </c>
      <c r="E50" s="12"/>
      <c r="F50" s="47">
        <f t="shared" si="30"/>
        <v>0</v>
      </c>
      <c r="G50" s="374"/>
      <c r="H50" s="13"/>
      <c r="I50" s="48">
        <f t="shared" si="24"/>
        <v>0</v>
      </c>
      <c r="J50" s="47">
        <f t="shared" si="31"/>
        <v>0</v>
      </c>
      <c r="K50" s="47">
        <f t="shared" si="32"/>
        <v>0</v>
      </c>
      <c r="L50" s="371"/>
      <c r="N50" s="66">
        <f t="shared" si="19"/>
        <v>0</v>
      </c>
      <c r="O50" s="67">
        <f t="shared" si="20"/>
        <v>0</v>
      </c>
      <c r="P50" s="68">
        <f t="shared" si="25"/>
        <v>0</v>
      </c>
      <c r="Q50" s="68">
        <f t="shared" si="26"/>
        <v>0</v>
      </c>
      <c r="R50" s="69">
        <f t="shared" si="27"/>
        <v>0</v>
      </c>
      <c r="T50" s="70" t="str">
        <f>IFERROR(VLOOKUP(A50,VLOOKUPS!$A$3:$D$31,2,0),"Ander")</f>
        <v>Ander</v>
      </c>
      <c r="U50" s="71">
        <f t="shared" si="28"/>
        <v>0</v>
      </c>
      <c r="V50" s="71">
        <f t="shared" si="29"/>
        <v>0</v>
      </c>
    </row>
    <row r="51" spans="1:22" ht="15.75" thickBot="1" x14ac:dyDescent="0.3">
      <c r="A51" s="14"/>
      <c r="B51" s="15"/>
      <c r="C51" s="16"/>
      <c r="D51" s="49">
        <f t="shared" si="23"/>
        <v>0</v>
      </c>
      <c r="E51" s="17"/>
      <c r="F51" s="50">
        <f t="shared" si="30"/>
        <v>0</v>
      </c>
      <c r="G51" s="375"/>
      <c r="H51" s="18"/>
      <c r="I51" s="51">
        <f t="shared" si="24"/>
        <v>0</v>
      </c>
      <c r="J51" s="50">
        <f t="shared" si="31"/>
        <v>0</v>
      </c>
      <c r="K51" s="50">
        <f t="shared" si="32"/>
        <v>0</v>
      </c>
      <c r="L51" s="372"/>
      <c r="N51" s="66">
        <f t="shared" si="19"/>
        <v>0</v>
      </c>
      <c r="O51" s="67">
        <f t="shared" si="20"/>
        <v>0</v>
      </c>
      <c r="P51" s="68">
        <f t="shared" si="25"/>
        <v>0</v>
      </c>
      <c r="Q51" s="68">
        <f t="shared" si="26"/>
        <v>0</v>
      </c>
      <c r="R51" s="69">
        <f t="shared" si="27"/>
        <v>0</v>
      </c>
      <c r="T51" s="70" t="str">
        <f>IFERROR(VLOOKUP(A51,VLOOKUPS!$A$3:$D$31,2,0),"Ander")</f>
        <v>Ander</v>
      </c>
      <c r="U51" s="71">
        <f t="shared" si="28"/>
        <v>0</v>
      </c>
      <c r="V51" s="71">
        <f t="shared" si="29"/>
        <v>0</v>
      </c>
    </row>
    <row r="52" spans="1:22" ht="15.75" thickBot="1" x14ac:dyDescent="0.3">
      <c r="N52" s="66"/>
      <c r="O52" s="67"/>
      <c r="P52" s="68"/>
      <c r="Q52" s="68"/>
      <c r="R52" s="69"/>
      <c r="U52" s="72">
        <f>SUM(U44:U51)</f>
        <v>0</v>
      </c>
      <c r="V52" s="72">
        <f>SUM(V44:V51)</f>
        <v>18384</v>
      </c>
    </row>
    <row r="53" spans="1:22" ht="18.75" thickTop="1" thickBot="1" x14ac:dyDescent="0.3">
      <c r="A53" s="412" t="s">
        <v>64</v>
      </c>
      <c r="B53" s="413"/>
      <c r="C53" s="413"/>
      <c r="D53" s="413"/>
      <c r="E53" s="413"/>
      <c r="F53" s="413"/>
      <c r="G53" s="413"/>
      <c r="H53" s="413"/>
      <c r="I53" s="413"/>
      <c r="J53" s="413"/>
      <c r="K53" s="413"/>
      <c r="L53" s="414"/>
      <c r="N53" s="66"/>
      <c r="O53" s="67"/>
      <c r="P53" s="68"/>
      <c r="Q53" s="68"/>
      <c r="R53" s="69"/>
      <c r="U53" s="71"/>
      <c r="V53" s="71"/>
    </row>
    <row r="54" spans="1:22" ht="43.5" thickBot="1" x14ac:dyDescent="0.3">
      <c r="A54" s="37" t="s">
        <v>1</v>
      </c>
      <c r="B54" s="38" t="s">
        <v>62</v>
      </c>
      <c r="C54" s="39" t="s">
        <v>2</v>
      </c>
      <c r="D54" s="40" t="s">
        <v>93</v>
      </c>
      <c r="E54" s="39" t="s">
        <v>61</v>
      </c>
      <c r="F54" s="40" t="s">
        <v>94</v>
      </c>
      <c r="G54" s="41" t="s">
        <v>60</v>
      </c>
      <c r="H54" s="39" t="s">
        <v>59</v>
      </c>
      <c r="I54" s="103" t="s">
        <v>56</v>
      </c>
      <c r="J54" s="40" t="s">
        <v>57</v>
      </c>
      <c r="K54" s="40" t="s">
        <v>58</v>
      </c>
      <c r="L54" s="42" t="s">
        <v>0</v>
      </c>
      <c r="N54" s="66"/>
      <c r="O54" s="67"/>
      <c r="P54" s="68"/>
      <c r="Q54" s="68"/>
      <c r="R54" s="69"/>
      <c r="U54" s="71"/>
      <c r="V54" s="71"/>
    </row>
    <row r="55" spans="1:22" x14ac:dyDescent="0.25">
      <c r="A55" s="4" t="s">
        <v>1</v>
      </c>
      <c r="B55" s="5">
        <v>2</v>
      </c>
      <c r="C55" s="6">
        <v>1</v>
      </c>
      <c r="D55" s="43">
        <f>+L18*B55*C55</f>
        <v>100</v>
      </c>
      <c r="E55" s="7">
        <v>69</v>
      </c>
      <c r="F55" s="44">
        <f>+B55*C55*E55</f>
        <v>138</v>
      </c>
      <c r="G55" s="373">
        <f>SUM(F55:F64)</f>
        <v>313.20000000000005</v>
      </c>
      <c r="H55" s="8">
        <v>20</v>
      </c>
      <c r="I55" s="45">
        <f t="shared" ref="I55:I64" si="33">+IFERROR(ROUNDUP(D55/H55,0),0)</f>
        <v>5</v>
      </c>
      <c r="J55" s="44">
        <f>+E55*H55</f>
        <v>1380</v>
      </c>
      <c r="K55" s="44">
        <f>+I55*J55</f>
        <v>6900</v>
      </c>
      <c r="L55" s="370">
        <f>SUM(K55:K64)</f>
        <v>17620</v>
      </c>
      <c r="N55" s="66">
        <f t="shared" si="19"/>
        <v>50</v>
      </c>
      <c r="O55" s="67">
        <f t="shared" si="20"/>
        <v>50</v>
      </c>
      <c r="P55" s="68">
        <f t="shared" ref="P55:P64" si="34">+IFERROR(K55/N55,0)</f>
        <v>138</v>
      </c>
      <c r="Q55" s="68">
        <f t="shared" ref="Q55:Q64" si="35">+IFERROR(K55/O55,0)</f>
        <v>138</v>
      </c>
      <c r="R55" s="69">
        <f t="shared" ref="R55:R64" si="36">+B55*C55*E55</f>
        <v>138</v>
      </c>
      <c r="T55" s="70" t="str">
        <f>IFERROR(VLOOKUP(A55,VLOOKUPS!$A$3:$D$31,2,0),"Ander")</f>
        <v>Ander</v>
      </c>
      <c r="U55" s="71">
        <f t="shared" ref="U55:U64" si="37">IF(T55="Syngenta",K55,0)</f>
        <v>0</v>
      </c>
      <c r="V55" s="71">
        <f t="shared" ref="V55:V64" si="38">IF(T55="Ander",K55,0)</f>
        <v>6900</v>
      </c>
    </row>
    <row r="56" spans="1:22" x14ac:dyDescent="0.25">
      <c r="A56" s="9" t="s">
        <v>1</v>
      </c>
      <c r="B56" s="10">
        <v>0.6</v>
      </c>
      <c r="C56" s="11">
        <f>+C55</f>
        <v>1</v>
      </c>
      <c r="D56" s="46">
        <f>+L18*B56*C56</f>
        <v>30</v>
      </c>
      <c r="E56" s="12">
        <v>148</v>
      </c>
      <c r="F56" s="47">
        <f t="shared" ref="F56:F64" si="39">+B56*C56*E56</f>
        <v>88.8</v>
      </c>
      <c r="G56" s="374"/>
      <c r="H56" s="13">
        <v>20</v>
      </c>
      <c r="I56" s="48">
        <f t="shared" si="33"/>
        <v>2</v>
      </c>
      <c r="J56" s="47">
        <f t="shared" ref="J56:J64" si="40">+E56*H56</f>
        <v>2960</v>
      </c>
      <c r="K56" s="47">
        <f t="shared" ref="K56:K64" si="41">+I56*J56</f>
        <v>5920</v>
      </c>
      <c r="L56" s="371"/>
      <c r="N56" s="66">
        <f t="shared" si="19"/>
        <v>66.666666666666671</v>
      </c>
      <c r="O56" s="67">
        <f t="shared" si="20"/>
        <v>50</v>
      </c>
      <c r="P56" s="68">
        <f t="shared" si="34"/>
        <v>88.8</v>
      </c>
      <c r="Q56" s="68">
        <f t="shared" si="35"/>
        <v>118.4</v>
      </c>
      <c r="R56" s="69">
        <f t="shared" si="36"/>
        <v>88.8</v>
      </c>
      <c r="T56" s="70" t="str">
        <f>IFERROR(VLOOKUP(A56,VLOOKUPS!$A$3:$D$31,2,0),"Ander")</f>
        <v>Ander</v>
      </c>
      <c r="U56" s="71">
        <f t="shared" si="37"/>
        <v>0</v>
      </c>
      <c r="V56" s="71">
        <f t="shared" si="38"/>
        <v>5920</v>
      </c>
    </row>
    <row r="57" spans="1:22" x14ac:dyDescent="0.25">
      <c r="A57" s="9" t="s">
        <v>1</v>
      </c>
      <c r="B57" s="10">
        <v>1.8</v>
      </c>
      <c r="C57" s="11">
        <v>1</v>
      </c>
      <c r="D57" s="46">
        <f>L18*B57*C57</f>
        <v>90</v>
      </c>
      <c r="E57" s="12">
        <v>48</v>
      </c>
      <c r="F57" s="47">
        <f t="shared" si="39"/>
        <v>86.4</v>
      </c>
      <c r="G57" s="374"/>
      <c r="H57" s="13">
        <v>25</v>
      </c>
      <c r="I57" s="48">
        <f t="shared" si="33"/>
        <v>4</v>
      </c>
      <c r="J57" s="47">
        <f t="shared" si="40"/>
        <v>1200</v>
      </c>
      <c r="K57" s="47">
        <f t="shared" si="41"/>
        <v>4800</v>
      </c>
      <c r="L57" s="371"/>
      <c r="N57" s="66">
        <f t="shared" si="19"/>
        <v>55.555555555555557</v>
      </c>
      <c r="O57" s="67">
        <f t="shared" si="20"/>
        <v>50</v>
      </c>
      <c r="P57" s="68">
        <f t="shared" si="34"/>
        <v>86.399999999999991</v>
      </c>
      <c r="Q57" s="68">
        <f t="shared" si="35"/>
        <v>96</v>
      </c>
      <c r="R57" s="69">
        <f t="shared" si="36"/>
        <v>86.4</v>
      </c>
      <c r="T57" s="70" t="str">
        <f>IFERROR(VLOOKUP(A57,VLOOKUPS!$A$3:$D$31,2,0),"Ander")</f>
        <v>Ander</v>
      </c>
      <c r="U57" s="71">
        <f t="shared" si="37"/>
        <v>0</v>
      </c>
      <c r="V57" s="71">
        <f t="shared" si="38"/>
        <v>4800</v>
      </c>
    </row>
    <row r="58" spans="1:22" x14ac:dyDescent="0.25">
      <c r="A58" s="9"/>
      <c r="B58" s="10"/>
      <c r="C58" s="11"/>
      <c r="D58" s="46">
        <f>L18*B58*C58</f>
        <v>0</v>
      </c>
      <c r="E58" s="12"/>
      <c r="F58" s="47">
        <f t="shared" si="39"/>
        <v>0</v>
      </c>
      <c r="G58" s="374"/>
      <c r="H58" s="13"/>
      <c r="I58" s="48">
        <f t="shared" si="33"/>
        <v>0</v>
      </c>
      <c r="J58" s="47">
        <f t="shared" si="40"/>
        <v>0</v>
      </c>
      <c r="K58" s="47">
        <f t="shared" si="41"/>
        <v>0</v>
      </c>
      <c r="L58" s="371"/>
      <c r="N58" s="66"/>
      <c r="O58" s="67"/>
      <c r="P58" s="68"/>
      <c r="Q58" s="68"/>
      <c r="R58" s="69"/>
      <c r="T58" s="70" t="str">
        <f>IFERROR(VLOOKUP(A58,VLOOKUPS!$A$3:$D$31,2,0),"Ander")</f>
        <v>Ander</v>
      </c>
      <c r="U58" s="71">
        <f t="shared" si="37"/>
        <v>0</v>
      </c>
      <c r="V58" s="71">
        <f t="shared" si="38"/>
        <v>0</v>
      </c>
    </row>
    <row r="59" spans="1:22" x14ac:dyDescent="0.25">
      <c r="A59" s="9"/>
      <c r="B59" s="10"/>
      <c r="C59" s="11"/>
      <c r="D59" s="46">
        <f>L18*B59*C59</f>
        <v>0</v>
      </c>
      <c r="E59" s="12"/>
      <c r="F59" s="47">
        <f t="shared" si="39"/>
        <v>0</v>
      </c>
      <c r="G59" s="374"/>
      <c r="H59" s="13"/>
      <c r="I59" s="48">
        <f t="shared" si="33"/>
        <v>0</v>
      </c>
      <c r="J59" s="47">
        <f t="shared" si="40"/>
        <v>0</v>
      </c>
      <c r="K59" s="47">
        <f t="shared" si="41"/>
        <v>0</v>
      </c>
      <c r="L59" s="371"/>
      <c r="N59" s="66"/>
      <c r="O59" s="67"/>
      <c r="P59" s="68"/>
      <c r="Q59" s="68"/>
      <c r="R59" s="69"/>
      <c r="T59" s="70" t="str">
        <f>IFERROR(VLOOKUP(A59,VLOOKUPS!$A$3:$D$31,2,0),"Ander")</f>
        <v>Ander</v>
      </c>
      <c r="U59" s="71">
        <f t="shared" si="37"/>
        <v>0</v>
      </c>
      <c r="V59" s="71">
        <f t="shared" si="38"/>
        <v>0</v>
      </c>
    </row>
    <row r="60" spans="1:22" x14ac:dyDescent="0.25">
      <c r="A60" s="9"/>
      <c r="B60" s="10"/>
      <c r="C60" s="11"/>
      <c r="D60" s="46">
        <f t="shared" ref="D60:D61" si="42">L19*B60*C60</f>
        <v>0</v>
      </c>
      <c r="E60" s="12"/>
      <c r="F60" s="47">
        <f t="shared" si="39"/>
        <v>0</v>
      </c>
      <c r="G60" s="374"/>
      <c r="H60" s="13"/>
      <c r="I60" s="48">
        <f t="shared" si="33"/>
        <v>0</v>
      </c>
      <c r="J60" s="47">
        <f t="shared" si="40"/>
        <v>0</v>
      </c>
      <c r="K60" s="47">
        <f t="shared" si="41"/>
        <v>0</v>
      </c>
      <c r="L60" s="371"/>
      <c r="N60" s="66"/>
      <c r="O60" s="67"/>
      <c r="P60" s="68"/>
      <c r="Q60" s="68"/>
      <c r="R60" s="69"/>
      <c r="T60" s="70" t="str">
        <f>IFERROR(VLOOKUP(A60,VLOOKUPS!$A$3:$D$31,2,0),"Ander")</f>
        <v>Ander</v>
      </c>
      <c r="U60" s="71">
        <f t="shared" si="37"/>
        <v>0</v>
      </c>
      <c r="V60" s="71">
        <f t="shared" si="38"/>
        <v>0</v>
      </c>
    </row>
    <row r="61" spans="1:22" x14ac:dyDescent="0.25">
      <c r="A61" s="9"/>
      <c r="B61" s="10"/>
      <c r="C61" s="11"/>
      <c r="D61" s="46">
        <f t="shared" si="42"/>
        <v>0</v>
      </c>
      <c r="E61" s="12"/>
      <c r="F61" s="47">
        <f t="shared" si="39"/>
        <v>0</v>
      </c>
      <c r="G61" s="374"/>
      <c r="H61" s="13"/>
      <c r="I61" s="48">
        <f t="shared" si="33"/>
        <v>0</v>
      </c>
      <c r="J61" s="47">
        <f t="shared" si="40"/>
        <v>0</v>
      </c>
      <c r="K61" s="47">
        <f t="shared" si="41"/>
        <v>0</v>
      </c>
      <c r="L61" s="371"/>
      <c r="N61" s="66"/>
      <c r="O61" s="67"/>
      <c r="P61" s="68"/>
      <c r="Q61" s="68"/>
      <c r="R61" s="69"/>
      <c r="T61" s="70" t="str">
        <f>IFERROR(VLOOKUP(A61,VLOOKUPS!$A$3:$D$31,2,0),"Ander")</f>
        <v>Ander</v>
      </c>
      <c r="U61" s="71">
        <f t="shared" si="37"/>
        <v>0</v>
      </c>
      <c r="V61" s="71">
        <f t="shared" si="38"/>
        <v>0</v>
      </c>
    </row>
    <row r="62" spans="1:22" x14ac:dyDescent="0.25">
      <c r="A62" s="9"/>
      <c r="B62" s="10"/>
      <c r="C62" s="11"/>
      <c r="D62" s="46">
        <f>L18*B62*C62</f>
        <v>0</v>
      </c>
      <c r="E62" s="12"/>
      <c r="F62" s="47">
        <f t="shared" si="39"/>
        <v>0</v>
      </c>
      <c r="G62" s="374"/>
      <c r="H62" s="13"/>
      <c r="I62" s="48">
        <f t="shared" si="33"/>
        <v>0</v>
      </c>
      <c r="J62" s="47">
        <f t="shared" si="40"/>
        <v>0</v>
      </c>
      <c r="K62" s="47">
        <f t="shared" si="41"/>
        <v>0</v>
      </c>
      <c r="L62" s="371"/>
      <c r="N62" s="66">
        <f t="shared" si="19"/>
        <v>0</v>
      </c>
      <c r="O62" s="67">
        <f t="shared" si="20"/>
        <v>0</v>
      </c>
      <c r="P62" s="68">
        <f t="shared" si="34"/>
        <v>0</v>
      </c>
      <c r="Q62" s="68">
        <f t="shared" si="35"/>
        <v>0</v>
      </c>
      <c r="R62" s="69">
        <f t="shared" si="36"/>
        <v>0</v>
      </c>
      <c r="T62" s="70" t="str">
        <f>IFERROR(VLOOKUP(A62,VLOOKUPS!$A$3:$D$31,2,0),"Ander")</f>
        <v>Ander</v>
      </c>
      <c r="U62" s="71">
        <f t="shared" si="37"/>
        <v>0</v>
      </c>
      <c r="V62" s="71">
        <f t="shared" si="38"/>
        <v>0</v>
      </c>
    </row>
    <row r="63" spans="1:22" x14ac:dyDescent="0.25">
      <c r="A63" s="9"/>
      <c r="B63" s="10"/>
      <c r="C63" s="11"/>
      <c r="D63" s="46">
        <f>L18*B63*C63</f>
        <v>0</v>
      </c>
      <c r="E63" s="12"/>
      <c r="F63" s="47">
        <f t="shared" si="39"/>
        <v>0</v>
      </c>
      <c r="G63" s="374"/>
      <c r="H63" s="13"/>
      <c r="I63" s="48">
        <f t="shared" si="33"/>
        <v>0</v>
      </c>
      <c r="J63" s="47">
        <f t="shared" si="40"/>
        <v>0</v>
      </c>
      <c r="K63" s="47">
        <f t="shared" si="41"/>
        <v>0</v>
      </c>
      <c r="L63" s="371"/>
      <c r="N63" s="66">
        <f t="shared" si="19"/>
        <v>0</v>
      </c>
      <c r="O63" s="67">
        <f t="shared" si="20"/>
        <v>0</v>
      </c>
      <c r="P63" s="68">
        <f t="shared" si="34"/>
        <v>0</v>
      </c>
      <c r="Q63" s="68">
        <f t="shared" si="35"/>
        <v>0</v>
      </c>
      <c r="R63" s="69">
        <f t="shared" si="36"/>
        <v>0</v>
      </c>
      <c r="T63" s="70" t="str">
        <f>IFERROR(VLOOKUP(A63,VLOOKUPS!$A$3:$D$31,2,0),"Ander")</f>
        <v>Ander</v>
      </c>
      <c r="U63" s="71">
        <f t="shared" si="37"/>
        <v>0</v>
      </c>
      <c r="V63" s="71">
        <f t="shared" si="38"/>
        <v>0</v>
      </c>
    </row>
    <row r="64" spans="1:22" ht="15.75" thickBot="1" x14ac:dyDescent="0.3">
      <c r="A64" s="14"/>
      <c r="B64" s="15"/>
      <c r="C64" s="16"/>
      <c r="D64" s="49">
        <f>L18*B64*C64</f>
        <v>0</v>
      </c>
      <c r="E64" s="17"/>
      <c r="F64" s="50">
        <f t="shared" si="39"/>
        <v>0</v>
      </c>
      <c r="G64" s="375"/>
      <c r="H64" s="18"/>
      <c r="I64" s="51">
        <f t="shared" si="33"/>
        <v>0</v>
      </c>
      <c r="J64" s="50">
        <f t="shared" si="40"/>
        <v>0</v>
      </c>
      <c r="K64" s="50">
        <f t="shared" si="41"/>
        <v>0</v>
      </c>
      <c r="L64" s="372"/>
      <c r="N64" s="66">
        <f t="shared" si="19"/>
        <v>0</v>
      </c>
      <c r="O64" s="67">
        <f t="shared" si="20"/>
        <v>0</v>
      </c>
      <c r="P64" s="68">
        <f t="shared" si="34"/>
        <v>0</v>
      </c>
      <c r="Q64" s="68">
        <f t="shared" si="35"/>
        <v>0</v>
      </c>
      <c r="R64" s="69">
        <f t="shared" si="36"/>
        <v>0</v>
      </c>
      <c r="T64" s="70" t="str">
        <f>IFERROR(VLOOKUP(A64,VLOOKUPS!$A$3:$D$31,2,0),"Ander")</f>
        <v>Ander</v>
      </c>
      <c r="U64" s="71">
        <f t="shared" si="37"/>
        <v>0</v>
      </c>
      <c r="V64" s="71">
        <f t="shared" si="38"/>
        <v>0</v>
      </c>
    </row>
    <row r="65" spans="1:22" ht="15.75" thickBot="1" x14ac:dyDescent="0.3">
      <c r="N65" s="66"/>
      <c r="O65" s="67"/>
      <c r="P65" s="68"/>
      <c r="Q65" s="68"/>
      <c r="R65" s="69"/>
      <c r="U65" s="72">
        <f>SUM(U55:U64)</f>
        <v>0</v>
      </c>
      <c r="V65" s="72">
        <f>SUM(V55:V64)</f>
        <v>17620</v>
      </c>
    </row>
    <row r="66" spans="1:22" ht="18.75" thickTop="1" thickBot="1" x14ac:dyDescent="0.35">
      <c r="A66" s="409" t="s">
        <v>67</v>
      </c>
      <c r="B66" s="410"/>
      <c r="C66" s="410"/>
      <c r="D66" s="410"/>
      <c r="E66" s="410"/>
      <c r="F66" s="410"/>
      <c r="G66" s="410"/>
      <c r="H66" s="410"/>
      <c r="I66" s="410"/>
      <c r="J66" s="410"/>
      <c r="K66" s="410"/>
      <c r="L66" s="411"/>
      <c r="N66" s="66"/>
      <c r="O66" s="67"/>
      <c r="P66" s="68"/>
      <c r="Q66" s="68"/>
      <c r="R66" s="69"/>
      <c r="U66" s="71"/>
      <c r="V66" s="71"/>
    </row>
    <row r="67" spans="1:22" ht="43.5" thickBot="1" x14ac:dyDescent="0.3">
      <c r="A67" s="37" t="s">
        <v>1</v>
      </c>
      <c r="B67" s="38" t="s">
        <v>62</v>
      </c>
      <c r="C67" s="39" t="s">
        <v>2</v>
      </c>
      <c r="D67" s="40" t="s">
        <v>93</v>
      </c>
      <c r="E67" s="39" t="s">
        <v>61</v>
      </c>
      <c r="F67" s="40" t="s">
        <v>94</v>
      </c>
      <c r="G67" s="41" t="s">
        <v>60</v>
      </c>
      <c r="H67" s="39" t="s">
        <v>59</v>
      </c>
      <c r="I67" s="103" t="s">
        <v>56</v>
      </c>
      <c r="J67" s="40" t="s">
        <v>57</v>
      </c>
      <c r="K67" s="40" t="s">
        <v>58</v>
      </c>
      <c r="L67" s="42" t="s">
        <v>0</v>
      </c>
      <c r="N67" s="66"/>
      <c r="O67" s="67"/>
      <c r="P67" s="68"/>
      <c r="Q67" s="68"/>
      <c r="R67" s="69"/>
      <c r="U67" s="71"/>
      <c r="V67" s="71"/>
    </row>
    <row r="68" spans="1:22" x14ac:dyDescent="0.25">
      <c r="A68" s="4" t="s">
        <v>1</v>
      </c>
      <c r="B68" s="5">
        <v>0.5</v>
      </c>
      <c r="C68" s="6">
        <v>1</v>
      </c>
      <c r="D68" s="43">
        <f>+L18*B68*C68</f>
        <v>25</v>
      </c>
      <c r="E68" s="7">
        <v>250</v>
      </c>
      <c r="F68" s="44">
        <f>+B68*C68*E68</f>
        <v>125</v>
      </c>
      <c r="G68" s="373">
        <f>SUM(F68:F71)</f>
        <v>125</v>
      </c>
      <c r="H68" s="8">
        <v>5</v>
      </c>
      <c r="I68" s="45">
        <f t="shared" ref="I68:I71" si="43">+IFERROR(ROUNDUP(D68/H68,0),0)</f>
        <v>5</v>
      </c>
      <c r="J68" s="44">
        <f>+E68*H68</f>
        <v>1250</v>
      </c>
      <c r="K68" s="44">
        <f>+I68*J68</f>
        <v>6250</v>
      </c>
      <c r="L68" s="370">
        <f>SUM(K68:K71)</f>
        <v>6250</v>
      </c>
      <c r="N68" s="66">
        <f t="shared" si="19"/>
        <v>50</v>
      </c>
      <c r="O68" s="67">
        <f t="shared" si="20"/>
        <v>50</v>
      </c>
      <c r="P68" s="68">
        <f t="shared" ref="P68:P71" si="44">+IFERROR(K68/N68,0)</f>
        <v>125</v>
      </c>
      <c r="Q68" s="68">
        <f t="shared" ref="Q68:Q71" si="45">+IFERROR(K68/O68,0)</f>
        <v>125</v>
      </c>
      <c r="R68" s="69">
        <f t="shared" ref="R68:R71" si="46">+B68*C68*E68</f>
        <v>125</v>
      </c>
      <c r="T68" s="70" t="str">
        <f>IFERROR(VLOOKUP(A68,VLOOKUPS!$A$3:$D$31,2,0),"Ander")</f>
        <v>Ander</v>
      </c>
      <c r="U68" s="71">
        <f t="shared" ref="U68:U71" si="47">IF(T68="Syngenta",K68,0)</f>
        <v>0</v>
      </c>
      <c r="V68" s="71">
        <f t="shared" ref="V68:V71" si="48">IF(T68="Ander",K68,0)</f>
        <v>6250</v>
      </c>
    </row>
    <row r="69" spans="1:22" x14ac:dyDescent="0.25">
      <c r="A69" s="9"/>
      <c r="B69" s="10"/>
      <c r="C69" s="11"/>
      <c r="D69" s="46">
        <f>+L18*B69*C69</f>
        <v>0</v>
      </c>
      <c r="E69" s="12"/>
      <c r="F69" s="47">
        <f t="shared" ref="F69:F71" si="49">+B69*C69*E69</f>
        <v>0</v>
      </c>
      <c r="G69" s="374"/>
      <c r="H69" s="13"/>
      <c r="I69" s="48">
        <f t="shared" si="43"/>
        <v>0</v>
      </c>
      <c r="J69" s="47">
        <f t="shared" ref="J69:J71" si="50">+E69*H69</f>
        <v>0</v>
      </c>
      <c r="K69" s="47">
        <f t="shared" ref="K69:K71" si="51">+I69*J69</f>
        <v>0</v>
      </c>
      <c r="L69" s="371"/>
      <c r="N69" s="66">
        <f t="shared" si="19"/>
        <v>0</v>
      </c>
      <c r="O69" s="67">
        <f t="shared" si="20"/>
        <v>0</v>
      </c>
      <c r="P69" s="68">
        <f t="shared" si="44"/>
        <v>0</v>
      </c>
      <c r="Q69" s="68">
        <f t="shared" si="45"/>
        <v>0</v>
      </c>
      <c r="R69" s="69">
        <f t="shared" si="46"/>
        <v>0</v>
      </c>
      <c r="T69" s="70" t="str">
        <f>IFERROR(VLOOKUP(A69,VLOOKUPS!$A$3:$D$31,2,0),"Ander")</f>
        <v>Ander</v>
      </c>
      <c r="U69" s="71">
        <f t="shared" si="47"/>
        <v>0</v>
      </c>
      <c r="V69" s="71">
        <f t="shared" si="48"/>
        <v>0</v>
      </c>
    </row>
    <row r="70" spans="1:22" x14ac:dyDescent="0.25">
      <c r="A70" s="9"/>
      <c r="B70" s="10"/>
      <c r="C70" s="11"/>
      <c r="D70" s="46">
        <f>L18*B70*C70</f>
        <v>0</v>
      </c>
      <c r="E70" s="12"/>
      <c r="F70" s="47">
        <f t="shared" si="49"/>
        <v>0</v>
      </c>
      <c r="G70" s="374"/>
      <c r="H70" s="13"/>
      <c r="I70" s="48">
        <f t="shared" si="43"/>
        <v>0</v>
      </c>
      <c r="J70" s="47">
        <f t="shared" si="50"/>
        <v>0</v>
      </c>
      <c r="K70" s="47">
        <f t="shared" si="51"/>
        <v>0</v>
      </c>
      <c r="L70" s="371"/>
      <c r="N70" s="66">
        <f t="shared" si="19"/>
        <v>0</v>
      </c>
      <c r="O70" s="67">
        <f t="shared" si="20"/>
        <v>0</v>
      </c>
      <c r="P70" s="68">
        <f t="shared" si="44"/>
        <v>0</v>
      </c>
      <c r="Q70" s="68">
        <f t="shared" si="45"/>
        <v>0</v>
      </c>
      <c r="R70" s="69">
        <f t="shared" si="46"/>
        <v>0</v>
      </c>
      <c r="T70" s="70" t="str">
        <f>IFERROR(VLOOKUP(A70,VLOOKUPS!$A$3:$D$31,2,0),"Ander")</f>
        <v>Ander</v>
      </c>
      <c r="U70" s="71">
        <f t="shared" si="47"/>
        <v>0</v>
      </c>
      <c r="V70" s="71">
        <f t="shared" si="48"/>
        <v>0</v>
      </c>
    </row>
    <row r="71" spans="1:22" ht="15.75" thickBot="1" x14ac:dyDescent="0.3">
      <c r="A71" s="14"/>
      <c r="B71" s="15"/>
      <c r="C71" s="16"/>
      <c r="D71" s="49">
        <f>+L18*B71*C71</f>
        <v>0</v>
      </c>
      <c r="E71" s="17"/>
      <c r="F71" s="50">
        <f t="shared" si="49"/>
        <v>0</v>
      </c>
      <c r="G71" s="375"/>
      <c r="H71" s="18"/>
      <c r="I71" s="51">
        <f t="shared" si="43"/>
        <v>0</v>
      </c>
      <c r="J71" s="50">
        <f t="shared" si="50"/>
        <v>0</v>
      </c>
      <c r="K71" s="50">
        <f t="shared" si="51"/>
        <v>0</v>
      </c>
      <c r="L71" s="372"/>
      <c r="N71" s="66">
        <f t="shared" si="19"/>
        <v>0</v>
      </c>
      <c r="O71" s="67">
        <f t="shared" si="20"/>
        <v>0</v>
      </c>
      <c r="P71" s="68">
        <f t="shared" si="44"/>
        <v>0</v>
      </c>
      <c r="Q71" s="68">
        <f t="shared" si="45"/>
        <v>0</v>
      </c>
      <c r="R71" s="69">
        <f t="shared" si="46"/>
        <v>0</v>
      </c>
      <c r="T71" s="70" t="str">
        <f>IFERROR(VLOOKUP(A71,VLOOKUPS!$A$3:$D$31,2,0),"Ander")</f>
        <v>Ander</v>
      </c>
      <c r="U71" s="71">
        <f t="shared" si="47"/>
        <v>0</v>
      </c>
      <c r="V71" s="71">
        <f t="shared" si="48"/>
        <v>0</v>
      </c>
    </row>
    <row r="72" spans="1:22" ht="15.75" thickBot="1" x14ac:dyDescent="0.3">
      <c r="U72" s="72">
        <f>SUM(U68:U71)</f>
        <v>0</v>
      </c>
      <c r="V72" s="72">
        <f>SUM(V68:V71)</f>
        <v>6250</v>
      </c>
    </row>
    <row r="73" spans="1:22" ht="15.75" thickTop="1" x14ac:dyDescent="0.25">
      <c r="U73" s="73"/>
      <c r="V73" s="73"/>
    </row>
    <row r="74" spans="1:22" ht="15" customHeight="1" thickBot="1" x14ac:dyDescent="0.3">
      <c r="B74" s="395" t="s">
        <v>89</v>
      </c>
      <c r="C74" s="396"/>
      <c r="D74" s="396"/>
      <c r="E74" s="396"/>
      <c r="F74" s="396"/>
      <c r="G74" s="396"/>
      <c r="H74" s="396"/>
      <c r="I74" s="396"/>
      <c r="J74" s="396"/>
      <c r="K74" s="397"/>
    </row>
    <row r="75" spans="1:22" ht="15.75" thickBot="1" x14ac:dyDescent="0.3">
      <c r="B75" s="398"/>
      <c r="C75" s="399"/>
      <c r="D75" s="399"/>
      <c r="E75" s="399"/>
      <c r="F75" s="399"/>
      <c r="G75" s="399"/>
      <c r="H75" s="399"/>
      <c r="I75" s="399"/>
      <c r="J75" s="399"/>
      <c r="K75" s="400"/>
      <c r="T75" s="74" t="s">
        <v>76</v>
      </c>
      <c r="U75" s="105">
        <f>U72+U65+U52+U41+U30</f>
        <v>0</v>
      </c>
      <c r="V75" s="106">
        <f>V72+V65+V52+V41+V30</f>
        <v>52094</v>
      </c>
    </row>
    <row r="76" spans="1:22" x14ac:dyDescent="0.25">
      <c r="B76" s="36"/>
      <c r="C76" s="111"/>
      <c r="D76" s="111"/>
      <c r="E76" s="111"/>
      <c r="F76" s="111"/>
      <c r="T76" s="27" t="s">
        <v>77</v>
      </c>
      <c r="U76" s="75">
        <f>V75+U75-L14</f>
        <v>0</v>
      </c>
    </row>
    <row r="77" spans="1:22" x14ac:dyDescent="0.25">
      <c r="B77" s="36"/>
      <c r="C77" s="111"/>
      <c r="D77" s="111"/>
      <c r="E77" s="111"/>
      <c r="F77" s="111"/>
    </row>
    <row r="78" spans="1:22" x14ac:dyDescent="0.25">
      <c r="B78" s="36"/>
      <c r="C78" s="111"/>
      <c r="D78" s="111"/>
      <c r="E78" s="111"/>
      <c r="F78" s="111"/>
    </row>
  </sheetData>
  <sheetProtection selectLockedCells="1"/>
  <mergeCells count="48">
    <mergeCell ref="B74:K75"/>
    <mergeCell ref="G33:G40"/>
    <mergeCell ref="L33:L40"/>
    <mergeCell ref="A42:L42"/>
    <mergeCell ref="G44:G51"/>
    <mergeCell ref="L44:L51"/>
    <mergeCell ref="A53:L53"/>
    <mergeCell ref="G55:G64"/>
    <mergeCell ref="L55:L64"/>
    <mergeCell ref="A66:L66"/>
    <mergeCell ref="G68:G71"/>
    <mergeCell ref="L68:L71"/>
    <mergeCell ref="A31:L31"/>
    <mergeCell ref="B16:C16"/>
    <mergeCell ref="G16:H16"/>
    <mergeCell ref="J16:K16"/>
    <mergeCell ref="B18:C18"/>
    <mergeCell ref="G18:H18"/>
    <mergeCell ref="J18:K18"/>
    <mergeCell ref="A20:L20"/>
    <mergeCell ref="G21:H22"/>
    <mergeCell ref="I21:I22"/>
    <mergeCell ref="G24:G29"/>
    <mergeCell ref="L24:L29"/>
    <mergeCell ref="B14:C14"/>
    <mergeCell ref="G14:H14"/>
    <mergeCell ref="J14:K14"/>
    <mergeCell ref="B15:C15"/>
    <mergeCell ref="G15:H15"/>
    <mergeCell ref="J15:K15"/>
    <mergeCell ref="B12:C12"/>
    <mergeCell ref="G12:H12"/>
    <mergeCell ref="J12:K12"/>
    <mergeCell ref="B13:C13"/>
    <mergeCell ref="G13:H13"/>
    <mergeCell ref="J13:K13"/>
    <mergeCell ref="B10:C10"/>
    <mergeCell ref="G10:H10"/>
    <mergeCell ref="J10:K10"/>
    <mergeCell ref="B11:C11"/>
    <mergeCell ref="G11:H11"/>
    <mergeCell ref="J11:K11"/>
    <mergeCell ref="A8:C8"/>
    <mergeCell ref="F8:H8"/>
    <mergeCell ref="J8:L8"/>
    <mergeCell ref="B9:C9"/>
    <mergeCell ref="G9:H9"/>
    <mergeCell ref="J9:K9"/>
  </mergeCells>
  <printOptions horizontalCentered="1" verticalCentered="1"/>
  <pageMargins left="0.26" right="0.28999999999999998" top="0.19" bottom="0.18" header="0" footer="0"/>
  <pageSetup paperSize="9" scale="64"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pageSetUpPr fitToPage="1"/>
  </sheetPr>
  <dimension ref="A1:V78"/>
  <sheetViews>
    <sheetView zoomScaleNormal="100" workbookViewId="0">
      <selection activeCell="J24" sqref="J24"/>
    </sheetView>
  </sheetViews>
  <sheetFormatPr defaultRowHeight="15" x14ac:dyDescent="0.25"/>
  <cols>
    <col min="1" max="1" width="21.140625" style="27" customWidth="1"/>
    <col min="2" max="2" width="9.140625" style="27" customWidth="1"/>
    <col min="3" max="3" width="10.85546875" style="27" customWidth="1"/>
    <col min="4" max="4" width="9.140625" style="27"/>
    <col min="5" max="5" width="11.5703125" style="27" bestFit="1" customWidth="1"/>
    <col min="6" max="6" width="11.5703125" style="27" customWidth="1"/>
    <col min="7" max="7" width="12.5703125" style="27" bestFit="1" customWidth="1"/>
    <col min="8" max="8" width="11.28515625" style="27" customWidth="1"/>
    <col min="9" max="9" width="11.140625" style="27" customWidth="1"/>
    <col min="10" max="10" width="12.5703125" style="27" bestFit="1" customWidth="1"/>
    <col min="11" max="11" width="14.140625" style="27" customWidth="1"/>
    <col min="12" max="12" width="14.85546875" style="27" customWidth="1"/>
    <col min="13" max="13" width="9.140625" style="27" customWidth="1"/>
    <col min="14" max="14" width="12.28515625" style="27" hidden="1" customWidth="1"/>
    <col min="15" max="15" width="10.5703125" style="27" hidden="1" customWidth="1"/>
    <col min="16" max="16" width="14.140625" style="27" hidden="1" customWidth="1"/>
    <col min="17" max="17" width="13.42578125" style="27" hidden="1" customWidth="1"/>
    <col min="18" max="18" width="18.42578125" style="27" hidden="1" customWidth="1"/>
    <col min="19" max="19" width="9.140625" style="27" customWidth="1"/>
    <col min="20" max="20" width="12.28515625" style="27" hidden="1" customWidth="1"/>
    <col min="21" max="21" width="10.5703125" style="27" hidden="1" customWidth="1"/>
    <col min="22" max="22" width="9.140625" style="27" hidden="1" customWidth="1"/>
    <col min="23" max="23" width="9.140625" style="27" customWidth="1"/>
    <col min="24" max="16384" width="9.140625" style="27"/>
  </cols>
  <sheetData>
    <row r="1" spans="1:14" s="61" customFormat="1" ht="15" customHeight="1" x14ac:dyDescent="0.25"/>
    <row r="4" spans="1:14" ht="15.75" thickBot="1" x14ac:dyDescent="0.3"/>
    <row r="5" spans="1:14" ht="15.75" thickBot="1" x14ac:dyDescent="0.3">
      <c r="C5" s="76"/>
      <c r="F5" s="117" t="s">
        <v>134</v>
      </c>
      <c r="G5" s="118" t="s">
        <v>120</v>
      </c>
    </row>
    <row r="6" spans="1:14" x14ac:dyDescent="0.25">
      <c r="C6" s="76"/>
    </row>
    <row r="7" spans="1:14" ht="15.75" thickBot="1" x14ac:dyDescent="0.3"/>
    <row r="8" spans="1:14" ht="15.75" thickBot="1" x14ac:dyDescent="0.3">
      <c r="A8" s="404" t="s">
        <v>39</v>
      </c>
      <c r="B8" s="405"/>
      <c r="C8" s="406"/>
      <c r="F8" s="376" t="s">
        <v>48</v>
      </c>
      <c r="G8" s="377"/>
      <c r="H8" s="378"/>
      <c r="J8" s="376" t="s">
        <v>36</v>
      </c>
      <c r="K8" s="377"/>
      <c r="L8" s="378"/>
    </row>
    <row r="9" spans="1:14" x14ac:dyDescent="0.25">
      <c r="A9" s="28" t="s">
        <v>40</v>
      </c>
      <c r="B9" s="407" t="str">
        <f>+'Koring 1 (dont use)'!B9:C9</f>
        <v>Jaque Fourie</v>
      </c>
      <c r="C9" s="408"/>
      <c r="F9" s="28" t="s">
        <v>81</v>
      </c>
      <c r="G9" s="387" t="str">
        <f>+'Koring 1 (dont use)'!G9:H9</f>
        <v>Bakkies Botha</v>
      </c>
      <c r="H9" s="388"/>
      <c r="J9" s="420" t="str">
        <f>+A20</f>
        <v>Saadbehandeling</v>
      </c>
      <c r="K9" s="421"/>
      <c r="L9" s="23">
        <f>+L24</f>
        <v>8500</v>
      </c>
    </row>
    <row r="10" spans="1:14" x14ac:dyDescent="0.25">
      <c r="A10" s="29" t="s">
        <v>47</v>
      </c>
      <c r="B10" s="424" t="str">
        <f>+'Koring 1 (dont use)'!B10:C10</f>
        <v>Japan</v>
      </c>
      <c r="C10" s="425"/>
      <c r="F10" s="29" t="s">
        <v>82</v>
      </c>
      <c r="G10" s="424" t="str">
        <f>+'Koring 1 (dont use)'!G10:H10</f>
        <v xml:space="preserve">Bus 524 </v>
      </c>
      <c r="H10" s="425"/>
      <c r="J10" s="389" t="str">
        <f>+A31</f>
        <v>Voor plant</v>
      </c>
      <c r="K10" s="390"/>
      <c r="L10" s="24">
        <f>+L33</f>
        <v>2680</v>
      </c>
    </row>
    <row r="11" spans="1:14" x14ac:dyDescent="0.25">
      <c r="A11" s="30"/>
      <c r="B11" s="424">
        <f>+'Koring 1 (dont use)'!B11:C11</f>
        <v>0</v>
      </c>
      <c r="C11" s="425"/>
      <c r="F11" s="29" t="s">
        <v>83</v>
      </c>
      <c r="G11" s="424" t="str">
        <f>+'Koring 1 (dont use)'!G11:H11</f>
        <v>Brakfontein</v>
      </c>
      <c r="H11" s="425"/>
      <c r="J11" s="389" t="str">
        <f>+A42</f>
        <v>Voor-opkoms (met plant)</v>
      </c>
      <c r="K11" s="390"/>
      <c r="L11" s="24">
        <f>+L44</f>
        <v>34704</v>
      </c>
    </row>
    <row r="12" spans="1:14" x14ac:dyDescent="0.25">
      <c r="A12" s="29" t="s">
        <v>45</v>
      </c>
      <c r="B12" s="424" t="str">
        <f>+'Koring 1 (dont use)'!B12:C12</f>
        <v>0001</v>
      </c>
      <c r="C12" s="425"/>
      <c r="F12" s="29" t="s">
        <v>84</v>
      </c>
      <c r="G12" s="424" t="str">
        <f>+'Koring 1 (dont use)'!G12:H12</f>
        <v>Humansdorp</v>
      </c>
      <c r="H12" s="425"/>
      <c r="J12" s="389" t="str">
        <f>+A53</f>
        <v>Na-opkoms</v>
      </c>
      <c r="K12" s="390"/>
      <c r="L12" s="24">
        <f>+L55</f>
        <v>32280</v>
      </c>
    </row>
    <row r="13" spans="1:14" x14ac:dyDescent="0.25">
      <c r="A13" s="29" t="s">
        <v>41</v>
      </c>
      <c r="B13" s="424">
        <f>+'Koring 1 (dont use)'!B13:C13</f>
        <v>0</v>
      </c>
      <c r="C13" s="425"/>
      <c r="F13" s="29" t="s">
        <v>85</v>
      </c>
      <c r="G13" s="424" t="str">
        <f>+'Koring 1 (dont use)'!G13:H13</f>
        <v>2587</v>
      </c>
      <c r="H13" s="425"/>
      <c r="J13" s="389" t="str">
        <f>+A66</f>
        <v>Ander</v>
      </c>
      <c r="K13" s="390"/>
      <c r="L13" s="24">
        <f>+L68</f>
        <v>12500</v>
      </c>
    </row>
    <row r="14" spans="1:14" ht="15.75" thickBot="1" x14ac:dyDescent="0.3">
      <c r="A14" s="29" t="s">
        <v>42</v>
      </c>
      <c r="B14" s="424">
        <f>+'Koring 1 (dont use)'!B14:C14</f>
        <v>0</v>
      </c>
      <c r="C14" s="425"/>
      <c r="F14" s="29" t="s">
        <v>86</v>
      </c>
      <c r="G14" s="424" t="str">
        <f>+'Koring 1 (dont use)'!G14:H14</f>
        <v>0112548798</v>
      </c>
      <c r="H14" s="425"/>
      <c r="J14" s="391" t="s">
        <v>55</v>
      </c>
      <c r="K14" s="392"/>
      <c r="L14" s="26">
        <f>SUM(L9:L13)</f>
        <v>90664</v>
      </c>
    </row>
    <row r="15" spans="1:14" ht="16.5" thickTop="1" thickBot="1" x14ac:dyDescent="0.3">
      <c r="A15" s="29" t="s">
        <v>43</v>
      </c>
      <c r="B15" s="424" t="str">
        <f>+'Koring 1 (dont use)'!B15:C15</f>
        <v>0878522233</v>
      </c>
      <c r="C15" s="425"/>
      <c r="F15" s="29" t="s">
        <v>87</v>
      </c>
      <c r="G15" s="424" t="str">
        <f>+'Koring 1 (dont use)'!G15:H15</f>
        <v>0768543221</v>
      </c>
      <c r="H15" s="425"/>
      <c r="J15" s="426"/>
      <c r="K15" s="427"/>
      <c r="L15" s="25"/>
    </row>
    <row r="16" spans="1:14" ht="15.75" thickBot="1" x14ac:dyDescent="0.3">
      <c r="A16" s="31" t="s">
        <v>44</v>
      </c>
      <c r="B16" s="428" t="str">
        <f>+'Koring 1 (dont use)'!B16:C16</f>
        <v>jfourie@gmail.com</v>
      </c>
      <c r="C16" s="429"/>
      <c r="F16" s="31" t="s">
        <v>88</v>
      </c>
      <c r="G16" s="430" t="str">
        <f>+'Koring 1 (dont use)'!G16:H16</f>
        <v>bb@bok.co.za</v>
      </c>
      <c r="H16" s="431"/>
      <c r="J16" s="432" t="s">
        <v>70</v>
      </c>
      <c r="K16" s="433"/>
      <c r="L16" s="104">
        <f>+G24+G33+G44+G55+G68</f>
        <v>832.13333333333344</v>
      </c>
      <c r="N16" s="62">
        <f>+L14/L18</f>
        <v>906.64</v>
      </c>
    </row>
    <row r="17" spans="1:22" ht="15.75" thickBot="1" x14ac:dyDescent="0.3">
      <c r="E17" s="32"/>
      <c r="J17" s="33"/>
      <c r="K17" s="33"/>
      <c r="L17" s="34"/>
    </row>
    <row r="18" spans="1:22" ht="15.75" thickBot="1" x14ac:dyDescent="0.3">
      <c r="A18" s="35" t="s">
        <v>106</v>
      </c>
      <c r="B18" s="434" t="str">
        <f>+'Koring 1 (dont use)'!B18:C18</f>
        <v>Co</v>
      </c>
      <c r="C18" s="435"/>
      <c r="E18" s="32"/>
      <c r="F18" s="35" t="s">
        <v>69</v>
      </c>
      <c r="G18" s="418" t="str">
        <f>+'Koring 1 (dont use)'!G18:H18</f>
        <v>2012/09/12</v>
      </c>
      <c r="H18" s="436"/>
      <c r="J18" s="404" t="s">
        <v>46</v>
      </c>
      <c r="K18" s="405"/>
      <c r="L18" s="3">
        <v>100</v>
      </c>
    </row>
    <row r="19" spans="1:22" s="77" customFormat="1" ht="15.75" thickBot="1" x14ac:dyDescent="0.3">
      <c r="A19" s="101"/>
      <c r="B19" s="109"/>
      <c r="C19" s="109"/>
      <c r="E19" s="102"/>
      <c r="F19" s="101"/>
      <c r="G19" s="109"/>
      <c r="H19" s="109"/>
      <c r="J19" s="100"/>
      <c r="K19" s="100"/>
      <c r="L19" s="110"/>
    </row>
    <row r="20" spans="1:22" s="77" customFormat="1" ht="18" thickBot="1" x14ac:dyDescent="0.35">
      <c r="A20" s="409" t="s">
        <v>38</v>
      </c>
      <c r="B20" s="410"/>
      <c r="C20" s="410"/>
      <c r="D20" s="410"/>
      <c r="E20" s="410"/>
      <c r="F20" s="410"/>
      <c r="G20" s="410"/>
      <c r="H20" s="410"/>
      <c r="I20" s="410"/>
      <c r="J20" s="410"/>
      <c r="K20" s="410"/>
      <c r="L20" s="411"/>
    </row>
    <row r="21" spans="1:22" s="77" customFormat="1" x14ac:dyDescent="0.25">
      <c r="A21" s="52"/>
      <c r="B21" s="53" t="s">
        <v>97</v>
      </c>
      <c r="C21" s="19">
        <v>26000</v>
      </c>
      <c r="D21" s="54"/>
      <c r="E21" s="55"/>
      <c r="F21" s="55"/>
      <c r="G21" s="437" t="s">
        <v>99</v>
      </c>
      <c r="H21" s="438"/>
      <c r="I21" s="441">
        <f>+C21/C22</f>
        <v>0.43333333333333335</v>
      </c>
      <c r="J21" s="54"/>
      <c r="K21" s="54"/>
      <c r="L21" s="56"/>
    </row>
    <row r="22" spans="1:22" s="77" customFormat="1" ht="15.75" thickBot="1" x14ac:dyDescent="0.3">
      <c r="A22" s="57"/>
      <c r="B22" s="58" t="s">
        <v>98</v>
      </c>
      <c r="C22" s="20">
        <v>60000</v>
      </c>
      <c r="D22" s="59"/>
      <c r="E22" s="55"/>
      <c r="F22" s="55"/>
      <c r="G22" s="439"/>
      <c r="H22" s="440"/>
      <c r="I22" s="442"/>
      <c r="J22" s="59"/>
      <c r="K22" s="59"/>
      <c r="L22" s="60"/>
      <c r="T22" s="107"/>
      <c r="U22" s="108" t="s">
        <v>113</v>
      </c>
      <c r="V22" s="107"/>
    </row>
    <row r="23" spans="1:22" s="77" customFormat="1" ht="43.5" thickBot="1" x14ac:dyDescent="0.3">
      <c r="A23" s="37" t="s">
        <v>1</v>
      </c>
      <c r="B23" s="38" t="s">
        <v>95</v>
      </c>
      <c r="C23" s="39" t="s">
        <v>96</v>
      </c>
      <c r="D23" s="40" t="s">
        <v>93</v>
      </c>
      <c r="E23" s="39" t="s">
        <v>61</v>
      </c>
      <c r="F23" s="40" t="s">
        <v>94</v>
      </c>
      <c r="G23" s="41" t="s">
        <v>60</v>
      </c>
      <c r="H23" s="39" t="s">
        <v>59</v>
      </c>
      <c r="I23" s="103" t="s">
        <v>56</v>
      </c>
      <c r="J23" s="40" t="s">
        <v>57</v>
      </c>
      <c r="K23" s="40" t="s">
        <v>58</v>
      </c>
      <c r="L23" s="42" t="s">
        <v>0</v>
      </c>
      <c r="N23" s="63" t="s">
        <v>101</v>
      </c>
      <c r="O23" s="63" t="s">
        <v>100</v>
      </c>
      <c r="P23" s="64" t="s">
        <v>102</v>
      </c>
      <c r="Q23" s="64" t="s">
        <v>103</v>
      </c>
      <c r="R23" s="64" t="s">
        <v>104</v>
      </c>
      <c r="S23" s="27"/>
      <c r="T23" s="65" t="s">
        <v>72</v>
      </c>
      <c r="U23" s="65" t="s">
        <v>74</v>
      </c>
      <c r="V23" s="65" t="s">
        <v>75</v>
      </c>
    </row>
    <row r="24" spans="1:22" s="77" customFormat="1" x14ac:dyDescent="0.25">
      <c r="A24" s="134" t="s">
        <v>1</v>
      </c>
      <c r="B24" s="135">
        <v>0.1</v>
      </c>
      <c r="C24" s="136">
        <v>100</v>
      </c>
      <c r="D24" s="43">
        <f t="shared" ref="D24" si="0">+B24*C24</f>
        <v>10</v>
      </c>
      <c r="E24" s="137">
        <v>850</v>
      </c>
      <c r="F24" s="44">
        <f t="shared" ref="F24" si="1">+IFERROR(K24/(C24/$I$21),0)</f>
        <v>36.833333333333336</v>
      </c>
      <c r="G24" s="373">
        <f>SUM(F24:F29)</f>
        <v>36.833333333333336</v>
      </c>
      <c r="H24" s="138">
        <v>1</v>
      </c>
      <c r="I24" s="45">
        <f t="shared" ref="I24" si="2">+IFERROR(ROUNDUP(D24/H24,0),0)</f>
        <v>10</v>
      </c>
      <c r="J24" s="44">
        <f>+E24*H24</f>
        <v>850</v>
      </c>
      <c r="K24" s="44">
        <f>+I24*J24</f>
        <v>8500</v>
      </c>
      <c r="L24" s="370">
        <f>SUM(K24:K29)</f>
        <v>8500</v>
      </c>
      <c r="T24" s="70" t="str">
        <f>IFERROR(VLOOKUP(A24,VLOOKUPS!$A$3:$D$31,2,0),"Ander")</f>
        <v>Ander</v>
      </c>
      <c r="U24" s="71">
        <f t="shared" ref="U24:U29" si="3">IF(T24="Syngenta",K24,0)</f>
        <v>0</v>
      </c>
      <c r="V24" s="71">
        <f t="shared" ref="V24:V29" si="4">IF(T24="Ander",K24,0)</f>
        <v>8500</v>
      </c>
    </row>
    <row r="25" spans="1:22" s="77" customFormat="1" x14ac:dyDescent="0.25">
      <c r="A25" s="9"/>
      <c r="B25" s="10"/>
      <c r="C25" s="21"/>
      <c r="D25" s="46">
        <f t="shared" ref="D25:D29" si="5">+B25*C25</f>
        <v>0</v>
      </c>
      <c r="E25" s="12"/>
      <c r="F25" s="47">
        <f t="shared" ref="F25:F29" si="6">+IFERROR(K25/(C25/$I$21),0)</f>
        <v>0</v>
      </c>
      <c r="G25" s="374"/>
      <c r="H25" s="13"/>
      <c r="I25" s="48">
        <f t="shared" ref="I25:I26" si="7">+IFERROR(ROUNDUP(D25/H25,0),0)</f>
        <v>0</v>
      </c>
      <c r="J25" s="47">
        <f>+E25*H25</f>
        <v>0</v>
      </c>
      <c r="K25" s="47">
        <f>+I25*J25</f>
        <v>0</v>
      </c>
      <c r="L25" s="371"/>
      <c r="T25" s="70" t="str">
        <f>IFERROR(VLOOKUP(A25,VLOOKUPS!$A$3:$D$31,2,0),"Ander")</f>
        <v>Ander</v>
      </c>
      <c r="U25" s="71">
        <f t="shared" si="3"/>
        <v>0</v>
      </c>
      <c r="V25" s="71">
        <f t="shared" si="4"/>
        <v>0</v>
      </c>
    </row>
    <row r="26" spans="1:22" s="77" customFormat="1" x14ac:dyDescent="0.25">
      <c r="A26" s="9"/>
      <c r="B26" s="10"/>
      <c r="C26" s="21"/>
      <c r="D26" s="46">
        <f t="shared" si="5"/>
        <v>0</v>
      </c>
      <c r="E26" s="12"/>
      <c r="F26" s="47">
        <f t="shared" si="6"/>
        <v>0</v>
      </c>
      <c r="G26" s="374"/>
      <c r="H26" s="13"/>
      <c r="I26" s="48">
        <f t="shared" si="7"/>
        <v>0</v>
      </c>
      <c r="J26" s="47">
        <f t="shared" ref="J26:J29" si="8">+E26*H26</f>
        <v>0</v>
      </c>
      <c r="K26" s="47">
        <f t="shared" ref="K26:K29" si="9">+I26*J26</f>
        <v>0</v>
      </c>
      <c r="L26" s="371"/>
      <c r="T26" s="70" t="str">
        <f>IFERROR(VLOOKUP(A26,VLOOKUPS!$A$3:$D$31,2,0),"Ander")</f>
        <v>Ander</v>
      </c>
      <c r="U26" s="71">
        <f t="shared" si="3"/>
        <v>0</v>
      </c>
      <c r="V26" s="71">
        <f t="shared" si="4"/>
        <v>0</v>
      </c>
    </row>
    <row r="27" spans="1:22" s="77" customFormat="1" x14ac:dyDescent="0.25">
      <c r="A27" s="9"/>
      <c r="B27" s="10"/>
      <c r="C27" s="21"/>
      <c r="D27" s="46">
        <f t="shared" si="5"/>
        <v>0</v>
      </c>
      <c r="E27" s="12"/>
      <c r="F27" s="47">
        <f t="shared" si="6"/>
        <v>0</v>
      </c>
      <c r="G27" s="374"/>
      <c r="H27" s="13"/>
      <c r="I27" s="48">
        <f>+IFERROR(ROUNDUP(D27/H27,0),0)</f>
        <v>0</v>
      </c>
      <c r="J27" s="47">
        <f t="shared" si="8"/>
        <v>0</v>
      </c>
      <c r="K27" s="47">
        <f t="shared" si="9"/>
        <v>0</v>
      </c>
      <c r="L27" s="371"/>
      <c r="T27" s="70" t="str">
        <f>IFERROR(VLOOKUP(A27,VLOOKUPS!$A$3:$D$31,2,0),"Ander")</f>
        <v>Ander</v>
      </c>
      <c r="U27" s="71">
        <f t="shared" si="3"/>
        <v>0</v>
      </c>
      <c r="V27" s="71">
        <f t="shared" si="4"/>
        <v>0</v>
      </c>
    </row>
    <row r="28" spans="1:22" s="77" customFormat="1" x14ac:dyDescent="0.25">
      <c r="A28" s="9"/>
      <c r="B28" s="10"/>
      <c r="C28" s="21"/>
      <c r="D28" s="46">
        <f t="shared" si="5"/>
        <v>0</v>
      </c>
      <c r="E28" s="12"/>
      <c r="F28" s="47">
        <f t="shared" si="6"/>
        <v>0</v>
      </c>
      <c r="G28" s="374"/>
      <c r="H28" s="13"/>
      <c r="I28" s="48">
        <f t="shared" ref="I28:I29" si="10">+IFERROR(ROUNDUP(D28/H28,0),0)</f>
        <v>0</v>
      </c>
      <c r="J28" s="47">
        <f t="shared" si="8"/>
        <v>0</v>
      </c>
      <c r="K28" s="47">
        <f t="shared" si="9"/>
        <v>0</v>
      </c>
      <c r="L28" s="371"/>
      <c r="T28" s="70" t="str">
        <f>IFERROR(VLOOKUP(A28,VLOOKUPS!$A$3:$D$31,2,0),"Ander")</f>
        <v>Ander</v>
      </c>
      <c r="U28" s="71">
        <f t="shared" si="3"/>
        <v>0</v>
      </c>
      <c r="V28" s="71">
        <f t="shared" si="4"/>
        <v>0</v>
      </c>
    </row>
    <row r="29" spans="1:22" s="77" customFormat="1" ht="15.75" thickBot="1" x14ac:dyDescent="0.3">
      <c r="A29" s="14"/>
      <c r="B29" s="15"/>
      <c r="C29" s="22"/>
      <c r="D29" s="49">
        <f t="shared" si="5"/>
        <v>0</v>
      </c>
      <c r="E29" s="17"/>
      <c r="F29" s="50">
        <f t="shared" si="6"/>
        <v>0</v>
      </c>
      <c r="G29" s="375"/>
      <c r="H29" s="18"/>
      <c r="I29" s="51">
        <f t="shared" si="10"/>
        <v>0</v>
      </c>
      <c r="J29" s="50">
        <f t="shared" si="8"/>
        <v>0</v>
      </c>
      <c r="K29" s="50">
        <f t="shared" si="9"/>
        <v>0</v>
      </c>
      <c r="L29" s="372"/>
      <c r="T29" s="70" t="str">
        <f>IFERROR(VLOOKUP(A29,VLOOKUPS!$A$3:$D$31,2,0),"Ander")</f>
        <v>Ander</v>
      </c>
      <c r="U29" s="71">
        <f t="shared" si="3"/>
        <v>0</v>
      </c>
      <c r="V29" s="71">
        <f t="shared" si="4"/>
        <v>0</v>
      </c>
    </row>
    <row r="30" spans="1:22" s="77" customFormat="1" ht="15.75" thickBot="1" x14ac:dyDescent="0.3">
      <c r="A30" s="101"/>
      <c r="B30" s="109"/>
      <c r="C30" s="109"/>
      <c r="E30" s="102"/>
      <c r="F30" s="101"/>
      <c r="G30" s="109"/>
      <c r="H30" s="109"/>
      <c r="J30" s="100"/>
      <c r="K30" s="100"/>
      <c r="L30" s="110"/>
      <c r="T30" s="27"/>
      <c r="U30" s="72">
        <f>SUM(U24:U29)</f>
        <v>0</v>
      </c>
      <c r="V30" s="72">
        <f>SUM(V24:V29)</f>
        <v>8500</v>
      </c>
    </row>
    <row r="31" spans="1:22" ht="18.75" thickTop="1" thickBot="1" x14ac:dyDescent="0.35">
      <c r="A31" s="415" t="s">
        <v>37</v>
      </c>
      <c r="B31" s="416"/>
      <c r="C31" s="416"/>
      <c r="D31" s="416"/>
      <c r="E31" s="416"/>
      <c r="F31" s="416"/>
      <c r="G31" s="416"/>
      <c r="H31" s="416"/>
      <c r="I31" s="416"/>
      <c r="J31" s="416"/>
      <c r="K31" s="416"/>
      <c r="L31" s="417"/>
    </row>
    <row r="32" spans="1:22" ht="33" customHeight="1" thickBot="1" x14ac:dyDescent="0.3">
      <c r="A32" s="37" t="s">
        <v>1</v>
      </c>
      <c r="B32" s="38" t="s">
        <v>62</v>
      </c>
      <c r="C32" s="39" t="s">
        <v>2</v>
      </c>
      <c r="D32" s="40" t="s">
        <v>93</v>
      </c>
      <c r="E32" s="39" t="s">
        <v>61</v>
      </c>
      <c r="F32" s="40" t="s">
        <v>94</v>
      </c>
      <c r="G32" s="41" t="s">
        <v>60</v>
      </c>
      <c r="H32" s="39" t="s">
        <v>59</v>
      </c>
      <c r="I32" s="103" t="s">
        <v>56</v>
      </c>
      <c r="J32" s="40" t="s">
        <v>57</v>
      </c>
      <c r="K32" s="40" t="s">
        <v>58</v>
      </c>
      <c r="L32" s="42" t="s">
        <v>0</v>
      </c>
    </row>
    <row r="33" spans="1:22" x14ac:dyDescent="0.25">
      <c r="A33" s="9" t="s">
        <v>1</v>
      </c>
      <c r="B33" s="10">
        <v>0.3</v>
      </c>
      <c r="C33" s="11">
        <v>1</v>
      </c>
      <c r="D33" s="43">
        <f>+L18*B33*C33</f>
        <v>30</v>
      </c>
      <c r="E33" s="12">
        <v>67</v>
      </c>
      <c r="F33" s="44">
        <f>+B33*C33*E33</f>
        <v>20.099999999999998</v>
      </c>
      <c r="G33" s="373">
        <f>SUM(F33:F40)</f>
        <v>20.099999999999998</v>
      </c>
      <c r="H33" s="13">
        <v>20</v>
      </c>
      <c r="I33" s="45">
        <f t="shared" ref="I33:I40" si="11">+IFERROR(ROUNDUP(D33/H33,0),0)</f>
        <v>2</v>
      </c>
      <c r="J33" s="44">
        <f>+E33*H33</f>
        <v>1340</v>
      </c>
      <c r="K33" s="44">
        <f t="shared" ref="K33:K40" si="12">+I33*J33</f>
        <v>2680</v>
      </c>
      <c r="L33" s="370">
        <f>SUM(K33:K40)</f>
        <v>2680</v>
      </c>
      <c r="N33" s="66">
        <f>+IFERROR((I33*H33)/B33,0)</f>
        <v>133.33333333333334</v>
      </c>
      <c r="O33" s="67">
        <f>+IFERROR(C33*$L$18,0)</f>
        <v>100</v>
      </c>
      <c r="P33" s="68">
        <f t="shared" ref="P33:P40" si="13">+IFERROR(K33/N33,0)</f>
        <v>20.099999999999998</v>
      </c>
      <c r="Q33" s="68">
        <f t="shared" ref="Q33:Q40" si="14">+IFERROR(K33/O33,0)</f>
        <v>26.8</v>
      </c>
      <c r="R33" s="69">
        <f t="shared" ref="R33:R40" si="15">+B33*C33*E33</f>
        <v>20.099999999999998</v>
      </c>
      <c r="T33" s="70" t="str">
        <f>IFERROR(VLOOKUP(A33,VLOOKUPS!$A$3:$D$31,2,0),"Ander")</f>
        <v>Ander</v>
      </c>
      <c r="U33" s="71">
        <f t="shared" ref="U33:U40" si="16">IF(T33="Syngenta",K33,0)</f>
        <v>0</v>
      </c>
      <c r="V33" s="71">
        <f t="shared" ref="V33:V40" si="17">IF(T33="Ander",K33,0)</f>
        <v>2680</v>
      </c>
    </row>
    <row r="34" spans="1:22" x14ac:dyDescent="0.25">
      <c r="A34" s="9"/>
      <c r="B34" s="10"/>
      <c r="C34" s="11"/>
      <c r="D34" s="46">
        <f>+L18*B34*C34</f>
        <v>0</v>
      </c>
      <c r="E34" s="12">
        <v>11</v>
      </c>
      <c r="F34" s="47">
        <f t="shared" ref="F34:F40" si="18">+B34*C34*E34</f>
        <v>0</v>
      </c>
      <c r="G34" s="374"/>
      <c r="H34" s="13"/>
      <c r="I34" s="48">
        <f t="shared" si="11"/>
        <v>0</v>
      </c>
      <c r="J34" s="47">
        <f>+E34*H34</f>
        <v>0</v>
      </c>
      <c r="K34" s="47">
        <f t="shared" si="12"/>
        <v>0</v>
      </c>
      <c r="L34" s="371"/>
      <c r="N34" s="66">
        <f t="shared" ref="N34:N71" si="19">+IFERROR((I34*H34)/B34,0)</f>
        <v>0</v>
      </c>
      <c r="O34" s="67">
        <f t="shared" ref="O34:O71" si="20">+IFERROR(C34*$L$18,0)</f>
        <v>0</v>
      </c>
      <c r="P34" s="68">
        <f t="shared" si="13"/>
        <v>0</v>
      </c>
      <c r="Q34" s="68">
        <f t="shared" si="14"/>
        <v>0</v>
      </c>
      <c r="R34" s="69">
        <f t="shared" si="15"/>
        <v>0</v>
      </c>
      <c r="T34" s="70" t="str">
        <f>IFERROR(VLOOKUP(A34,VLOOKUPS!$A$3:$D$31,2,0),"Ander")</f>
        <v>Ander</v>
      </c>
      <c r="U34" s="71">
        <f t="shared" si="16"/>
        <v>0</v>
      </c>
      <c r="V34" s="71">
        <f t="shared" si="17"/>
        <v>0</v>
      </c>
    </row>
    <row r="35" spans="1:22" x14ac:dyDescent="0.25">
      <c r="A35" s="9"/>
      <c r="B35" s="10"/>
      <c r="C35" s="11"/>
      <c r="D35" s="46">
        <f>+L18*B35*C35</f>
        <v>0</v>
      </c>
      <c r="E35" s="12">
        <v>67</v>
      </c>
      <c r="F35" s="47">
        <f t="shared" si="18"/>
        <v>0</v>
      </c>
      <c r="G35" s="374"/>
      <c r="H35" s="13"/>
      <c r="I35" s="48">
        <f t="shared" si="11"/>
        <v>0</v>
      </c>
      <c r="J35" s="47">
        <f>+E35*H35</f>
        <v>0</v>
      </c>
      <c r="K35" s="47">
        <f t="shared" si="12"/>
        <v>0</v>
      </c>
      <c r="L35" s="371"/>
      <c r="N35" s="66">
        <f t="shared" si="19"/>
        <v>0</v>
      </c>
      <c r="O35" s="67">
        <f t="shared" si="20"/>
        <v>0</v>
      </c>
      <c r="P35" s="68">
        <f t="shared" si="13"/>
        <v>0</v>
      </c>
      <c r="Q35" s="68">
        <f t="shared" si="14"/>
        <v>0</v>
      </c>
      <c r="R35" s="69">
        <f t="shared" si="15"/>
        <v>0</v>
      </c>
      <c r="T35" s="70" t="str">
        <f>IFERROR(VLOOKUP(A35,VLOOKUPS!$A$3:$D$31,2,0),"Ander")</f>
        <v>Ander</v>
      </c>
      <c r="U35" s="71">
        <f t="shared" si="16"/>
        <v>0</v>
      </c>
      <c r="V35" s="71">
        <f t="shared" si="17"/>
        <v>0</v>
      </c>
    </row>
    <row r="36" spans="1:22" x14ac:dyDescent="0.25">
      <c r="A36" s="9"/>
      <c r="B36" s="10"/>
      <c r="C36" s="11"/>
      <c r="D36" s="46">
        <f t="shared" ref="D36:D37" si="21">+L19*B36*C36</f>
        <v>0</v>
      </c>
      <c r="E36" s="12"/>
      <c r="F36" s="47">
        <f t="shared" si="18"/>
        <v>0</v>
      </c>
      <c r="G36" s="374"/>
      <c r="H36" s="13"/>
      <c r="I36" s="48">
        <f t="shared" si="11"/>
        <v>0</v>
      </c>
      <c r="J36" s="47">
        <f t="shared" ref="J36:J38" si="22">+E36*H36</f>
        <v>0</v>
      </c>
      <c r="K36" s="47">
        <f t="shared" si="12"/>
        <v>0</v>
      </c>
      <c r="L36" s="371"/>
      <c r="N36" s="66">
        <f t="shared" si="19"/>
        <v>0</v>
      </c>
      <c r="O36" s="67">
        <f t="shared" si="20"/>
        <v>0</v>
      </c>
      <c r="P36" s="68">
        <f t="shared" si="13"/>
        <v>0</v>
      </c>
      <c r="Q36" s="68">
        <f t="shared" si="14"/>
        <v>0</v>
      </c>
      <c r="R36" s="69">
        <f t="shared" si="15"/>
        <v>0</v>
      </c>
      <c r="T36" s="70" t="str">
        <f>IFERROR(VLOOKUP(A36,VLOOKUPS!$A$3:$D$31,2,0),"Ander")</f>
        <v>Ander</v>
      </c>
      <c r="U36" s="71">
        <f t="shared" si="16"/>
        <v>0</v>
      </c>
      <c r="V36" s="71">
        <f t="shared" si="17"/>
        <v>0</v>
      </c>
    </row>
    <row r="37" spans="1:22" x14ac:dyDescent="0.25">
      <c r="A37" s="9"/>
      <c r="B37" s="10"/>
      <c r="C37" s="11"/>
      <c r="D37" s="46">
        <f t="shared" si="21"/>
        <v>0</v>
      </c>
      <c r="E37" s="12"/>
      <c r="F37" s="47">
        <f t="shared" si="18"/>
        <v>0</v>
      </c>
      <c r="G37" s="374"/>
      <c r="H37" s="13"/>
      <c r="I37" s="48">
        <f t="shared" si="11"/>
        <v>0</v>
      </c>
      <c r="J37" s="47">
        <f t="shared" si="22"/>
        <v>0</v>
      </c>
      <c r="K37" s="47">
        <f t="shared" si="12"/>
        <v>0</v>
      </c>
      <c r="L37" s="371"/>
      <c r="N37" s="66">
        <f t="shared" si="19"/>
        <v>0</v>
      </c>
      <c r="O37" s="67">
        <f t="shared" si="20"/>
        <v>0</v>
      </c>
      <c r="P37" s="68">
        <f t="shared" si="13"/>
        <v>0</v>
      </c>
      <c r="Q37" s="68">
        <f t="shared" si="14"/>
        <v>0</v>
      </c>
      <c r="R37" s="69">
        <f t="shared" si="15"/>
        <v>0</v>
      </c>
      <c r="T37" s="70" t="str">
        <f>IFERROR(VLOOKUP(A37,VLOOKUPS!$A$3:$D$31,2,0),"Ander")</f>
        <v>Ander</v>
      </c>
      <c r="U37" s="71">
        <f t="shared" si="16"/>
        <v>0</v>
      </c>
      <c r="V37" s="71">
        <f t="shared" si="17"/>
        <v>0</v>
      </c>
    </row>
    <row r="38" spans="1:22" x14ac:dyDescent="0.25">
      <c r="A38" s="9"/>
      <c r="B38" s="10"/>
      <c r="C38" s="11"/>
      <c r="D38" s="46">
        <f>+L18*B38*C38</f>
        <v>0</v>
      </c>
      <c r="E38" s="12"/>
      <c r="F38" s="47">
        <f t="shared" si="18"/>
        <v>0</v>
      </c>
      <c r="G38" s="374"/>
      <c r="H38" s="13"/>
      <c r="I38" s="48">
        <f t="shared" si="11"/>
        <v>0</v>
      </c>
      <c r="J38" s="47">
        <f t="shared" si="22"/>
        <v>0</v>
      </c>
      <c r="K38" s="47">
        <f t="shared" si="12"/>
        <v>0</v>
      </c>
      <c r="L38" s="371"/>
      <c r="N38" s="66">
        <f t="shared" si="19"/>
        <v>0</v>
      </c>
      <c r="O38" s="67">
        <f t="shared" si="20"/>
        <v>0</v>
      </c>
      <c r="P38" s="68">
        <f t="shared" si="13"/>
        <v>0</v>
      </c>
      <c r="Q38" s="68">
        <f t="shared" si="14"/>
        <v>0</v>
      </c>
      <c r="R38" s="69">
        <f t="shared" si="15"/>
        <v>0</v>
      </c>
      <c r="T38" s="70" t="str">
        <f>IFERROR(VLOOKUP(A38,VLOOKUPS!$A$3:$D$31,2,0),"Ander")</f>
        <v>Ander</v>
      </c>
      <c r="U38" s="71">
        <f t="shared" si="16"/>
        <v>0</v>
      </c>
      <c r="V38" s="71">
        <f t="shared" si="17"/>
        <v>0</v>
      </c>
    </row>
    <row r="39" spans="1:22" x14ac:dyDescent="0.25">
      <c r="A39" s="9"/>
      <c r="B39" s="10"/>
      <c r="C39" s="11"/>
      <c r="D39" s="46">
        <f>+L18*B39*C39</f>
        <v>0</v>
      </c>
      <c r="E39" s="12"/>
      <c r="F39" s="47">
        <f t="shared" si="18"/>
        <v>0</v>
      </c>
      <c r="G39" s="374"/>
      <c r="H39" s="13"/>
      <c r="I39" s="48">
        <f t="shared" si="11"/>
        <v>0</v>
      </c>
      <c r="J39" s="47">
        <f>+E39*H39</f>
        <v>0</v>
      </c>
      <c r="K39" s="47">
        <f t="shared" si="12"/>
        <v>0</v>
      </c>
      <c r="L39" s="371"/>
      <c r="N39" s="66">
        <f t="shared" si="19"/>
        <v>0</v>
      </c>
      <c r="O39" s="67">
        <f t="shared" si="20"/>
        <v>0</v>
      </c>
      <c r="P39" s="68">
        <f t="shared" si="13"/>
        <v>0</v>
      </c>
      <c r="Q39" s="68">
        <f t="shared" si="14"/>
        <v>0</v>
      </c>
      <c r="R39" s="69">
        <f t="shared" si="15"/>
        <v>0</v>
      </c>
      <c r="T39" s="70" t="str">
        <f>IFERROR(VLOOKUP(A39,VLOOKUPS!$A$3:$D$31,2,0),"Ander")</f>
        <v>Ander</v>
      </c>
      <c r="U39" s="71">
        <f t="shared" si="16"/>
        <v>0</v>
      </c>
      <c r="V39" s="71">
        <f t="shared" si="17"/>
        <v>0</v>
      </c>
    </row>
    <row r="40" spans="1:22" ht="15.75" thickBot="1" x14ac:dyDescent="0.3">
      <c r="A40" s="14"/>
      <c r="B40" s="15"/>
      <c r="C40" s="16"/>
      <c r="D40" s="49">
        <f>+L18*B40*C40</f>
        <v>0</v>
      </c>
      <c r="E40" s="17"/>
      <c r="F40" s="50">
        <f t="shared" si="18"/>
        <v>0</v>
      </c>
      <c r="G40" s="375"/>
      <c r="H40" s="18"/>
      <c r="I40" s="51">
        <f t="shared" si="11"/>
        <v>0</v>
      </c>
      <c r="J40" s="50">
        <f>+E40*H40</f>
        <v>0</v>
      </c>
      <c r="K40" s="50">
        <f t="shared" si="12"/>
        <v>0</v>
      </c>
      <c r="L40" s="372"/>
      <c r="N40" s="66">
        <f t="shared" si="19"/>
        <v>0</v>
      </c>
      <c r="O40" s="67">
        <f t="shared" si="20"/>
        <v>0</v>
      </c>
      <c r="P40" s="68">
        <f t="shared" si="13"/>
        <v>0</v>
      </c>
      <c r="Q40" s="68">
        <f t="shared" si="14"/>
        <v>0</v>
      </c>
      <c r="R40" s="69">
        <f t="shared" si="15"/>
        <v>0</v>
      </c>
      <c r="T40" s="70" t="str">
        <f>IFERROR(VLOOKUP(A40,VLOOKUPS!$A$3:$D$31,2,0),"Ander")</f>
        <v>Ander</v>
      </c>
      <c r="U40" s="71">
        <f t="shared" si="16"/>
        <v>0</v>
      </c>
      <c r="V40" s="71">
        <f t="shared" si="17"/>
        <v>0</v>
      </c>
    </row>
    <row r="41" spans="1:22" ht="15.75" thickBot="1" x14ac:dyDescent="0.3">
      <c r="N41" s="66"/>
      <c r="O41" s="67"/>
      <c r="P41" s="68"/>
      <c r="Q41" s="68"/>
      <c r="R41" s="69"/>
      <c r="U41" s="72">
        <f>SUM(U33:U40)</f>
        <v>0</v>
      </c>
      <c r="V41" s="72">
        <f>SUM(V33:V40)</f>
        <v>2680</v>
      </c>
    </row>
    <row r="42" spans="1:22" ht="18.75" thickTop="1" thickBot="1" x14ac:dyDescent="0.3">
      <c r="A42" s="412" t="s">
        <v>107</v>
      </c>
      <c r="B42" s="413"/>
      <c r="C42" s="413"/>
      <c r="D42" s="413"/>
      <c r="E42" s="413"/>
      <c r="F42" s="413"/>
      <c r="G42" s="413"/>
      <c r="H42" s="413"/>
      <c r="I42" s="413"/>
      <c r="J42" s="413"/>
      <c r="K42" s="413"/>
      <c r="L42" s="414"/>
      <c r="N42" s="66"/>
      <c r="O42" s="67"/>
      <c r="P42" s="68"/>
      <c r="Q42" s="68"/>
      <c r="R42" s="69"/>
      <c r="U42" s="71"/>
      <c r="V42" s="71"/>
    </row>
    <row r="43" spans="1:22" ht="43.5" thickBot="1" x14ac:dyDescent="0.3">
      <c r="A43" s="37" t="s">
        <v>1</v>
      </c>
      <c r="B43" s="38" t="s">
        <v>62</v>
      </c>
      <c r="C43" s="39" t="s">
        <v>2</v>
      </c>
      <c r="D43" s="40" t="s">
        <v>93</v>
      </c>
      <c r="E43" s="39" t="s">
        <v>61</v>
      </c>
      <c r="F43" s="40" t="s">
        <v>94</v>
      </c>
      <c r="G43" s="41" t="s">
        <v>60</v>
      </c>
      <c r="H43" s="39" t="s">
        <v>59</v>
      </c>
      <c r="I43" s="103" t="s">
        <v>56</v>
      </c>
      <c r="J43" s="40" t="s">
        <v>57</v>
      </c>
      <c r="K43" s="40" t="s">
        <v>58</v>
      </c>
      <c r="L43" s="42" t="s">
        <v>0</v>
      </c>
      <c r="N43" s="66"/>
      <c r="O43" s="67"/>
      <c r="P43" s="68"/>
      <c r="Q43" s="68"/>
      <c r="R43" s="69"/>
      <c r="U43" s="71"/>
      <c r="V43" s="71"/>
    </row>
    <row r="44" spans="1:22" x14ac:dyDescent="0.25">
      <c r="A44" s="4" t="s">
        <v>1</v>
      </c>
      <c r="B44" s="5">
        <v>1.7</v>
      </c>
      <c r="C44" s="6">
        <v>1</v>
      </c>
      <c r="D44" s="43">
        <f t="shared" ref="D44:D51" si="23">+$L$18*B44*C44</f>
        <v>170</v>
      </c>
      <c r="E44" s="7">
        <v>78</v>
      </c>
      <c r="F44" s="44">
        <f>+B44*C44*E44</f>
        <v>132.6</v>
      </c>
      <c r="G44" s="373">
        <f>SUM(F44:F51)</f>
        <v>337</v>
      </c>
      <c r="H44" s="8">
        <v>20</v>
      </c>
      <c r="I44" s="45">
        <f t="shared" ref="I44:I51" si="24">+IFERROR(ROUNDUP(D44/H44,0),0)</f>
        <v>9</v>
      </c>
      <c r="J44" s="44">
        <f>+E44*H44</f>
        <v>1560</v>
      </c>
      <c r="K44" s="44">
        <f>+I44*J44</f>
        <v>14040</v>
      </c>
      <c r="L44" s="370">
        <f>SUM(K44:K51)</f>
        <v>34704</v>
      </c>
      <c r="N44" s="66">
        <f t="shared" si="19"/>
        <v>105.88235294117648</v>
      </c>
      <c r="O44" s="67">
        <f t="shared" si="20"/>
        <v>100</v>
      </c>
      <c r="P44" s="68">
        <f t="shared" ref="P44:P51" si="25">+IFERROR(K44/N44,0)</f>
        <v>132.6</v>
      </c>
      <c r="Q44" s="68">
        <f t="shared" ref="Q44:Q51" si="26">+IFERROR(K44/O44,0)</f>
        <v>140.4</v>
      </c>
      <c r="R44" s="69">
        <f t="shared" ref="R44:R51" si="27">+B44*C44*E44</f>
        <v>132.6</v>
      </c>
      <c r="T44" s="70" t="str">
        <f>IFERROR(VLOOKUP(A44,VLOOKUPS!$A$3:$D$31,2,0),"Ander")</f>
        <v>Ander</v>
      </c>
      <c r="U44" s="71">
        <f t="shared" ref="U44:U51" si="28">IF(T44="Syngenta",K44,0)</f>
        <v>0</v>
      </c>
      <c r="V44" s="71">
        <f t="shared" ref="V44:V51" si="29">IF(T44="Ander",K44,0)</f>
        <v>14040</v>
      </c>
    </row>
    <row r="45" spans="1:22" x14ac:dyDescent="0.25">
      <c r="A45" s="9" t="s">
        <v>1</v>
      </c>
      <c r="B45" s="10">
        <v>7.3</v>
      </c>
      <c r="C45" s="11">
        <f>+C44</f>
        <v>1</v>
      </c>
      <c r="D45" s="46">
        <f t="shared" si="23"/>
        <v>730</v>
      </c>
      <c r="E45" s="12">
        <v>28</v>
      </c>
      <c r="F45" s="47">
        <f t="shared" ref="F45:F51" si="30">+B45*C45*E45</f>
        <v>204.4</v>
      </c>
      <c r="G45" s="374"/>
      <c r="H45" s="13">
        <v>18</v>
      </c>
      <c r="I45" s="48">
        <f t="shared" si="24"/>
        <v>41</v>
      </c>
      <c r="J45" s="47">
        <f t="shared" ref="J45:J51" si="31">+E45*H45</f>
        <v>504</v>
      </c>
      <c r="K45" s="47">
        <f t="shared" ref="K45:K51" si="32">+I45*J45</f>
        <v>20664</v>
      </c>
      <c r="L45" s="371"/>
      <c r="N45" s="66">
        <f t="shared" si="19"/>
        <v>101.0958904109589</v>
      </c>
      <c r="O45" s="67">
        <f t="shared" si="20"/>
        <v>100</v>
      </c>
      <c r="P45" s="68">
        <f t="shared" si="25"/>
        <v>204.4</v>
      </c>
      <c r="Q45" s="68">
        <f t="shared" si="26"/>
        <v>206.64</v>
      </c>
      <c r="R45" s="69">
        <f t="shared" si="27"/>
        <v>204.4</v>
      </c>
      <c r="T45" s="70" t="str">
        <f>IFERROR(VLOOKUP(A45,VLOOKUPS!$A$3:$D$31,2,0),"Ander")</f>
        <v>Ander</v>
      </c>
      <c r="U45" s="71">
        <f t="shared" si="28"/>
        <v>0</v>
      </c>
      <c r="V45" s="71">
        <f t="shared" si="29"/>
        <v>20664</v>
      </c>
    </row>
    <row r="46" spans="1:22" x14ac:dyDescent="0.25">
      <c r="A46" s="9"/>
      <c r="B46" s="10"/>
      <c r="C46" s="11"/>
      <c r="D46" s="46">
        <f t="shared" si="23"/>
        <v>0</v>
      </c>
      <c r="E46" s="12"/>
      <c r="F46" s="47">
        <f t="shared" si="30"/>
        <v>0</v>
      </c>
      <c r="G46" s="374"/>
      <c r="H46" s="13"/>
      <c r="I46" s="48">
        <f t="shared" si="24"/>
        <v>0</v>
      </c>
      <c r="J46" s="47">
        <f t="shared" si="31"/>
        <v>0</v>
      </c>
      <c r="K46" s="47">
        <f t="shared" si="32"/>
        <v>0</v>
      </c>
      <c r="L46" s="371"/>
      <c r="N46" s="66">
        <f t="shared" si="19"/>
        <v>0</v>
      </c>
      <c r="O46" s="67">
        <f t="shared" si="20"/>
        <v>0</v>
      </c>
      <c r="P46" s="68">
        <f t="shared" si="25"/>
        <v>0</v>
      </c>
      <c r="Q46" s="68">
        <f t="shared" si="26"/>
        <v>0</v>
      </c>
      <c r="R46" s="69">
        <f t="shared" si="27"/>
        <v>0</v>
      </c>
      <c r="T46" s="70" t="str">
        <f>IFERROR(VLOOKUP(A46,VLOOKUPS!$A$3:$D$31,2,0),"Ander")</f>
        <v>Ander</v>
      </c>
      <c r="U46" s="71">
        <f t="shared" si="28"/>
        <v>0</v>
      </c>
      <c r="V46" s="71">
        <f t="shared" si="29"/>
        <v>0</v>
      </c>
    </row>
    <row r="47" spans="1:22" x14ac:dyDescent="0.25">
      <c r="A47" s="9"/>
      <c r="B47" s="10"/>
      <c r="C47" s="11"/>
      <c r="D47" s="46">
        <f t="shared" si="23"/>
        <v>0</v>
      </c>
      <c r="E47" s="12"/>
      <c r="F47" s="47">
        <f t="shared" si="30"/>
        <v>0</v>
      </c>
      <c r="G47" s="374"/>
      <c r="H47" s="13"/>
      <c r="I47" s="48">
        <f t="shared" si="24"/>
        <v>0</v>
      </c>
      <c r="J47" s="47">
        <f t="shared" si="31"/>
        <v>0</v>
      </c>
      <c r="K47" s="47">
        <f t="shared" si="32"/>
        <v>0</v>
      </c>
      <c r="L47" s="371"/>
      <c r="N47" s="66"/>
      <c r="O47" s="67"/>
      <c r="P47" s="68"/>
      <c r="Q47" s="68"/>
      <c r="R47" s="69"/>
      <c r="T47" s="70" t="str">
        <f>IFERROR(VLOOKUP(A47,VLOOKUPS!$A$3:$D$31,2,0),"Ander")</f>
        <v>Ander</v>
      </c>
      <c r="U47" s="71">
        <f t="shared" si="28"/>
        <v>0</v>
      </c>
      <c r="V47" s="71">
        <f t="shared" si="29"/>
        <v>0</v>
      </c>
    </row>
    <row r="48" spans="1:22" x14ac:dyDescent="0.25">
      <c r="A48" s="9"/>
      <c r="B48" s="10"/>
      <c r="C48" s="11"/>
      <c r="D48" s="46">
        <f t="shared" si="23"/>
        <v>0</v>
      </c>
      <c r="E48" s="12"/>
      <c r="F48" s="47">
        <f t="shared" si="30"/>
        <v>0</v>
      </c>
      <c r="G48" s="374"/>
      <c r="H48" s="13"/>
      <c r="I48" s="48">
        <f t="shared" si="24"/>
        <v>0</v>
      </c>
      <c r="J48" s="47">
        <f t="shared" si="31"/>
        <v>0</v>
      </c>
      <c r="K48" s="47">
        <f t="shared" si="32"/>
        <v>0</v>
      </c>
      <c r="L48" s="371"/>
      <c r="N48" s="66"/>
      <c r="O48" s="67"/>
      <c r="P48" s="68"/>
      <c r="Q48" s="68"/>
      <c r="R48" s="69"/>
      <c r="T48" s="70" t="str">
        <f>IFERROR(VLOOKUP(A48,VLOOKUPS!$A$3:$D$31,2,0),"Ander")</f>
        <v>Ander</v>
      </c>
      <c r="U48" s="71">
        <f t="shared" si="28"/>
        <v>0</v>
      </c>
      <c r="V48" s="71">
        <f t="shared" si="29"/>
        <v>0</v>
      </c>
    </row>
    <row r="49" spans="1:22" x14ac:dyDescent="0.25">
      <c r="A49" s="9"/>
      <c r="B49" s="10"/>
      <c r="C49" s="11"/>
      <c r="D49" s="46">
        <f t="shared" si="23"/>
        <v>0</v>
      </c>
      <c r="E49" s="12"/>
      <c r="F49" s="47">
        <f t="shared" si="30"/>
        <v>0</v>
      </c>
      <c r="G49" s="374"/>
      <c r="H49" s="13"/>
      <c r="I49" s="48">
        <f t="shared" si="24"/>
        <v>0</v>
      </c>
      <c r="J49" s="47">
        <f t="shared" si="31"/>
        <v>0</v>
      </c>
      <c r="K49" s="47">
        <f t="shared" si="32"/>
        <v>0</v>
      </c>
      <c r="L49" s="371"/>
      <c r="N49" s="66">
        <f t="shared" si="19"/>
        <v>0</v>
      </c>
      <c r="O49" s="67">
        <f t="shared" si="20"/>
        <v>0</v>
      </c>
      <c r="P49" s="68">
        <f t="shared" si="25"/>
        <v>0</v>
      </c>
      <c r="Q49" s="68">
        <f t="shared" si="26"/>
        <v>0</v>
      </c>
      <c r="R49" s="69">
        <f t="shared" si="27"/>
        <v>0</v>
      </c>
      <c r="T49" s="70" t="str">
        <f>IFERROR(VLOOKUP(A49,VLOOKUPS!$A$3:$D$31,2,0),"Ander")</f>
        <v>Ander</v>
      </c>
      <c r="U49" s="71">
        <f t="shared" si="28"/>
        <v>0</v>
      </c>
      <c r="V49" s="71">
        <f t="shared" si="29"/>
        <v>0</v>
      </c>
    </row>
    <row r="50" spans="1:22" x14ac:dyDescent="0.25">
      <c r="A50" s="9"/>
      <c r="B50" s="10"/>
      <c r="C50" s="11"/>
      <c r="D50" s="46">
        <f t="shared" si="23"/>
        <v>0</v>
      </c>
      <c r="E50" s="12"/>
      <c r="F50" s="47">
        <f t="shared" si="30"/>
        <v>0</v>
      </c>
      <c r="G50" s="374"/>
      <c r="H50" s="13"/>
      <c r="I50" s="48">
        <f t="shared" si="24"/>
        <v>0</v>
      </c>
      <c r="J50" s="47">
        <f t="shared" si="31"/>
        <v>0</v>
      </c>
      <c r="K50" s="47">
        <f t="shared" si="32"/>
        <v>0</v>
      </c>
      <c r="L50" s="371"/>
      <c r="N50" s="66">
        <f t="shared" si="19"/>
        <v>0</v>
      </c>
      <c r="O50" s="67">
        <f t="shared" si="20"/>
        <v>0</v>
      </c>
      <c r="P50" s="68">
        <f t="shared" si="25"/>
        <v>0</v>
      </c>
      <c r="Q50" s="68">
        <f t="shared" si="26"/>
        <v>0</v>
      </c>
      <c r="R50" s="69">
        <f t="shared" si="27"/>
        <v>0</v>
      </c>
      <c r="T50" s="70" t="str">
        <f>IFERROR(VLOOKUP(A50,VLOOKUPS!$A$3:$D$31,2,0),"Ander")</f>
        <v>Ander</v>
      </c>
      <c r="U50" s="71">
        <f t="shared" si="28"/>
        <v>0</v>
      </c>
      <c r="V50" s="71">
        <f t="shared" si="29"/>
        <v>0</v>
      </c>
    </row>
    <row r="51" spans="1:22" ht="15.75" thickBot="1" x14ac:dyDescent="0.3">
      <c r="A51" s="14"/>
      <c r="B51" s="15"/>
      <c r="C51" s="16"/>
      <c r="D51" s="49">
        <f t="shared" si="23"/>
        <v>0</v>
      </c>
      <c r="E51" s="17"/>
      <c r="F51" s="50">
        <f t="shared" si="30"/>
        <v>0</v>
      </c>
      <c r="G51" s="375"/>
      <c r="H51" s="18"/>
      <c r="I51" s="51">
        <f t="shared" si="24"/>
        <v>0</v>
      </c>
      <c r="J51" s="50">
        <f t="shared" si="31"/>
        <v>0</v>
      </c>
      <c r="K51" s="50">
        <f t="shared" si="32"/>
        <v>0</v>
      </c>
      <c r="L51" s="372"/>
      <c r="N51" s="66">
        <f t="shared" si="19"/>
        <v>0</v>
      </c>
      <c r="O51" s="67">
        <f t="shared" si="20"/>
        <v>0</v>
      </c>
      <c r="P51" s="68">
        <f t="shared" si="25"/>
        <v>0</v>
      </c>
      <c r="Q51" s="68">
        <f t="shared" si="26"/>
        <v>0</v>
      </c>
      <c r="R51" s="69">
        <f t="shared" si="27"/>
        <v>0</v>
      </c>
      <c r="T51" s="70" t="str">
        <f>IFERROR(VLOOKUP(A51,VLOOKUPS!$A$3:$D$31,2,0),"Ander")</f>
        <v>Ander</v>
      </c>
      <c r="U51" s="71">
        <f t="shared" si="28"/>
        <v>0</v>
      </c>
      <c r="V51" s="71">
        <f t="shared" si="29"/>
        <v>0</v>
      </c>
    </row>
    <row r="52" spans="1:22" ht="15.75" thickBot="1" x14ac:dyDescent="0.3">
      <c r="N52" s="66"/>
      <c r="O52" s="67"/>
      <c r="P52" s="68"/>
      <c r="Q52" s="68"/>
      <c r="R52" s="69"/>
      <c r="U52" s="72">
        <f>SUM(U44:U51)</f>
        <v>0</v>
      </c>
      <c r="V52" s="72">
        <f>SUM(V44:V51)</f>
        <v>34704</v>
      </c>
    </row>
    <row r="53" spans="1:22" ht="18.75" thickTop="1" thickBot="1" x14ac:dyDescent="0.3">
      <c r="A53" s="412" t="s">
        <v>64</v>
      </c>
      <c r="B53" s="413"/>
      <c r="C53" s="413"/>
      <c r="D53" s="413"/>
      <c r="E53" s="413"/>
      <c r="F53" s="413"/>
      <c r="G53" s="413"/>
      <c r="H53" s="413"/>
      <c r="I53" s="413"/>
      <c r="J53" s="413"/>
      <c r="K53" s="413"/>
      <c r="L53" s="414"/>
      <c r="N53" s="66"/>
      <c r="O53" s="67"/>
      <c r="P53" s="68"/>
      <c r="Q53" s="68"/>
      <c r="R53" s="69"/>
      <c r="U53" s="71"/>
      <c r="V53" s="71"/>
    </row>
    <row r="54" spans="1:22" ht="43.5" thickBot="1" x14ac:dyDescent="0.3">
      <c r="A54" s="37" t="s">
        <v>1</v>
      </c>
      <c r="B54" s="38" t="s">
        <v>62</v>
      </c>
      <c r="C54" s="39" t="s">
        <v>2</v>
      </c>
      <c r="D54" s="40" t="s">
        <v>93</v>
      </c>
      <c r="E54" s="39" t="s">
        <v>61</v>
      </c>
      <c r="F54" s="40" t="s">
        <v>94</v>
      </c>
      <c r="G54" s="41" t="s">
        <v>60</v>
      </c>
      <c r="H54" s="39" t="s">
        <v>59</v>
      </c>
      <c r="I54" s="103" t="s">
        <v>56</v>
      </c>
      <c r="J54" s="40" t="s">
        <v>57</v>
      </c>
      <c r="K54" s="40" t="s">
        <v>58</v>
      </c>
      <c r="L54" s="42" t="s">
        <v>0</v>
      </c>
      <c r="N54" s="66"/>
      <c r="O54" s="67"/>
      <c r="P54" s="68"/>
      <c r="Q54" s="68"/>
      <c r="R54" s="69"/>
      <c r="U54" s="71"/>
      <c r="V54" s="71"/>
    </row>
    <row r="55" spans="1:22" x14ac:dyDescent="0.25">
      <c r="A55" s="4" t="s">
        <v>1</v>
      </c>
      <c r="B55" s="5">
        <v>2</v>
      </c>
      <c r="C55" s="6">
        <v>1</v>
      </c>
      <c r="D55" s="43">
        <f>+L18*B55*C55</f>
        <v>200</v>
      </c>
      <c r="E55" s="7">
        <v>69</v>
      </c>
      <c r="F55" s="44">
        <f>+B55*C55*E55</f>
        <v>138</v>
      </c>
      <c r="G55" s="373">
        <f>SUM(F55:F64)</f>
        <v>313.20000000000005</v>
      </c>
      <c r="H55" s="8">
        <v>20</v>
      </c>
      <c r="I55" s="45">
        <f t="shared" ref="I55:I64" si="33">+IFERROR(ROUNDUP(D55/H55,0),0)</f>
        <v>10</v>
      </c>
      <c r="J55" s="44">
        <f>+E55*H55</f>
        <v>1380</v>
      </c>
      <c r="K55" s="44">
        <f>+I55*J55</f>
        <v>13800</v>
      </c>
      <c r="L55" s="370">
        <f>SUM(K55:K64)</f>
        <v>32280</v>
      </c>
      <c r="N55" s="66">
        <f t="shared" si="19"/>
        <v>100</v>
      </c>
      <c r="O55" s="67">
        <f t="shared" si="20"/>
        <v>100</v>
      </c>
      <c r="P55" s="68">
        <f t="shared" ref="P55:P64" si="34">+IFERROR(K55/N55,0)</f>
        <v>138</v>
      </c>
      <c r="Q55" s="68">
        <f t="shared" ref="Q55:Q64" si="35">+IFERROR(K55/O55,0)</f>
        <v>138</v>
      </c>
      <c r="R55" s="69">
        <f t="shared" ref="R55:R64" si="36">+B55*C55*E55</f>
        <v>138</v>
      </c>
      <c r="T55" s="70" t="str">
        <f>IFERROR(VLOOKUP(A55,VLOOKUPS!$A$3:$D$31,2,0),"Ander")</f>
        <v>Ander</v>
      </c>
      <c r="U55" s="71">
        <f t="shared" ref="U55:U64" si="37">IF(T55="Syngenta",K55,0)</f>
        <v>0</v>
      </c>
      <c r="V55" s="71">
        <f t="shared" ref="V55:V64" si="38">IF(T55="Ander",K55,0)</f>
        <v>13800</v>
      </c>
    </row>
    <row r="56" spans="1:22" x14ac:dyDescent="0.25">
      <c r="A56" s="9" t="s">
        <v>1</v>
      </c>
      <c r="B56" s="10">
        <v>0.6</v>
      </c>
      <c r="C56" s="11">
        <f>+C55</f>
        <v>1</v>
      </c>
      <c r="D56" s="46">
        <f>+L18*B56*C56</f>
        <v>60</v>
      </c>
      <c r="E56" s="12">
        <v>148</v>
      </c>
      <c r="F56" s="47">
        <f t="shared" ref="F56:F64" si="39">+B56*C56*E56</f>
        <v>88.8</v>
      </c>
      <c r="G56" s="374"/>
      <c r="H56" s="13">
        <v>20</v>
      </c>
      <c r="I56" s="48">
        <f t="shared" si="33"/>
        <v>3</v>
      </c>
      <c r="J56" s="47">
        <f t="shared" ref="J56:J64" si="40">+E56*H56</f>
        <v>2960</v>
      </c>
      <c r="K56" s="47">
        <f t="shared" ref="K56:K64" si="41">+I56*J56</f>
        <v>8880</v>
      </c>
      <c r="L56" s="371"/>
      <c r="N56" s="66">
        <f t="shared" si="19"/>
        <v>100</v>
      </c>
      <c r="O56" s="67">
        <f t="shared" si="20"/>
        <v>100</v>
      </c>
      <c r="P56" s="68">
        <f t="shared" si="34"/>
        <v>88.8</v>
      </c>
      <c r="Q56" s="68">
        <f t="shared" si="35"/>
        <v>88.8</v>
      </c>
      <c r="R56" s="69">
        <f t="shared" si="36"/>
        <v>88.8</v>
      </c>
      <c r="T56" s="70" t="str">
        <f>IFERROR(VLOOKUP(A56,VLOOKUPS!$A$3:$D$31,2,0),"Ander")</f>
        <v>Ander</v>
      </c>
      <c r="U56" s="71">
        <f t="shared" si="37"/>
        <v>0</v>
      </c>
      <c r="V56" s="71">
        <f t="shared" si="38"/>
        <v>8880</v>
      </c>
    </row>
    <row r="57" spans="1:22" x14ac:dyDescent="0.25">
      <c r="A57" s="9" t="s">
        <v>1</v>
      </c>
      <c r="B57" s="10">
        <v>1.8</v>
      </c>
      <c r="C57" s="11">
        <v>1</v>
      </c>
      <c r="D57" s="46">
        <f>L18*B57*C57</f>
        <v>180</v>
      </c>
      <c r="E57" s="12">
        <v>48</v>
      </c>
      <c r="F57" s="47">
        <f t="shared" si="39"/>
        <v>86.4</v>
      </c>
      <c r="G57" s="374"/>
      <c r="H57" s="13">
        <v>25</v>
      </c>
      <c r="I57" s="48">
        <f t="shared" si="33"/>
        <v>8</v>
      </c>
      <c r="J57" s="47">
        <f t="shared" si="40"/>
        <v>1200</v>
      </c>
      <c r="K57" s="47">
        <f t="shared" si="41"/>
        <v>9600</v>
      </c>
      <c r="L57" s="371"/>
      <c r="N57" s="66">
        <f t="shared" si="19"/>
        <v>111.11111111111111</v>
      </c>
      <c r="O57" s="67">
        <f t="shared" si="20"/>
        <v>100</v>
      </c>
      <c r="P57" s="68">
        <f t="shared" si="34"/>
        <v>86.399999999999991</v>
      </c>
      <c r="Q57" s="68">
        <f t="shared" si="35"/>
        <v>96</v>
      </c>
      <c r="R57" s="69">
        <f t="shared" si="36"/>
        <v>86.4</v>
      </c>
      <c r="T57" s="70" t="str">
        <f>IFERROR(VLOOKUP(A57,VLOOKUPS!$A$3:$D$31,2,0),"Ander")</f>
        <v>Ander</v>
      </c>
      <c r="U57" s="71">
        <f t="shared" si="37"/>
        <v>0</v>
      </c>
      <c r="V57" s="71">
        <f t="shared" si="38"/>
        <v>9600</v>
      </c>
    </row>
    <row r="58" spans="1:22" x14ac:dyDescent="0.25">
      <c r="A58" s="9"/>
      <c r="B58" s="10"/>
      <c r="C58" s="11"/>
      <c r="D58" s="46">
        <f>L18*B58*C58</f>
        <v>0</v>
      </c>
      <c r="E58" s="12"/>
      <c r="F58" s="47">
        <f t="shared" si="39"/>
        <v>0</v>
      </c>
      <c r="G58" s="374"/>
      <c r="H58" s="13"/>
      <c r="I58" s="48">
        <f t="shared" si="33"/>
        <v>0</v>
      </c>
      <c r="J58" s="47">
        <f t="shared" si="40"/>
        <v>0</v>
      </c>
      <c r="K58" s="47">
        <f t="shared" si="41"/>
        <v>0</v>
      </c>
      <c r="L58" s="371"/>
      <c r="N58" s="66"/>
      <c r="O58" s="67"/>
      <c r="P58" s="68"/>
      <c r="Q58" s="68"/>
      <c r="R58" s="69"/>
      <c r="T58" s="70" t="str">
        <f>IFERROR(VLOOKUP(A58,VLOOKUPS!$A$3:$D$31,2,0),"Ander")</f>
        <v>Ander</v>
      </c>
      <c r="U58" s="71">
        <f t="shared" si="37"/>
        <v>0</v>
      </c>
      <c r="V58" s="71">
        <f t="shared" si="38"/>
        <v>0</v>
      </c>
    </row>
    <row r="59" spans="1:22" x14ac:dyDescent="0.25">
      <c r="A59" s="9"/>
      <c r="B59" s="10"/>
      <c r="C59" s="11"/>
      <c r="D59" s="46">
        <f>L18*B59*C59</f>
        <v>0</v>
      </c>
      <c r="E59" s="12"/>
      <c r="F59" s="47">
        <f t="shared" si="39"/>
        <v>0</v>
      </c>
      <c r="G59" s="374"/>
      <c r="H59" s="13"/>
      <c r="I59" s="48">
        <f t="shared" si="33"/>
        <v>0</v>
      </c>
      <c r="J59" s="47">
        <f t="shared" si="40"/>
        <v>0</v>
      </c>
      <c r="K59" s="47">
        <f t="shared" si="41"/>
        <v>0</v>
      </c>
      <c r="L59" s="371"/>
      <c r="N59" s="66"/>
      <c r="O59" s="67"/>
      <c r="P59" s="68"/>
      <c r="Q59" s="68"/>
      <c r="R59" s="69"/>
      <c r="T59" s="70" t="str">
        <f>IFERROR(VLOOKUP(A59,VLOOKUPS!$A$3:$D$31,2,0),"Ander")</f>
        <v>Ander</v>
      </c>
      <c r="U59" s="71">
        <f t="shared" si="37"/>
        <v>0</v>
      </c>
      <c r="V59" s="71">
        <f t="shared" si="38"/>
        <v>0</v>
      </c>
    </row>
    <row r="60" spans="1:22" x14ac:dyDescent="0.25">
      <c r="A60" s="9"/>
      <c r="B60" s="10"/>
      <c r="C60" s="11"/>
      <c r="D60" s="46">
        <f t="shared" ref="D60:D61" si="42">L19*B60*C60</f>
        <v>0</v>
      </c>
      <c r="E60" s="12"/>
      <c r="F60" s="47">
        <f t="shared" si="39"/>
        <v>0</v>
      </c>
      <c r="G60" s="374"/>
      <c r="H60" s="13"/>
      <c r="I60" s="48">
        <f t="shared" si="33"/>
        <v>0</v>
      </c>
      <c r="J60" s="47">
        <f t="shared" si="40"/>
        <v>0</v>
      </c>
      <c r="K60" s="47">
        <f t="shared" si="41"/>
        <v>0</v>
      </c>
      <c r="L60" s="371"/>
      <c r="N60" s="66"/>
      <c r="O60" s="67"/>
      <c r="P60" s="68"/>
      <c r="Q60" s="68"/>
      <c r="R60" s="69"/>
      <c r="T60" s="70" t="str">
        <f>IFERROR(VLOOKUP(A60,VLOOKUPS!$A$3:$D$31,2,0),"Ander")</f>
        <v>Ander</v>
      </c>
      <c r="U60" s="71">
        <f t="shared" si="37"/>
        <v>0</v>
      </c>
      <c r="V60" s="71">
        <f t="shared" si="38"/>
        <v>0</v>
      </c>
    </row>
    <row r="61" spans="1:22" x14ac:dyDescent="0.25">
      <c r="A61" s="9"/>
      <c r="B61" s="10"/>
      <c r="C61" s="11"/>
      <c r="D61" s="46">
        <f t="shared" si="42"/>
        <v>0</v>
      </c>
      <c r="E61" s="12"/>
      <c r="F61" s="47">
        <f t="shared" si="39"/>
        <v>0</v>
      </c>
      <c r="G61" s="374"/>
      <c r="H61" s="13"/>
      <c r="I61" s="48">
        <f t="shared" si="33"/>
        <v>0</v>
      </c>
      <c r="J61" s="47">
        <f t="shared" si="40"/>
        <v>0</v>
      </c>
      <c r="K61" s="47">
        <f t="shared" si="41"/>
        <v>0</v>
      </c>
      <c r="L61" s="371"/>
      <c r="N61" s="66"/>
      <c r="O61" s="67"/>
      <c r="P61" s="68"/>
      <c r="Q61" s="68"/>
      <c r="R61" s="69"/>
      <c r="T61" s="70" t="str">
        <f>IFERROR(VLOOKUP(A61,VLOOKUPS!$A$3:$D$31,2,0),"Ander")</f>
        <v>Ander</v>
      </c>
      <c r="U61" s="71">
        <f t="shared" si="37"/>
        <v>0</v>
      </c>
      <c r="V61" s="71">
        <f t="shared" si="38"/>
        <v>0</v>
      </c>
    </row>
    <row r="62" spans="1:22" x14ac:dyDescent="0.25">
      <c r="A62" s="9"/>
      <c r="B62" s="10"/>
      <c r="C62" s="11"/>
      <c r="D62" s="46">
        <f>L18*B62*C62</f>
        <v>0</v>
      </c>
      <c r="E62" s="12"/>
      <c r="F62" s="47">
        <f t="shared" si="39"/>
        <v>0</v>
      </c>
      <c r="G62" s="374"/>
      <c r="H62" s="13"/>
      <c r="I62" s="48">
        <f t="shared" si="33"/>
        <v>0</v>
      </c>
      <c r="J62" s="47">
        <f t="shared" si="40"/>
        <v>0</v>
      </c>
      <c r="K62" s="47">
        <f t="shared" si="41"/>
        <v>0</v>
      </c>
      <c r="L62" s="371"/>
      <c r="N62" s="66">
        <f t="shared" si="19"/>
        <v>0</v>
      </c>
      <c r="O62" s="67">
        <f t="shared" si="20"/>
        <v>0</v>
      </c>
      <c r="P62" s="68">
        <f t="shared" si="34"/>
        <v>0</v>
      </c>
      <c r="Q62" s="68">
        <f t="shared" si="35"/>
        <v>0</v>
      </c>
      <c r="R62" s="69">
        <f t="shared" si="36"/>
        <v>0</v>
      </c>
      <c r="T62" s="70" t="str">
        <f>IFERROR(VLOOKUP(A62,VLOOKUPS!$A$3:$D$31,2,0),"Ander")</f>
        <v>Ander</v>
      </c>
      <c r="U62" s="71">
        <f t="shared" si="37"/>
        <v>0</v>
      </c>
      <c r="V62" s="71">
        <f t="shared" si="38"/>
        <v>0</v>
      </c>
    </row>
    <row r="63" spans="1:22" x14ac:dyDescent="0.25">
      <c r="A63" s="9"/>
      <c r="B63" s="10"/>
      <c r="C63" s="11"/>
      <c r="D63" s="46">
        <f>L18*B63*C63</f>
        <v>0</v>
      </c>
      <c r="E63" s="12"/>
      <c r="F63" s="47">
        <f t="shared" si="39"/>
        <v>0</v>
      </c>
      <c r="G63" s="374"/>
      <c r="H63" s="13"/>
      <c r="I63" s="48">
        <f t="shared" si="33"/>
        <v>0</v>
      </c>
      <c r="J63" s="47">
        <f t="shared" si="40"/>
        <v>0</v>
      </c>
      <c r="K63" s="47">
        <f t="shared" si="41"/>
        <v>0</v>
      </c>
      <c r="L63" s="371"/>
      <c r="N63" s="66">
        <f t="shared" si="19"/>
        <v>0</v>
      </c>
      <c r="O63" s="67">
        <f t="shared" si="20"/>
        <v>0</v>
      </c>
      <c r="P63" s="68">
        <f t="shared" si="34"/>
        <v>0</v>
      </c>
      <c r="Q63" s="68">
        <f t="shared" si="35"/>
        <v>0</v>
      </c>
      <c r="R63" s="69">
        <f t="shared" si="36"/>
        <v>0</v>
      </c>
      <c r="T63" s="70" t="str">
        <f>IFERROR(VLOOKUP(A63,VLOOKUPS!$A$3:$D$31,2,0),"Ander")</f>
        <v>Ander</v>
      </c>
      <c r="U63" s="71">
        <f t="shared" si="37"/>
        <v>0</v>
      </c>
      <c r="V63" s="71">
        <f t="shared" si="38"/>
        <v>0</v>
      </c>
    </row>
    <row r="64" spans="1:22" ht="15.75" thickBot="1" x14ac:dyDescent="0.3">
      <c r="A64" s="14"/>
      <c r="B64" s="15"/>
      <c r="C64" s="16"/>
      <c r="D64" s="49">
        <f>L18*B64*C64</f>
        <v>0</v>
      </c>
      <c r="E64" s="17"/>
      <c r="F64" s="50">
        <f t="shared" si="39"/>
        <v>0</v>
      </c>
      <c r="G64" s="375"/>
      <c r="H64" s="18"/>
      <c r="I64" s="51">
        <f t="shared" si="33"/>
        <v>0</v>
      </c>
      <c r="J64" s="50">
        <f t="shared" si="40"/>
        <v>0</v>
      </c>
      <c r="K64" s="50">
        <f t="shared" si="41"/>
        <v>0</v>
      </c>
      <c r="L64" s="372"/>
      <c r="N64" s="66">
        <f t="shared" si="19"/>
        <v>0</v>
      </c>
      <c r="O64" s="67">
        <f t="shared" si="20"/>
        <v>0</v>
      </c>
      <c r="P64" s="68">
        <f t="shared" si="34"/>
        <v>0</v>
      </c>
      <c r="Q64" s="68">
        <f t="shared" si="35"/>
        <v>0</v>
      </c>
      <c r="R64" s="69">
        <f t="shared" si="36"/>
        <v>0</v>
      </c>
      <c r="T64" s="70" t="str">
        <f>IFERROR(VLOOKUP(A64,VLOOKUPS!$A$3:$D$31,2,0),"Ander")</f>
        <v>Ander</v>
      </c>
      <c r="U64" s="71">
        <f t="shared" si="37"/>
        <v>0</v>
      </c>
      <c r="V64" s="71">
        <f t="shared" si="38"/>
        <v>0</v>
      </c>
    </row>
    <row r="65" spans="1:22" ht="15.75" thickBot="1" x14ac:dyDescent="0.3">
      <c r="N65" s="66"/>
      <c r="O65" s="67"/>
      <c r="P65" s="68"/>
      <c r="Q65" s="68"/>
      <c r="R65" s="69"/>
      <c r="U65" s="72">
        <f>SUM(U55:U64)</f>
        <v>0</v>
      </c>
      <c r="V65" s="72">
        <f>SUM(V55:V64)</f>
        <v>32280</v>
      </c>
    </row>
    <row r="66" spans="1:22" ht="18.75" thickTop="1" thickBot="1" x14ac:dyDescent="0.35">
      <c r="A66" s="409" t="s">
        <v>67</v>
      </c>
      <c r="B66" s="410"/>
      <c r="C66" s="410"/>
      <c r="D66" s="410"/>
      <c r="E66" s="410"/>
      <c r="F66" s="410"/>
      <c r="G66" s="410"/>
      <c r="H66" s="410"/>
      <c r="I66" s="410"/>
      <c r="J66" s="410"/>
      <c r="K66" s="410"/>
      <c r="L66" s="411"/>
      <c r="N66" s="66"/>
      <c r="O66" s="67"/>
      <c r="P66" s="68"/>
      <c r="Q66" s="68"/>
      <c r="R66" s="69"/>
      <c r="U66" s="71"/>
      <c r="V66" s="71"/>
    </row>
    <row r="67" spans="1:22" ht="43.5" thickBot="1" x14ac:dyDescent="0.3">
      <c r="A67" s="37" t="s">
        <v>1</v>
      </c>
      <c r="B67" s="38" t="s">
        <v>62</v>
      </c>
      <c r="C67" s="39" t="s">
        <v>2</v>
      </c>
      <c r="D67" s="40" t="s">
        <v>93</v>
      </c>
      <c r="E67" s="39" t="s">
        <v>61</v>
      </c>
      <c r="F67" s="40" t="s">
        <v>94</v>
      </c>
      <c r="G67" s="41" t="s">
        <v>60</v>
      </c>
      <c r="H67" s="39" t="s">
        <v>59</v>
      </c>
      <c r="I67" s="103" t="s">
        <v>56</v>
      </c>
      <c r="J67" s="40" t="s">
        <v>57</v>
      </c>
      <c r="K67" s="40" t="s">
        <v>58</v>
      </c>
      <c r="L67" s="42" t="s">
        <v>0</v>
      </c>
      <c r="N67" s="66"/>
      <c r="O67" s="67"/>
      <c r="P67" s="68"/>
      <c r="Q67" s="68"/>
      <c r="R67" s="69"/>
      <c r="U67" s="71"/>
      <c r="V67" s="71"/>
    </row>
    <row r="68" spans="1:22" x14ac:dyDescent="0.25">
      <c r="A68" s="4" t="s">
        <v>1</v>
      </c>
      <c r="B68" s="5">
        <v>0.5</v>
      </c>
      <c r="C68" s="6">
        <v>1</v>
      </c>
      <c r="D68" s="43">
        <f>+L18*B68*C68</f>
        <v>50</v>
      </c>
      <c r="E68" s="7">
        <v>250</v>
      </c>
      <c r="F68" s="44">
        <f>+B68*C68*E68</f>
        <v>125</v>
      </c>
      <c r="G68" s="373">
        <f>SUM(F68:F71)</f>
        <v>125</v>
      </c>
      <c r="H68" s="8">
        <v>5</v>
      </c>
      <c r="I68" s="45">
        <f t="shared" ref="I68:I71" si="43">+IFERROR(ROUNDUP(D68/H68,0),0)</f>
        <v>10</v>
      </c>
      <c r="J68" s="44">
        <f>+E68*H68</f>
        <v>1250</v>
      </c>
      <c r="K68" s="44">
        <f>+I68*J68</f>
        <v>12500</v>
      </c>
      <c r="L68" s="370">
        <f>SUM(K68:K71)</f>
        <v>12500</v>
      </c>
      <c r="N68" s="66">
        <f t="shared" si="19"/>
        <v>100</v>
      </c>
      <c r="O68" s="67">
        <f t="shared" si="20"/>
        <v>100</v>
      </c>
      <c r="P68" s="68">
        <f t="shared" ref="P68:P71" si="44">+IFERROR(K68/N68,0)</f>
        <v>125</v>
      </c>
      <c r="Q68" s="68">
        <f t="shared" ref="Q68:Q71" si="45">+IFERROR(K68/O68,0)</f>
        <v>125</v>
      </c>
      <c r="R68" s="69">
        <f t="shared" ref="R68:R71" si="46">+B68*C68*E68</f>
        <v>125</v>
      </c>
      <c r="T68" s="70" t="str">
        <f>IFERROR(VLOOKUP(A68,VLOOKUPS!$A$3:$D$31,2,0),"Ander")</f>
        <v>Ander</v>
      </c>
      <c r="U68" s="71">
        <f t="shared" ref="U68:U71" si="47">IF(T68="Syngenta",K68,0)</f>
        <v>0</v>
      </c>
      <c r="V68" s="71">
        <f t="shared" ref="V68:V71" si="48">IF(T68="Ander",K68,0)</f>
        <v>12500</v>
      </c>
    </row>
    <row r="69" spans="1:22" x14ac:dyDescent="0.25">
      <c r="A69" s="9"/>
      <c r="B69" s="10"/>
      <c r="C69" s="11"/>
      <c r="D69" s="46">
        <f>+L18*B69*C69</f>
        <v>0</v>
      </c>
      <c r="E69" s="12"/>
      <c r="F69" s="47">
        <f t="shared" ref="F69:F71" si="49">+B69*C69*E69</f>
        <v>0</v>
      </c>
      <c r="G69" s="374"/>
      <c r="H69" s="13"/>
      <c r="I69" s="48">
        <f t="shared" si="43"/>
        <v>0</v>
      </c>
      <c r="J69" s="47">
        <f t="shared" ref="J69:J71" si="50">+E69*H69</f>
        <v>0</v>
      </c>
      <c r="K69" s="47">
        <f t="shared" ref="K69:K71" si="51">+I69*J69</f>
        <v>0</v>
      </c>
      <c r="L69" s="371"/>
      <c r="N69" s="66">
        <f t="shared" si="19"/>
        <v>0</v>
      </c>
      <c r="O69" s="67">
        <f t="shared" si="20"/>
        <v>0</v>
      </c>
      <c r="P69" s="68">
        <f t="shared" si="44"/>
        <v>0</v>
      </c>
      <c r="Q69" s="68">
        <f t="shared" si="45"/>
        <v>0</v>
      </c>
      <c r="R69" s="69">
        <f t="shared" si="46"/>
        <v>0</v>
      </c>
      <c r="T69" s="70" t="str">
        <f>IFERROR(VLOOKUP(A69,VLOOKUPS!$A$3:$D$31,2,0),"Ander")</f>
        <v>Ander</v>
      </c>
      <c r="U69" s="71">
        <f t="shared" si="47"/>
        <v>0</v>
      </c>
      <c r="V69" s="71">
        <f t="shared" si="48"/>
        <v>0</v>
      </c>
    </row>
    <row r="70" spans="1:22" x14ac:dyDescent="0.25">
      <c r="A70" s="9"/>
      <c r="B70" s="10"/>
      <c r="C70" s="11"/>
      <c r="D70" s="46">
        <f>L18*B70*C70</f>
        <v>0</v>
      </c>
      <c r="E70" s="12"/>
      <c r="F70" s="47">
        <f t="shared" si="49"/>
        <v>0</v>
      </c>
      <c r="G70" s="374"/>
      <c r="H70" s="13"/>
      <c r="I70" s="48">
        <f t="shared" si="43"/>
        <v>0</v>
      </c>
      <c r="J70" s="47">
        <f t="shared" si="50"/>
        <v>0</v>
      </c>
      <c r="K70" s="47">
        <f t="shared" si="51"/>
        <v>0</v>
      </c>
      <c r="L70" s="371"/>
      <c r="N70" s="66">
        <f t="shared" si="19"/>
        <v>0</v>
      </c>
      <c r="O70" s="67">
        <f t="shared" si="20"/>
        <v>0</v>
      </c>
      <c r="P70" s="68">
        <f t="shared" si="44"/>
        <v>0</v>
      </c>
      <c r="Q70" s="68">
        <f t="shared" si="45"/>
        <v>0</v>
      </c>
      <c r="R70" s="69">
        <f t="shared" si="46"/>
        <v>0</v>
      </c>
      <c r="T70" s="70" t="str">
        <f>IFERROR(VLOOKUP(A70,VLOOKUPS!$A$3:$D$31,2,0),"Ander")</f>
        <v>Ander</v>
      </c>
      <c r="U70" s="71">
        <f t="shared" si="47"/>
        <v>0</v>
      </c>
      <c r="V70" s="71">
        <f t="shared" si="48"/>
        <v>0</v>
      </c>
    </row>
    <row r="71" spans="1:22" ht="15.75" thickBot="1" x14ac:dyDescent="0.3">
      <c r="A71" s="14"/>
      <c r="B71" s="15"/>
      <c r="C71" s="16"/>
      <c r="D71" s="49">
        <f>+L18*B71*C71</f>
        <v>0</v>
      </c>
      <c r="E71" s="17"/>
      <c r="F71" s="50">
        <f t="shared" si="49"/>
        <v>0</v>
      </c>
      <c r="G71" s="375"/>
      <c r="H71" s="18"/>
      <c r="I71" s="51">
        <f t="shared" si="43"/>
        <v>0</v>
      </c>
      <c r="J71" s="50">
        <f t="shared" si="50"/>
        <v>0</v>
      </c>
      <c r="K71" s="50">
        <f t="shared" si="51"/>
        <v>0</v>
      </c>
      <c r="L71" s="372"/>
      <c r="N71" s="66">
        <f t="shared" si="19"/>
        <v>0</v>
      </c>
      <c r="O71" s="67">
        <f t="shared" si="20"/>
        <v>0</v>
      </c>
      <c r="P71" s="68">
        <f t="shared" si="44"/>
        <v>0</v>
      </c>
      <c r="Q71" s="68">
        <f t="shared" si="45"/>
        <v>0</v>
      </c>
      <c r="R71" s="69">
        <f t="shared" si="46"/>
        <v>0</v>
      </c>
      <c r="T71" s="70" t="str">
        <f>IFERROR(VLOOKUP(A71,VLOOKUPS!$A$3:$D$31,2,0),"Ander")</f>
        <v>Ander</v>
      </c>
      <c r="U71" s="71">
        <f t="shared" si="47"/>
        <v>0</v>
      </c>
      <c r="V71" s="71">
        <f t="shared" si="48"/>
        <v>0</v>
      </c>
    </row>
    <row r="72" spans="1:22" ht="15.75" thickBot="1" x14ac:dyDescent="0.3">
      <c r="U72" s="72">
        <f>SUM(U68:U71)</f>
        <v>0</v>
      </c>
      <c r="V72" s="72">
        <f>SUM(V68:V71)</f>
        <v>12500</v>
      </c>
    </row>
    <row r="73" spans="1:22" ht="15.75" thickTop="1" x14ac:dyDescent="0.25">
      <c r="U73" s="73"/>
      <c r="V73" s="73"/>
    </row>
    <row r="74" spans="1:22" ht="15" customHeight="1" thickBot="1" x14ac:dyDescent="0.3">
      <c r="B74" s="395" t="s">
        <v>89</v>
      </c>
      <c r="C74" s="396"/>
      <c r="D74" s="396"/>
      <c r="E74" s="396"/>
      <c r="F74" s="396"/>
      <c r="G74" s="396"/>
      <c r="H74" s="396"/>
      <c r="I74" s="396"/>
      <c r="J74" s="396"/>
      <c r="K74" s="397"/>
    </row>
    <row r="75" spans="1:22" ht="15.75" thickBot="1" x14ac:dyDescent="0.3">
      <c r="B75" s="398"/>
      <c r="C75" s="399"/>
      <c r="D75" s="399"/>
      <c r="E75" s="399"/>
      <c r="F75" s="399"/>
      <c r="G75" s="399"/>
      <c r="H75" s="399"/>
      <c r="I75" s="399"/>
      <c r="J75" s="399"/>
      <c r="K75" s="400"/>
      <c r="T75" s="74" t="s">
        <v>76</v>
      </c>
      <c r="U75" s="105">
        <f>U72+U65+U52+U41+U30</f>
        <v>0</v>
      </c>
      <c r="V75" s="106">
        <f>V72+V65+V52+V41+V30</f>
        <v>90664</v>
      </c>
    </row>
    <row r="76" spans="1:22" x14ac:dyDescent="0.25">
      <c r="B76" s="36"/>
      <c r="C76" s="111"/>
      <c r="D76" s="111"/>
      <c r="E76" s="111"/>
      <c r="F76" s="111"/>
      <c r="T76" s="27" t="s">
        <v>77</v>
      </c>
      <c r="U76" s="75">
        <f>V75+U75-L14</f>
        <v>0</v>
      </c>
    </row>
    <row r="77" spans="1:22" x14ac:dyDescent="0.25">
      <c r="B77" s="36"/>
      <c r="C77" s="111"/>
      <c r="D77" s="111"/>
      <c r="E77" s="111"/>
      <c r="F77" s="111"/>
    </row>
    <row r="78" spans="1:22" x14ac:dyDescent="0.25">
      <c r="B78" s="36"/>
      <c r="C78" s="111"/>
      <c r="D78" s="111"/>
      <c r="E78" s="111"/>
      <c r="F78" s="111"/>
    </row>
  </sheetData>
  <sheetProtection selectLockedCells="1"/>
  <mergeCells count="48">
    <mergeCell ref="B74:K75"/>
    <mergeCell ref="G33:G40"/>
    <mergeCell ref="L33:L40"/>
    <mergeCell ref="A42:L42"/>
    <mergeCell ref="G44:G51"/>
    <mergeCell ref="L44:L51"/>
    <mergeCell ref="A53:L53"/>
    <mergeCell ref="G55:G64"/>
    <mergeCell ref="L55:L64"/>
    <mergeCell ref="A66:L66"/>
    <mergeCell ref="G68:G71"/>
    <mergeCell ref="L68:L71"/>
    <mergeCell ref="A31:L31"/>
    <mergeCell ref="B16:C16"/>
    <mergeCell ref="G16:H16"/>
    <mergeCell ref="J16:K16"/>
    <mergeCell ref="B18:C18"/>
    <mergeCell ref="G18:H18"/>
    <mergeCell ref="J18:K18"/>
    <mergeCell ref="A20:L20"/>
    <mergeCell ref="G21:H22"/>
    <mergeCell ref="I21:I22"/>
    <mergeCell ref="G24:G29"/>
    <mergeCell ref="L24:L29"/>
    <mergeCell ref="B14:C14"/>
    <mergeCell ref="G14:H14"/>
    <mergeCell ref="J14:K14"/>
    <mergeCell ref="B15:C15"/>
    <mergeCell ref="G15:H15"/>
    <mergeCell ref="J15:K15"/>
    <mergeCell ref="B12:C12"/>
    <mergeCell ref="G12:H12"/>
    <mergeCell ref="J12:K12"/>
    <mergeCell ref="B13:C13"/>
    <mergeCell ref="G13:H13"/>
    <mergeCell ref="J13:K13"/>
    <mergeCell ref="B10:C10"/>
    <mergeCell ref="G10:H10"/>
    <mergeCell ref="J10:K10"/>
    <mergeCell ref="B11:C11"/>
    <mergeCell ref="G11:H11"/>
    <mergeCell ref="J11:K11"/>
    <mergeCell ref="A8:C8"/>
    <mergeCell ref="F8:H8"/>
    <mergeCell ref="J8:L8"/>
    <mergeCell ref="B9:C9"/>
    <mergeCell ref="G9:H9"/>
    <mergeCell ref="J9:K9"/>
  </mergeCells>
  <printOptions horizontalCentered="1" verticalCentered="1"/>
  <pageMargins left="0.26" right="0.28999999999999998" top="0.19" bottom="0.18" header="0" footer="0"/>
  <pageSetup paperSize="9" scale="64"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pageSetUpPr fitToPage="1"/>
  </sheetPr>
  <dimension ref="A1:V78"/>
  <sheetViews>
    <sheetView zoomScaleNormal="100" workbookViewId="0">
      <selection activeCell="J24" sqref="J24"/>
    </sheetView>
  </sheetViews>
  <sheetFormatPr defaultRowHeight="15" x14ac:dyDescent="0.25"/>
  <cols>
    <col min="1" max="1" width="21.140625" style="27" customWidth="1"/>
    <col min="2" max="2" width="9.140625" style="27" customWidth="1"/>
    <col min="3" max="3" width="10.85546875" style="27" customWidth="1"/>
    <col min="4" max="4" width="9.140625" style="27"/>
    <col min="5" max="5" width="11.5703125" style="27" bestFit="1" customWidth="1"/>
    <col min="6" max="6" width="11.5703125" style="27" customWidth="1"/>
    <col min="7" max="7" width="12.5703125" style="27" bestFit="1" customWidth="1"/>
    <col min="8" max="8" width="11.28515625" style="27" customWidth="1"/>
    <col min="9" max="9" width="11.140625" style="27" customWidth="1"/>
    <col min="10" max="10" width="12.5703125" style="27" bestFit="1" customWidth="1"/>
    <col min="11" max="11" width="14.140625" style="27" customWidth="1"/>
    <col min="12" max="12" width="14.85546875" style="27" customWidth="1"/>
    <col min="13" max="13" width="9.140625" style="27" customWidth="1"/>
    <col min="14" max="14" width="12.28515625" style="27" hidden="1" customWidth="1"/>
    <col min="15" max="15" width="10.5703125" style="27" hidden="1" customWidth="1"/>
    <col min="16" max="16" width="14.140625" style="27" hidden="1" customWidth="1"/>
    <col min="17" max="17" width="13.42578125" style="27" hidden="1" customWidth="1"/>
    <col min="18" max="18" width="18.42578125" style="27" hidden="1" customWidth="1"/>
    <col min="19" max="19" width="9.140625" style="27" customWidth="1"/>
    <col min="20" max="20" width="12.28515625" style="27" hidden="1" customWidth="1"/>
    <col min="21" max="21" width="10.5703125" style="27" hidden="1" customWidth="1"/>
    <col min="22" max="22" width="9.140625" style="27" hidden="1" customWidth="1"/>
    <col min="23" max="23" width="9.140625" style="27" customWidth="1"/>
    <col min="24" max="16384" width="9.140625" style="27"/>
  </cols>
  <sheetData>
    <row r="1" spans="1:14" s="61" customFormat="1" ht="15" customHeight="1" x14ac:dyDescent="0.25"/>
    <row r="4" spans="1:14" ht="15.75" thickBot="1" x14ac:dyDescent="0.3"/>
    <row r="5" spans="1:14" ht="15.75" thickBot="1" x14ac:dyDescent="0.3">
      <c r="C5" s="76"/>
      <c r="F5" s="117" t="s">
        <v>134</v>
      </c>
      <c r="G5" s="118" t="s">
        <v>121</v>
      </c>
    </row>
    <row r="6" spans="1:14" x14ac:dyDescent="0.25">
      <c r="C6" s="76"/>
    </row>
    <row r="7" spans="1:14" ht="15.75" thickBot="1" x14ac:dyDescent="0.3"/>
    <row r="8" spans="1:14" ht="15.75" thickBot="1" x14ac:dyDescent="0.3">
      <c r="A8" s="404" t="s">
        <v>39</v>
      </c>
      <c r="B8" s="405"/>
      <c r="C8" s="406"/>
      <c r="F8" s="376" t="s">
        <v>48</v>
      </c>
      <c r="G8" s="377"/>
      <c r="H8" s="378"/>
      <c r="J8" s="376" t="s">
        <v>36</v>
      </c>
      <c r="K8" s="377"/>
      <c r="L8" s="378"/>
    </row>
    <row r="9" spans="1:14" x14ac:dyDescent="0.25">
      <c r="A9" s="28" t="s">
        <v>40</v>
      </c>
      <c r="B9" s="407" t="str">
        <f>+'Koring 1 (dont use)'!B9:C9</f>
        <v>Jaque Fourie</v>
      </c>
      <c r="C9" s="408"/>
      <c r="F9" s="28" t="s">
        <v>81</v>
      </c>
      <c r="G9" s="387" t="str">
        <f>+'Koring 1 (dont use)'!G9:H9</f>
        <v>Bakkies Botha</v>
      </c>
      <c r="H9" s="388"/>
      <c r="J9" s="420" t="str">
        <f>+A20</f>
        <v>Saadbehandeling</v>
      </c>
      <c r="K9" s="421"/>
      <c r="L9" s="23">
        <f>+L24</f>
        <v>8500</v>
      </c>
    </row>
    <row r="10" spans="1:14" x14ac:dyDescent="0.25">
      <c r="A10" s="29" t="s">
        <v>47</v>
      </c>
      <c r="B10" s="424" t="str">
        <f>+'Koring 1 (dont use)'!B10:C10</f>
        <v>Japan</v>
      </c>
      <c r="C10" s="425"/>
      <c r="F10" s="29" t="s">
        <v>82</v>
      </c>
      <c r="G10" s="424" t="str">
        <f>+'Koring 1 (dont use)'!G10:H10</f>
        <v xml:space="preserve">Bus 524 </v>
      </c>
      <c r="H10" s="425"/>
      <c r="J10" s="389" t="str">
        <f>+A31</f>
        <v>Voor plant</v>
      </c>
      <c r="K10" s="390"/>
      <c r="L10" s="24">
        <f>+L33</f>
        <v>2680</v>
      </c>
    </row>
    <row r="11" spans="1:14" x14ac:dyDescent="0.25">
      <c r="A11" s="30"/>
      <c r="B11" s="424">
        <f>+'Koring 1 (dont use)'!B11:C11</f>
        <v>0</v>
      </c>
      <c r="C11" s="425"/>
      <c r="F11" s="29" t="s">
        <v>83</v>
      </c>
      <c r="G11" s="424" t="str">
        <f>+'Koring 1 (dont use)'!G11:H11</f>
        <v>Brakfontein</v>
      </c>
      <c r="H11" s="425"/>
      <c r="J11" s="389" t="str">
        <f>+A42</f>
        <v>Voor-opkoms (met plant)</v>
      </c>
      <c r="K11" s="390"/>
      <c r="L11" s="24">
        <f>+L44</f>
        <v>23976</v>
      </c>
    </row>
    <row r="12" spans="1:14" x14ac:dyDescent="0.25">
      <c r="A12" s="29" t="s">
        <v>45</v>
      </c>
      <c r="B12" s="424" t="str">
        <f>+'Koring 1 (dont use)'!B12:C12</f>
        <v>0001</v>
      </c>
      <c r="C12" s="425"/>
      <c r="F12" s="29" t="s">
        <v>84</v>
      </c>
      <c r="G12" s="424" t="str">
        <f>+'Koring 1 (dont use)'!G12:H12</f>
        <v>Humansdorp</v>
      </c>
      <c r="H12" s="425"/>
      <c r="J12" s="389" t="str">
        <f>+A53</f>
        <v>Na-opkoms</v>
      </c>
      <c r="K12" s="390"/>
      <c r="L12" s="24">
        <f>+L55</f>
        <v>25740</v>
      </c>
    </row>
    <row r="13" spans="1:14" x14ac:dyDescent="0.25">
      <c r="A13" s="29" t="s">
        <v>41</v>
      </c>
      <c r="B13" s="424">
        <f>+'Koring 1 (dont use)'!B13:C13</f>
        <v>0</v>
      </c>
      <c r="C13" s="425"/>
      <c r="F13" s="29" t="s">
        <v>85</v>
      </c>
      <c r="G13" s="424" t="str">
        <f>+'Koring 1 (dont use)'!G13:H13</f>
        <v>2587</v>
      </c>
      <c r="H13" s="425"/>
      <c r="J13" s="389" t="str">
        <f>+A66</f>
        <v>Ander</v>
      </c>
      <c r="K13" s="390"/>
      <c r="L13" s="24">
        <f>+L68</f>
        <v>8750</v>
      </c>
    </row>
    <row r="14" spans="1:14" ht="15.75" thickBot="1" x14ac:dyDescent="0.3">
      <c r="A14" s="29" t="s">
        <v>42</v>
      </c>
      <c r="B14" s="424">
        <f>+'Koring 1 (dont use)'!B14:C14</f>
        <v>0</v>
      </c>
      <c r="C14" s="425"/>
      <c r="F14" s="29" t="s">
        <v>86</v>
      </c>
      <c r="G14" s="424" t="str">
        <f>+'Koring 1 (dont use)'!G14:H14</f>
        <v>0112548798</v>
      </c>
      <c r="H14" s="425"/>
      <c r="J14" s="391" t="s">
        <v>55</v>
      </c>
      <c r="K14" s="392"/>
      <c r="L14" s="26">
        <f>SUM(L9:L13)</f>
        <v>69646</v>
      </c>
    </row>
    <row r="15" spans="1:14" ht="16.5" thickTop="1" thickBot="1" x14ac:dyDescent="0.3">
      <c r="A15" s="29" t="s">
        <v>43</v>
      </c>
      <c r="B15" s="424" t="str">
        <f>+'Koring 1 (dont use)'!B15:C15</f>
        <v>0878522233</v>
      </c>
      <c r="C15" s="425"/>
      <c r="F15" s="29" t="s">
        <v>87</v>
      </c>
      <c r="G15" s="424" t="str">
        <f>+'Koring 1 (dont use)'!G15:H15</f>
        <v>0768543221</v>
      </c>
      <c r="H15" s="425"/>
      <c r="J15" s="426"/>
      <c r="K15" s="427"/>
      <c r="L15" s="25"/>
    </row>
    <row r="16" spans="1:14" ht="15.75" thickBot="1" x14ac:dyDescent="0.3">
      <c r="A16" s="31" t="s">
        <v>44</v>
      </c>
      <c r="B16" s="428" t="str">
        <f>+'Koring 1 (dont use)'!B16:C16</f>
        <v>jfourie@gmail.com</v>
      </c>
      <c r="C16" s="429"/>
      <c r="F16" s="31" t="s">
        <v>88</v>
      </c>
      <c r="G16" s="430" t="str">
        <f>+'Koring 1 (dont use)'!G16:H16</f>
        <v>bb@bok.co.za</v>
      </c>
      <c r="H16" s="431"/>
      <c r="J16" s="432" t="s">
        <v>70</v>
      </c>
      <c r="K16" s="433"/>
      <c r="L16" s="104">
        <f>+G24+G33+G44+G55+G68</f>
        <v>832.13333333333344</v>
      </c>
      <c r="N16" s="62">
        <f>+L14/L18</f>
        <v>994.94285714285718</v>
      </c>
    </row>
    <row r="17" spans="1:22" ht="15.75" thickBot="1" x14ac:dyDescent="0.3">
      <c r="E17" s="32"/>
      <c r="J17" s="33"/>
      <c r="K17" s="33"/>
      <c r="L17" s="34"/>
    </row>
    <row r="18" spans="1:22" ht="15.75" thickBot="1" x14ac:dyDescent="0.3">
      <c r="A18" s="35" t="s">
        <v>106</v>
      </c>
      <c r="B18" s="434" t="str">
        <f>+'Koring 1 (dont use)'!B18:C18</f>
        <v>Co</v>
      </c>
      <c r="C18" s="435"/>
      <c r="E18" s="32"/>
      <c r="F18" s="35" t="s">
        <v>69</v>
      </c>
      <c r="G18" s="418" t="str">
        <f>+'Koring 1 (dont use)'!G18:H18</f>
        <v>2012/09/12</v>
      </c>
      <c r="H18" s="436"/>
      <c r="J18" s="404" t="s">
        <v>46</v>
      </c>
      <c r="K18" s="405"/>
      <c r="L18" s="3">
        <v>70</v>
      </c>
    </row>
    <row r="19" spans="1:22" s="77" customFormat="1" ht="15.75" thickBot="1" x14ac:dyDescent="0.3">
      <c r="A19" s="101"/>
      <c r="B19" s="109"/>
      <c r="C19" s="109"/>
      <c r="E19" s="102"/>
      <c r="F19" s="101"/>
      <c r="G19" s="109"/>
      <c r="H19" s="109"/>
      <c r="J19" s="100"/>
      <c r="K19" s="100"/>
      <c r="L19" s="110"/>
    </row>
    <row r="20" spans="1:22" s="77" customFormat="1" ht="18" thickBot="1" x14ac:dyDescent="0.35">
      <c r="A20" s="409" t="s">
        <v>38</v>
      </c>
      <c r="B20" s="410"/>
      <c r="C20" s="410"/>
      <c r="D20" s="410"/>
      <c r="E20" s="410"/>
      <c r="F20" s="410"/>
      <c r="G20" s="410"/>
      <c r="H20" s="410"/>
      <c r="I20" s="410"/>
      <c r="J20" s="410"/>
      <c r="K20" s="410"/>
      <c r="L20" s="411"/>
    </row>
    <row r="21" spans="1:22" s="77" customFormat="1" x14ac:dyDescent="0.25">
      <c r="A21" s="52"/>
      <c r="B21" s="53" t="s">
        <v>97</v>
      </c>
      <c r="C21" s="19">
        <v>26000</v>
      </c>
      <c r="D21" s="54"/>
      <c r="E21" s="55"/>
      <c r="F21" s="55"/>
      <c r="G21" s="437" t="s">
        <v>99</v>
      </c>
      <c r="H21" s="438"/>
      <c r="I21" s="441">
        <f>+C21/C22</f>
        <v>0.43333333333333335</v>
      </c>
      <c r="J21" s="54"/>
      <c r="K21" s="54"/>
      <c r="L21" s="56"/>
    </row>
    <row r="22" spans="1:22" s="77" customFormat="1" ht="15.75" thickBot="1" x14ac:dyDescent="0.3">
      <c r="A22" s="57"/>
      <c r="B22" s="58" t="s">
        <v>98</v>
      </c>
      <c r="C22" s="20">
        <v>60000</v>
      </c>
      <c r="D22" s="59"/>
      <c r="E22" s="55"/>
      <c r="F22" s="55"/>
      <c r="G22" s="439"/>
      <c r="H22" s="440"/>
      <c r="I22" s="442"/>
      <c r="J22" s="59"/>
      <c r="K22" s="59"/>
      <c r="L22" s="60"/>
      <c r="T22" s="107"/>
      <c r="U22" s="108" t="s">
        <v>113</v>
      </c>
      <c r="V22" s="107"/>
    </row>
    <row r="23" spans="1:22" s="77" customFormat="1" ht="43.5" thickBot="1" x14ac:dyDescent="0.3">
      <c r="A23" s="37" t="s">
        <v>1</v>
      </c>
      <c r="B23" s="38" t="s">
        <v>95</v>
      </c>
      <c r="C23" s="39" t="s">
        <v>96</v>
      </c>
      <c r="D23" s="40" t="s">
        <v>93</v>
      </c>
      <c r="E23" s="39" t="s">
        <v>61</v>
      </c>
      <c r="F23" s="40" t="s">
        <v>94</v>
      </c>
      <c r="G23" s="41" t="s">
        <v>60</v>
      </c>
      <c r="H23" s="39" t="s">
        <v>59</v>
      </c>
      <c r="I23" s="103" t="s">
        <v>56</v>
      </c>
      <c r="J23" s="40" t="s">
        <v>57</v>
      </c>
      <c r="K23" s="40" t="s">
        <v>58</v>
      </c>
      <c r="L23" s="42" t="s">
        <v>0</v>
      </c>
      <c r="N23" s="63" t="s">
        <v>101</v>
      </c>
      <c r="O23" s="63" t="s">
        <v>100</v>
      </c>
      <c r="P23" s="64" t="s">
        <v>102</v>
      </c>
      <c r="Q23" s="64" t="s">
        <v>103</v>
      </c>
      <c r="R23" s="64" t="s">
        <v>104</v>
      </c>
      <c r="S23" s="27"/>
      <c r="T23" s="65" t="s">
        <v>72</v>
      </c>
      <c r="U23" s="65" t="s">
        <v>74</v>
      </c>
      <c r="V23" s="65" t="s">
        <v>75</v>
      </c>
    </row>
    <row r="24" spans="1:22" s="77" customFormat="1" x14ac:dyDescent="0.25">
      <c r="A24" s="134" t="s">
        <v>1</v>
      </c>
      <c r="B24" s="135">
        <v>0.1</v>
      </c>
      <c r="C24" s="136">
        <v>100</v>
      </c>
      <c r="D24" s="43">
        <f t="shared" ref="D24" si="0">+B24*C24</f>
        <v>10</v>
      </c>
      <c r="E24" s="137">
        <v>850</v>
      </c>
      <c r="F24" s="44">
        <f t="shared" ref="F24" si="1">+IFERROR(K24/(C24/$I$21),0)</f>
        <v>36.833333333333336</v>
      </c>
      <c r="G24" s="373">
        <f>SUM(F24:F29)</f>
        <v>36.833333333333336</v>
      </c>
      <c r="H24" s="138">
        <v>1</v>
      </c>
      <c r="I24" s="45">
        <f t="shared" ref="I24" si="2">+IFERROR(ROUNDUP(D24/H24,0),0)</f>
        <v>10</v>
      </c>
      <c r="J24" s="44">
        <f>+E24*H24</f>
        <v>850</v>
      </c>
      <c r="K24" s="44">
        <f>+I24*J24</f>
        <v>8500</v>
      </c>
      <c r="L24" s="370">
        <f>SUM(K24:K29)</f>
        <v>8500</v>
      </c>
      <c r="T24" s="70" t="str">
        <f>IFERROR(VLOOKUP(A24,VLOOKUPS!$A$3:$D$31,2,0),"Ander")</f>
        <v>Ander</v>
      </c>
      <c r="U24" s="71">
        <f t="shared" ref="U24:U29" si="3">IF(T24="Syngenta",K24,0)</f>
        <v>0</v>
      </c>
      <c r="V24" s="71">
        <f t="shared" ref="V24:V29" si="4">IF(T24="Ander",K24,0)</f>
        <v>8500</v>
      </c>
    </row>
    <row r="25" spans="1:22" s="77" customFormat="1" x14ac:dyDescent="0.25">
      <c r="A25" s="9"/>
      <c r="B25" s="10"/>
      <c r="C25" s="21"/>
      <c r="D25" s="46">
        <f t="shared" ref="D25:D29" si="5">+B25*C25</f>
        <v>0</v>
      </c>
      <c r="E25" s="12"/>
      <c r="F25" s="47">
        <f t="shared" ref="F25:F29" si="6">+IFERROR(K25/(C25/$I$21),0)</f>
        <v>0</v>
      </c>
      <c r="G25" s="374"/>
      <c r="H25" s="13"/>
      <c r="I25" s="48">
        <f t="shared" ref="I25:I26" si="7">+IFERROR(ROUNDUP(D25/H25,0),0)</f>
        <v>0</v>
      </c>
      <c r="J25" s="47">
        <f>+E25*H25</f>
        <v>0</v>
      </c>
      <c r="K25" s="47">
        <f>+I25*J25</f>
        <v>0</v>
      </c>
      <c r="L25" s="371"/>
      <c r="T25" s="70" t="str">
        <f>IFERROR(VLOOKUP(A25,VLOOKUPS!$A$3:$D$31,2,0),"Ander")</f>
        <v>Ander</v>
      </c>
      <c r="U25" s="71">
        <f t="shared" si="3"/>
        <v>0</v>
      </c>
      <c r="V25" s="71">
        <f t="shared" si="4"/>
        <v>0</v>
      </c>
    </row>
    <row r="26" spans="1:22" s="77" customFormat="1" x14ac:dyDescent="0.25">
      <c r="A26" s="9"/>
      <c r="B26" s="10"/>
      <c r="C26" s="21"/>
      <c r="D26" s="46">
        <f t="shared" si="5"/>
        <v>0</v>
      </c>
      <c r="E26" s="12"/>
      <c r="F26" s="47">
        <f t="shared" si="6"/>
        <v>0</v>
      </c>
      <c r="G26" s="374"/>
      <c r="H26" s="13"/>
      <c r="I26" s="48">
        <f t="shared" si="7"/>
        <v>0</v>
      </c>
      <c r="J26" s="47">
        <f t="shared" ref="J26:J29" si="8">+E26*H26</f>
        <v>0</v>
      </c>
      <c r="K26" s="47">
        <f t="shared" ref="K26:K29" si="9">+I26*J26</f>
        <v>0</v>
      </c>
      <c r="L26" s="371"/>
      <c r="T26" s="70" t="str">
        <f>IFERROR(VLOOKUP(A26,VLOOKUPS!$A$3:$D$31,2,0),"Ander")</f>
        <v>Ander</v>
      </c>
      <c r="U26" s="71">
        <f t="shared" si="3"/>
        <v>0</v>
      </c>
      <c r="V26" s="71">
        <f t="shared" si="4"/>
        <v>0</v>
      </c>
    </row>
    <row r="27" spans="1:22" s="77" customFormat="1" x14ac:dyDescent="0.25">
      <c r="A27" s="9"/>
      <c r="B27" s="10"/>
      <c r="C27" s="21"/>
      <c r="D27" s="46">
        <f t="shared" si="5"/>
        <v>0</v>
      </c>
      <c r="E27" s="12"/>
      <c r="F27" s="47">
        <f t="shared" si="6"/>
        <v>0</v>
      </c>
      <c r="G27" s="374"/>
      <c r="H27" s="13"/>
      <c r="I27" s="48">
        <f>+IFERROR(ROUNDUP(D27/H27,0),0)</f>
        <v>0</v>
      </c>
      <c r="J27" s="47">
        <f t="shared" si="8"/>
        <v>0</v>
      </c>
      <c r="K27" s="47">
        <f t="shared" si="9"/>
        <v>0</v>
      </c>
      <c r="L27" s="371"/>
      <c r="T27" s="70" t="str">
        <f>IFERROR(VLOOKUP(A27,VLOOKUPS!$A$3:$D$31,2,0),"Ander")</f>
        <v>Ander</v>
      </c>
      <c r="U27" s="71">
        <f t="shared" si="3"/>
        <v>0</v>
      </c>
      <c r="V27" s="71">
        <f t="shared" si="4"/>
        <v>0</v>
      </c>
    </row>
    <row r="28" spans="1:22" s="77" customFormat="1" x14ac:dyDescent="0.25">
      <c r="A28" s="9"/>
      <c r="B28" s="10"/>
      <c r="C28" s="21"/>
      <c r="D28" s="46">
        <f t="shared" si="5"/>
        <v>0</v>
      </c>
      <c r="E28" s="12"/>
      <c r="F28" s="47">
        <f t="shared" si="6"/>
        <v>0</v>
      </c>
      <c r="G28" s="374"/>
      <c r="H28" s="13"/>
      <c r="I28" s="48">
        <f t="shared" ref="I28:I29" si="10">+IFERROR(ROUNDUP(D28/H28,0),0)</f>
        <v>0</v>
      </c>
      <c r="J28" s="47">
        <f t="shared" si="8"/>
        <v>0</v>
      </c>
      <c r="K28" s="47">
        <f t="shared" si="9"/>
        <v>0</v>
      </c>
      <c r="L28" s="371"/>
      <c r="T28" s="70" t="str">
        <f>IFERROR(VLOOKUP(A28,VLOOKUPS!$A$3:$D$31,2,0),"Ander")</f>
        <v>Ander</v>
      </c>
      <c r="U28" s="71">
        <f t="shared" si="3"/>
        <v>0</v>
      </c>
      <c r="V28" s="71">
        <f t="shared" si="4"/>
        <v>0</v>
      </c>
    </row>
    <row r="29" spans="1:22" s="77" customFormat="1" ht="15.75" thickBot="1" x14ac:dyDescent="0.3">
      <c r="A29" s="14"/>
      <c r="B29" s="15"/>
      <c r="C29" s="22"/>
      <c r="D29" s="49">
        <f t="shared" si="5"/>
        <v>0</v>
      </c>
      <c r="E29" s="17"/>
      <c r="F29" s="50">
        <f t="shared" si="6"/>
        <v>0</v>
      </c>
      <c r="G29" s="375"/>
      <c r="H29" s="18"/>
      <c r="I29" s="51">
        <f t="shared" si="10"/>
        <v>0</v>
      </c>
      <c r="J29" s="50">
        <f t="shared" si="8"/>
        <v>0</v>
      </c>
      <c r="K29" s="50">
        <f t="shared" si="9"/>
        <v>0</v>
      </c>
      <c r="L29" s="372"/>
      <c r="T29" s="70" t="str">
        <f>IFERROR(VLOOKUP(A29,VLOOKUPS!$A$3:$D$31,2,0),"Ander")</f>
        <v>Ander</v>
      </c>
      <c r="U29" s="71">
        <f t="shared" si="3"/>
        <v>0</v>
      </c>
      <c r="V29" s="71">
        <f t="shared" si="4"/>
        <v>0</v>
      </c>
    </row>
    <row r="30" spans="1:22" s="77" customFormat="1" ht="15.75" thickBot="1" x14ac:dyDescent="0.3">
      <c r="A30" s="101"/>
      <c r="B30" s="109"/>
      <c r="C30" s="109"/>
      <c r="E30" s="102"/>
      <c r="F30" s="101"/>
      <c r="G30" s="109"/>
      <c r="H30" s="109"/>
      <c r="J30" s="100"/>
      <c r="K30" s="100"/>
      <c r="L30" s="110"/>
      <c r="T30" s="27"/>
      <c r="U30" s="72">
        <f>SUM(U24:U29)</f>
        <v>0</v>
      </c>
      <c r="V30" s="72">
        <f>SUM(V24:V29)</f>
        <v>8500</v>
      </c>
    </row>
    <row r="31" spans="1:22" ht="18.75" thickTop="1" thickBot="1" x14ac:dyDescent="0.35">
      <c r="A31" s="415" t="s">
        <v>37</v>
      </c>
      <c r="B31" s="416"/>
      <c r="C31" s="416"/>
      <c r="D31" s="416"/>
      <c r="E31" s="416"/>
      <c r="F31" s="416"/>
      <c r="G31" s="416"/>
      <c r="H31" s="416"/>
      <c r="I31" s="416"/>
      <c r="J31" s="416"/>
      <c r="K31" s="416"/>
      <c r="L31" s="417"/>
    </row>
    <row r="32" spans="1:22" ht="33" customHeight="1" thickBot="1" x14ac:dyDescent="0.3">
      <c r="A32" s="37" t="s">
        <v>1</v>
      </c>
      <c r="B32" s="38" t="s">
        <v>62</v>
      </c>
      <c r="C32" s="39" t="s">
        <v>2</v>
      </c>
      <c r="D32" s="40" t="s">
        <v>93</v>
      </c>
      <c r="E32" s="39" t="s">
        <v>61</v>
      </c>
      <c r="F32" s="40" t="s">
        <v>94</v>
      </c>
      <c r="G32" s="41" t="s">
        <v>60</v>
      </c>
      <c r="H32" s="39" t="s">
        <v>59</v>
      </c>
      <c r="I32" s="103" t="s">
        <v>56</v>
      </c>
      <c r="J32" s="40" t="s">
        <v>57</v>
      </c>
      <c r="K32" s="40" t="s">
        <v>58</v>
      </c>
      <c r="L32" s="42" t="s">
        <v>0</v>
      </c>
    </row>
    <row r="33" spans="1:22" x14ac:dyDescent="0.25">
      <c r="A33" s="9" t="s">
        <v>1</v>
      </c>
      <c r="B33" s="10">
        <v>0.3</v>
      </c>
      <c r="C33" s="11">
        <v>1</v>
      </c>
      <c r="D33" s="43">
        <f>+L18*B33*C33</f>
        <v>21</v>
      </c>
      <c r="E33" s="12">
        <v>67</v>
      </c>
      <c r="F33" s="44">
        <f>+B33*C33*E33</f>
        <v>20.099999999999998</v>
      </c>
      <c r="G33" s="373">
        <f>SUM(F33:F40)</f>
        <v>20.099999999999998</v>
      </c>
      <c r="H33" s="13">
        <v>20</v>
      </c>
      <c r="I33" s="45">
        <f t="shared" ref="I33:I40" si="11">+IFERROR(ROUNDUP(D33/H33,0),0)</f>
        <v>2</v>
      </c>
      <c r="J33" s="44">
        <f>+E33*H33</f>
        <v>1340</v>
      </c>
      <c r="K33" s="44">
        <f t="shared" ref="K33:K40" si="12">+I33*J33</f>
        <v>2680</v>
      </c>
      <c r="L33" s="370">
        <f>SUM(K33:K40)</f>
        <v>2680</v>
      </c>
      <c r="N33" s="66">
        <f>+IFERROR((I33*H33)/B33,0)</f>
        <v>133.33333333333334</v>
      </c>
      <c r="O33" s="67">
        <f>+IFERROR(C33*$L$18,0)</f>
        <v>70</v>
      </c>
      <c r="P33" s="68">
        <f t="shared" ref="P33:P40" si="13">+IFERROR(K33/N33,0)</f>
        <v>20.099999999999998</v>
      </c>
      <c r="Q33" s="68">
        <f t="shared" ref="Q33:Q40" si="14">+IFERROR(K33/O33,0)</f>
        <v>38.285714285714285</v>
      </c>
      <c r="R33" s="69">
        <f t="shared" ref="R33:R40" si="15">+B33*C33*E33</f>
        <v>20.099999999999998</v>
      </c>
      <c r="T33" s="70" t="str">
        <f>IFERROR(VLOOKUP(A33,VLOOKUPS!$A$3:$D$31,2,0),"Ander")</f>
        <v>Ander</v>
      </c>
      <c r="U33" s="71">
        <f t="shared" ref="U33:U40" si="16">IF(T33="Syngenta",K33,0)</f>
        <v>0</v>
      </c>
      <c r="V33" s="71">
        <f t="shared" ref="V33:V40" si="17">IF(T33="Ander",K33,0)</f>
        <v>2680</v>
      </c>
    </row>
    <row r="34" spans="1:22" x14ac:dyDescent="0.25">
      <c r="A34" s="9"/>
      <c r="B34" s="10"/>
      <c r="C34" s="11"/>
      <c r="D34" s="46">
        <f>+L18*B34*C34</f>
        <v>0</v>
      </c>
      <c r="E34" s="12">
        <v>11</v>
      </c>
      <c r="F34" s="47">
        <f t="shared" ref="F34:F40" si="18">+B34*C34*E34</f>
        <v>0</v>
      </c>
      <c r="G34" s="374"/>
      <c r="H34" s="13"/>
      <c r="I34" s="48">
        <f t="shared" si="11"/>
        <v>0</v>
      </c>
      <c r="J34" s="47">
        <f>+E34*H34</f>
        <v>0</v>
      </c>
      <c r="K34" s="47">
        <f t="shared" si="12"/>
        <v>0</v>
      </c>
      <c r="L34" s="371"/>
      <c r="N34" s="66">
        <f t="shared" ref="N34:N71" si="19">+IFERROR((I34*H34)/B34,0)</f>
        <v>0</v>
      </c>
      <c r="O34" s="67">
        <f t="shared" ref="O34:O71" si="20">+IFERROR(C34*$L$18,0)</f>
        <v>0</v>
      </c>
      <c r="P34" s="68">
        <f t="shared" si="13"/>
        <v>0</v>
      </c>
      <c r="Q34" s="68">
        <f t="shared" si="14"/>
        <v>0</v>
      </c>
      <c r="R34" s="69">
        <f t="shared" si="15"/>
        <v>0</v>
      </c>
      <c r="T34" s="70" t="str">
        <f>IFERROR(VLOOKUP(A34,VLOOKUPS!$A$3:$D$31,2,0),"Ander")</f>
        <v>Ander</v>
      </c>
      <c r="U34" s="71">
        <f t="shared" si="16"/>
        <v>0</v>
      </c>
      <c r="V34" s="71">
        <f t="shared" si="17"/>
        <v>0</v>
      </c>
    </row>
    <row r="35" spans="1:22" x14ac:dyDescent="0.25">
      <c r="A35" s="9"/>
      <c r="B35" s="10"/>
      <c r="C35" s="11"/>
      <c r="D35" s="46">
        <f>+L18*B35*C35</f>
        <v>0</v>
      </c>
      <c r="E35" s="12">
        <v>67</v>
      </c>
      <c r="F35" s="47">
        <f t="shared" si="18"/>
        <v>0</v>
      </c>
      <c r="G35" s="374"/>
      <c r="H35" s="13"/>
      <c r="I35" s="48">
        <f t="shared" si="11"/>
        <v>0</v>
      </c>
      <c r="J35" s="47">
        <f>+E35*H35</f>
        <v>0</v>
      </c>
      <c r="K35" s="47">
        <f t="shared" si="12"/>
        <v>0</v>
      </c>
      <c r="L35" s="371"/>
      <c r="N35" s="66">
        <f t="shared" si="19"/>
        <v>0</v>
      </c>
      <c r="O35" s="67">
        <f t="shared" si="20"/>
        <v>0</v>
      </c>
      <c r="P35" s="68">
        <f t="shared" si="13"/>
        <v>0</v>
      </c>
      <c r="Q35" s="68">
        <f t="shared" si="14"/>
        <v>0</v>
      </c>
      <c r="R35" s="69">
        <f t="shared" si="15"/>
        <v>0</v>
      </c>
      <c r="T35" s="70" t="str">
        <f>IFERROR(VLOOKUP(A35,VLOOKUPS!$A$3:$D$31,2,0),"Ander")</f>
        <v>Ander</v>
      </c>
      <c r="U35" s="71">
        <f t="shared" si="16"/>
        <v>0</v>
      </c>
      <c r="V35" s="71">
        <f t="shared" si="17"/>
        <v>0</v>
      </c>
    </row>
    <row r="36" spans="1:22" x14ac:dyDescent="0.25">
      <c r="A36" s="9"/>
      <c r="B36" s="10"/>
      <c r="C36" s="11"/>
      <c r="D36" s="46">
        <f t="shared" ref="D36:D37" si="21">+L19*B36*C36</f>
        <v>0</v>
      </c>
      <c r="E36" s="12"/>
      <c r="F36" s="47">
        <f t="shared" si="18"/>
        <v>0</v>
      </c>
      <c r="G36" s="374"/>
      <c r="H36" s="13"/>
      <c r="I36" s="48">
        <f t="shared" si="11"/>
        <v>0</v>
      </c>
      <c r="J36" s="47">
        <f t="shared" ref="J36:J38" si="22">+E36*H36</f>
        <v>0</v>
      </c>
      <c r="K36" s="47">
        <f t="shared" si="12"/>
        <v>0</v>
      </c>
      <c r="L36" s="371"/>
      <c r="N36" s="66">
        <f t="shared" si="19"/>
        <v>0</v>
      </c>
      <c r="O36" s="67">
        <f t="shared" si="20"/>
        <v>0</v>
      </c>
      <c r="P36" s="68">
        <f t="shared" si="13"/>
        <v>0</v>
      </c>
      <c r="Q36" s="68">
        <f t="shared" si="14"/>
        <v>0</v>
      </c>
      <c r="R36" s="69">
        <f t="shared" si="15"/>
        <v>0</v>
      </c>
      <c r="T36" s="70" t="str">
        <f>IFERROR(VLOOKUP(A36,VLOOKUPS!$A$3:$D$31,2,0),"Ander")</f>
        <v>Ander</v>
      </c>
      <c r="U36" s="71">
        <f t="shared" si="16"/>
        <v>0</v>
      </c>
      <c r="V36" s="71">
        <f t="shared" si="17"/>
        <v>0</v>
      </c>
    </row>
    <row r="37" spans="1:22" x14ac:dyDescent="0.25">
      <c r="A37" s="9"/>
      <c r="B37" s="10"/>
      <c r="C37" s="11"/>
      <c r="D37" s="46">
        <f t="shared" si="21"/>
        <v>0</v>
      </c>
      <c r="E37" s="12"/>
      <c r="F37" s="47">
        <f t="shared" si="18"/>
        <v>0</v>
      </c>
      <c r="G37" s="374"/>
      <c r="H37" s="13"/>
      <c r="I37" s="48">
        <f t="shared" si="11"/>
        <v>0</v>
      </c>
      <c r="J37" s="47">
        <f t="shared" si="22"/>
        <v>0</v>
      </c>
      <c r="K37" s="47">
        <f t="shared" si="12"/>
        <v>0</v>
      </c>
      <c r="L37" s="371"/>
      <c r="N37" s="66">
        <f t="shared" si="19"/>
        <v>0</v>
      </c>
      <c r="O37" s="67">
        <f t="shared" si="20"/>
        <v>0</v>
      </c>
      <c r="P37" s="68">
        <f t="shared" si="13"/>
        <v>0</v>
      </c>
      <c r="Q37" s="68">
        <f t="shared" si="14"/>
        <v>0</v>
      </c>
      <c r="R37" s="69">
        <f t="shared" si="15"/>
        <v>0</v>
      </c>
      <c r="T37" s="70" t="str">
        <f>IFERROR(VLOOKUP(A37,VLOOKUPS!$A$3:$D$31,2,0),"Ander")</f>
        <v>Ander</v>
      </c>
      <c r="U37" s="71">
        <f t="shared" si="16"/>
        <v>0</v>
      </c>
      <c r="V37" s="71">
        <f t="shared" si="17"/>
        <v>0</v>
      </c>
    </row>
    <row r="38" spans="1:22" x14ac:dyDescent="0.25">
      <c r="A38" s="9"/>
      <c r="B38" s="10"/>
      <c r="C38" s="11"/>
      <c r="D38" s="46">
        <f>+L18*B38*C38</f>
        <v>0</v>
      </c>
      <c r="E38" s="12"/>
      <c r="F38" s="47">
        <f t="shared" si="18"/>
        <v>0</v>
      </c>
      <c r="G38" s="374"/>
      <c r="H38" s="13"/>
      <c r="I38" s="48">
        <f t="shared" si="11"/>
        <v>0</v>
      </c>
      <c r="J38" s="47">
        <f t="shared" si="22"/>
        <v>0</v>
      </c>
      <c r="K38" s="47">
        <f t="shared" si="12"/>
        <v>0</v>
      </c>
      <c r="L38" s="371"/>
      <c r="N38" s="66">
        <f t="shared" si="19"/>
        <v>0</v>
      </c>
      <c r="O38" s="67">
        <f t="shared" si="20"/>
        <v>0</v>
      </c>
      <c r="P38" s="68">
        <f t="shared" si="13"/>
        <v>0</v>
      </c>
      <c r="Q38" s="68">
        <f t="shared" si="14"/>
        <v>0</v>
      </c>
      <c r="R38" s="69">
        <f t="shared" si="15"/>
        <v>0</v>
      </c>
      <c r="T38" s="70" t="str">
        <f>IFERROR(VLOOKUP(A38,VLOOKUPS!$A$3:$D$31,2,0),"Ander")</f>
        <v>Ander</v>
      </c>
      <c r="U38" s="71">
        <f t="shared" si="16"/>
        <v>0</v>
      </c>
      <c r="V38" s="71">
        <f t="shared" si="17"/>
        <v>0</v>
      </c>
    </row>
    <row r="39" spans="1:22" x14ac:dyDescent="0.25">
      <c r="A39" s="9"/>
      <c r="B39" s="10"/>
      <c r="C39" s="11"/>
      <c r="D39" s="46">
        <f>+L18*B39*C39</f>
        <v>0</v>
      </c>
      <c r="E39" s="12"/>
      <c r="F39" s="47">
        <f t="shared" si="18"/>
        <v>0</v>
      </c>
      <c r="G39" s="374"/>
      <c r="H39" s="13"/>
      <c r="I39" s="48">
        <f t="shared" si="11"/>
        <v>0</v>
      </c>
      <c r="J39" s="47">
        <f>+E39*H39</f>
        <v>0</v>
      </c>
      <c r="K39" s="47">
        <f t="shared" si="12"/>
        <v>0</v>
      </c>
      <c r="L39" s="371"/>
      <c r="N39" s="66">
        <f t="shared" si="19"/>
        <v>0</v>
      </c>
      <c r="O39" s="67">
        <f t="shared" si="20"/>
        <v>0</v>
      </c>
      <c r="P39" s="68">
        <f t="shared" si="13"/>
        <v>0</v>
      </c>
      <c r="Q39" s="68">
        <f t="shared" si="14"/>
        <v>0</v>
      </c>
      <c r="R39" s="69">
        <f t="shared" si="15"/>
        <v>0</v>
      </c>
      <c r="T39" s="70" t="str">
        <f>IFERROR(VLOOKUP(A39,VLOOKUPS!$A$3:$D$31,2,0),"Ander")</f>
        <v>Ander</v>
      </c>
      <c r="U39" s="71">
        <f t="shared" si="16"/>
        <v>0</v>
      </c>
      <c r="V39" s="71">
        <f t="shared" si="17"/>
        <v>0</v>
      </c>
    </row>
    <row r="40" spans="1:22" ht="15.75" thickBot="1" x14ac:dyDescent="0.3">
      <c r="A40" s="14"/>
      <c r="B40" s="15"/>
      <c r="C40" s="16"/>
      <c r="D40" s="49">
        <f>+L18*B40*C40</f>
        <v>0</v>
      </c>
      <c r="E40" s="17"/>
      <c r="F40" s="50">
        <f t="shared" si="18"/>
        <v>0</v>
      </c>
      <c r="G40" s="375"/>
      <c r="H40" s="18"/>
      <c r="I40" s="51">
        <f t="shared" si="11"/>
        <v>0</v>
      </c>
      <c r="J40" s="50">
        <f>+E40*H40</f>
        <v>0</v>
      </c>
      <c r="K40" s="50">
        <f t="shared" si="12"/>
        <v>0</v>
      </c>
      <c r="L40" s="372"/>
      <c r="N40" s="66">
        <f t="shared" si="19"/>
        <v>0</v>
      </c>
      <c r="O40" s="67">
        <f t="shared" si="20"/>
        <v>0</v>
      </c>
      <c r="P40" s="68">
        <f t="shared" si="13"/>
        <v>0</v>
      </c>
      <c r="Q40" s="68">
        <f t="shared" si="14"/>
        <v>0</v>
      </c>
      <c r="R40" s="69">
        <f t="shared" si="15"/>
        <v>0</v>
      </c>
      <c r="T40" s="70" t="str">
        <f>IFERROR(VLOOKUP(A40,VLOOKUPS!$A$3:$D$31,2,0),"Ander")</f>
        <v>Ander</v>
      </c>
      <c r="U40" s="71">
        <f t="shared" si="16"/>
        <v>0</v>
      </c>
      <c r="V40" s="71">
        <f t="shared" si="17"/>
        <v>0</v>
      </c>
    </row>
    <row r="41" spans="1:22" ht="15.75" thickBot="1" x14ac:dyDescent="0.3">
      <c r="N41" s="66"/>
      <c r="O41" s="67"/>
      <c r="P41" s="68"/>
      <c r="Q41" s="68"/>
      <c r="R41" s="69"/>
      <c r="U41" s="72">
        <f>SUM(U33:U40)</f>
        <v>0</v>
      </c>
      <c r="V41" s="72">
        <f>SUM(V33:V40)</f>
        <v>2680</v>
      </c>
    </row>
    <row r="42" spans="1:22" ht="18.75" thickTop="1" thickBot="1" x14ac:dyDescent="0.3">
      <c r="A42" s="412" t="s">
        <v>107</v>
      </c>
      <c r="B42" s="413"/>
      <c r="C42" s="413"/>
      <c r="D42" s="413"/>
      <c r="E42" s="413"/>
      <c r="F42" s="413"/>
      <c r="G42" s="413"/>
      <c r="H42" s="413"/>
      <c r="I42" s="413"/>
      <c r="J42" s="413"/>
      <c r="K42" s="413"/>
      <c r="L42" s="414"/>
      <c r="N42" s="66"/>
      <c r="O42" s="67"/>
      <c r="P42" s="68"/>
      <c r="Q42" s="68"/>
      <c r="R42" s="69"/>
      <c r="U42" s="71"/>
      <c r="V42" s="71"/>
    </row>
    <row r="43" spans="1:22" ht="43.5" thickBot="1" x14ac:dyDescent="0.3">
      <c r="A43" s="37" t="s">
        <v>1</v>
      </c>
      <c r="B43" s="38" t="s">
        <v>62</v>
      </c>
      <c r="C43" s="39" t="s">
        <v>2</v>
      </c>
      <c r="D43" s="40" t="s">
        <v>93</v>
      </c>
      <c r="E43" s="39" t="s">
        <v>61</v>
      </c>
      <c r="F43" s="40" t="s">
        <v>94</v>
      </c>
      <c r="G43" s="41" t="s">
        <v>60</v>
      </c>
      <c r="H43" s="39" t="s">
        <v>59</v>
      </c>
      <c r="I43" s="103" t="s">
        <v>56</v>
      </c>
      <c r="J43" s="40" t="s">
        <v>57</v>
      </c>
      <c r="K43" s="40" t="s">
        <v>58</v>
      </c>
      <c r="L43" s="42" t="s">
        <v>0</v>
      </c>
      <c r="N43" s="66"/>
      <c r="O43" s="67"/>
      <c r="P43" s="68"/>
      <c r="Q43" s="68"/>
      <c r="R43" s="69"/>
      <c r="U43" s="71"/>
      <c r="V43" s="71"/>
    </row>
    <row r="44" spans="1:22" x14ac:dyDescent="0.25">
      <c r="A44" s="4" t="s">
        <v>1</v>
      </c>
      <c r="B44" s="5">
        <v>1.7</v>
      </c>
      <c r="C44" s="6">
        <v>1</v>
      </c>
      <c r="D44" s="43">
        <f t="shared" ref="D44:D51" si="23">+$L$18*B44*C44</f>
        <v>119</v>
      </c>
      <c r="E44" s="7">
        <v>78</v>
      </c>
      <c r="F44" s="44">
        <f>+B44*C44*E44</f>
        <v>132.6</v>
      </c>
      <c r="G44" s="373">
        <f>SUM(F44:F51)</f>
        <v>337</v>
      </c>
      <c r="H44" s="8">
        <v>20</v>
      </c>
      <c r="I44" s="45">
        <f t="shared" ref="I44:I51" si="24">+IFERROR(ROUNDUP(D44/H44,0),0)</f>
        <v>6</v>
      </c>
      <c r="J44" s="44">
        <f>+E44*H44</f>
        <v>1560</v>
      </c>
      <c r="K44" s="44">
        <f>+I44*J44</f>
        <v>9360</v>
      </c>
      <c r="L44" s="370">
        <f>SUM(K44:K51)</f>
        <v>23976</v>
      </c>
      <c r="N44" s="66">
        <f t="shared" si="19"/>
        <v>70.588235294117652</v>
      </c>
      <c r="O44" s="67">
        <f t="shared" si="20"/>
        <v>70</v>
      </c>
      <c r="P44" s="68">
        <f t="shared" ref="P44:P51" si="25">+IFERROR(K44/N44,0)</f>
        <v>132.6</v>
      </c>
      <c r="Q44" s="68">
        <f t="shared" ref="Q44:Q51" si="26">+IFERROR(K44/O44,0)</f>
        <v>133.71428571428572</v>
      </c>
      <c r="R44" s="69">
        <f t="shared" ref="R44:R51" si="27">+B44*C44*E44</f>
        <v>132.6</v>
      </c>
      <c r="T44" s="70" t="str">
        <f>IFERROR(VLOOKUP(A44,VLOOKUPS!$A$3:$D$31,2,0),"Ander")</f>
        <v>Ander</v>
      </c>
      <c r="U44" s="71">
        <f t="shared" ref="U44:U51" si="28">IF(T44="Syngenta",K44,0)</f>
        <v>0</v>
      </c>
      <c r="V44" s="71">
        <f t="shared" ref="V44:V51" si="29">IF(T44="Ander",K44,0)</f>
        <v>9360</v>
      </c>
    </row>
    <row r="45" spans="1:22" x14ac:dyDescent="0.25">
      <c r="A45" s="9" t="s">
        <v>1</v>
      </c>
      <c r="B45" s="10">
        <v>7.3</v>
      </c>
      <c r="C45" s="11">
        <f>+C44</f>
        <v>1</v>
      </c>
      <c r="D45" s="46">
        <f t="shared" si="23"/>
        <v>511</v>
      </c>
      <c r="E45" s="12">
        <v>28</v>
      </c>
      <c r="F45" s="47">
        <f t="shared" ref="F45:F51" si="30">+B45*C45*E45</f>
        <v>204.4</v>
      </c>
      <c r="G45" s="374"/>
      <c r="H45" s="13">
        <v>18</v>
      </c>
      <c r="I45" s="48">
        <f t="shared" si="24"/>
        <v>29</v>
      </c>
      <c r="J45" s="47">
        <f t="shared" ref="J45:J51" si="31">+E45*H45</f>
        <v>504</v>
      </c>
      <c r="K45" s="47">
        <f t="shared" ref="K45:K51" si="32">+I45*J45</f>
        <v>14616</v>
      </c>
      <c r="L45" s="371"/>
      <c r="N45" s="66">
        <f t="shared" si="19"/>
        <v>71.506849315068493</v>
      </c>
      <c r="O45" s="67">
        <f t="shared" si="20"/>
        <v>70</v>
      </c>
      <c r="P45" s="68">
        <f t="shared" si="25"/>
        <v>204.4</v>
      </c>
      <c r="Q45" s="68">
        <f t="shared" si="26"/>
        <v>208.8</v>
      </c>
      <c r="R45" s="69">
        <f t="shared" si="27"/>
        <v>204.4</v>
      </c>
      <c r="T45" s="70" t="str">
        <f>IFERROR(VLOOKUP(A45,VLOOKUPS!$A$3:$D$31,2,0),"Ander")</f>
        <v>Ander</v>
      </c>
      <c r="U45" s="71">
        <f t="shared" si="28"/>
        <v>0</v>
      </c>
      <c r="V45" s="71">
        <f t="shared" si="29"/>
        <v>14616</v>
      </c>
    </row>
    <row r="46" spans="1:22" x14ac:dyDescent="0.25">
      <c r="A46" s="9"/>
      <c r="B46" s="10"/>
      <c r="C46" s="11"/>
      <c r="D46" s="46">
        <f t="shared" si="23"/>
        <v>0</v>
      </c>
      <c r="E46" s="12"/>
      <c r="F46" s="47">
        <f t="shared" si="30"/>
        <v>0</v>
      </c>
      <c r="G46" s="374"/>
      <c r="H46" s="13"/>
      <c r="I46" s="48">
        <f t="shared" si="24"/>
        <v>0</v>
      </c>
      <c r="J46" s="47">
        <f t="shared" si="31"/>
        <v>0</v>
      </c>
      <c r="K46" s="47">
        <f t="shared" si="32"/>
        <v>0</v>
      </c>
      <c r="L46" s="371"/>
      <c r="N46" s="66">
        <f t="shared" si="19"/>
        <v>0</v>
      </c>
      <c r="O46" s="67">
        <f t="shared" si="20"/>
        <v>0</v>
      </c>
      <c r="P46" s="68">
        <f t="shared" si="25"/>
        <v>0</v>
      </c>
      <c r="Q46" s="68">
        <f t="shared" si="26"/>
        <v>0</v>
      </c>
      <c r="R46" s="69">
        <f t="shared" si="27"/>
        <v>0</v>
      </c>
      <c r="T46" s="70" t="str">
        <f>IFERROR(VLOOKUP(A46,VLOOKUPS!$A$3:$D$31,2,0),"Ander")</f>
        <v>Ander</v>
      </c>
      <c r="U46" s="71">
        <f t="shared" si="28"/>
        <v>0</v>
      </c>
      <c r="V46" s="71">
        <f t="shared" si="29"/>
        <v>0</v>
      </c>
    </row>
    <row r="47" spans="1:22" x14ac:dyDescent="0.25">
      <c r="A47" s="9"/>
      <c r="B47" s="10"/>
      <c r="C47" s="11"/>
      <c r="D47" s="46">
        <f t="shared" si="23"/>
        <v>0</v>
      </c>
      <c r="E47" s="12"/>
      <c r="F47" s="47">
        <f t="shared" si="30"/>
        <v>0</v>
      </c>
      <c r="G47" s="374"/>
      <c r="H47" s="13"/>
      <c r="I47" s="48">
        <f t="shared" si="24"/>
        <v>0</v>
      </c>
      <c r="J47" s="47">
        <f t="shared" si="31"/>
        <v>0</v>
      </c>
      <c r="K47" s="47">
        <f t="shared" si="32"/>
        <v>0</v>
      </c>
      <c r="L47" s="371"/>
      <c r="N47" s="66"/>
      <c r="O47" s="67"/>
      <c r="P47" s="68"/>
      <c r="Q47" s="68"/>
      <c r="R47" s="69"/>
      <c r="T47" s="70" t="str">
        <f>IFERROR(VLOOKUP(A47,VLOOKUPS!$A$3:$D$31,2,0),"Ander")</f>
        <v>Ander</v>
      </c>
      <c r="U47" s="71">
        <f t="shared" si="28"/>
        <v>0</v>
      </c>
      <c r="V47" s="71">
        <f t="shared" si="29"/>
        <v>0</v>
      </c>
    </row>
    <row r="48" spans="1:22" x14ac:dyDescent="0.25">
      <c r="A48" s="9"/>
      <c r="B48" s="10"/>
      <c r="C48" s="11"/>
      <c r="D48" s="46">
        <f t="shared" si="23"/>
        <v>0</v>
      </c>
      <c r="E48" s="12"/>
      <c r="F48" s="47">
        <f t="shared" si="30"/>
        <v>0</v>
      </c>
      <c r="G48" s="374"/>
      <c r="H48" s="13"/>
      <c r="I48" s="48">
        <f t="shared" si="24"/>
        <v>0</v>
      </c>
      <c r="J48" s="47">
        <f t="shared" si="31"/>
        <v>0</v>
      </c>
      <c r="K48" s="47">
        <f t="shared" si="32"/>
        <v>0</v>
      </c>
      <c r="L48" s="371"/>
      <c r="N48" s="66"/>
      <c r="O48" s="67"/>
      <c r="P48" s="68"/>
      <c r="Q48" s="68"/>
      <c r="R48" s="69"/>
      <c r="T48" s="70" t="str">
        <f>IFERROR(VLOOKUP(A48,VLOOKUPS!$A$3:$D$31,2,0),"Ander")</f>
        <v>Ander</v>
      </c>
      <c r="U48" s="71">
        <f t="shared" si="28"/>
        <v>0</v>
      </c>
      <c r="V48" s="71">
        <f t="shared" si="29"/>
        <v>0</v>
      </c>
    </row>
    <row r="49" spans="1:22" x14ac:dyDescent="0.25">
      <c r="A49" s="9"/>
      <c r="B49" s="10"/>
      <c r="C49" s="11"/>
      <c r="D49" s="46">
        <f t="shared" si="23"/>
        <v>0</v>
      </c>
      <c r="E49" s="12"/>
      <c r="F49" s="47">
        <f t="shared" si="30"/>
        <v>0</v>
      </c>
      <c r="G49" s="374"/>
      <c r="H49" s="13"/>
      <c r="I49" s="48">
        <f t="shared" si="24"/>
        <v>0</v>
      </c>
      <c r="J49" s="47">
        <f t="shared" si="31"/>
        <v>0</v>
      </c>
      <c r="K49" s="47">
        <f t="shared" si="32"/>
        <v>0</v>
      </c>
      <c r="L49" s="371"/>
      <c r="N49" s="66">
        <f t="shared" si="19"/>
        <v>0</v>
      </c>
      <c r="O49" s="67">
        <f t="shared" si="20"/>
        <v>0</v>
      </c>
      <c r="P49" s="68">
        <f t="shared" si="25"/>
        <v>0</v>
      </c>
      <c r="Q49" s="68">
        <f t="shared" si="26"/>
        <v>0</v>
      </c>
      <c r="R49" s="69">
        <f t="shared" si="27"/>
        <v>0</v>
      </c>
      <c r="T49" s="70" t="str">
        <f>IFERROR(VLOOKUP(A49,VLOOKUPS!$A$3:$D$31,2,0),"Ander")</f>
        <v>Ander</v>
      </c>
      <c r="U49" s="71">
        <f t="shared" si="28"/>
        <v>0</v>
      </c>
      <c r="V49" s="71">
        <f t="shared" si="29"/>
        <v>0</v>
      </c>
    </row>
    <row r="50" spans="1:22" x14ac:dyDescent="0.25">
      <c r="A50" s="9"/>
      <c r="B50" s="10"/>
      <c r="C50" s="11"/>
      <c r="D50" s="46">
        <f t="shared" si="23"/>
        <v>0</v>
      </c>
      <c r="E50" s="12"/>
      <c r="F50" s="47">
        <f t="shared" si="30"/>
        <v>0</v>
      </c>
      <c r="G50" s="374"/>
      <c r="H50" s="13"/>
      <c r="I50" s="48">
        <f t="shared" si="24"/>
        <v>0</v>
      </c>
      <c r="J50" s="47">
        <f t="shared" si="31"/>
        <v>0</v>
      </c>
      <c r="K50" s="47">
        <f t="shared" si="32"/>
        <v>0</v>
      </c>
      <c r="L50" s="371"/>
      <c r="N50" s="66">
        <f t="shared" si="19"/>
        <v>0</v>
      </c>
      <c r="O50" s="67">
        <f t="shared" si="20"/>
        <v>0</v>
      </c>
      <c r="P50" s="68">
        <f t="shared" si="25"/>
        <v>0</v>
      </c>
      <c r="Q50" s="68">
        <f t="shared" si="26"/>
        <v>0</v>
      </c>
      <c r="R50" s="69">
        <f t="shared" si="27"/>
        <v>0</v>
      </c>
      <c r="T50" s="70" t="str">
        <f>IFERROR(VLOOKUP(A50,VLOOKUPS!$A$3:$D$31,2,0),"Ander")</f>
        <v>Ander</v>
      </c>
      <c r="U50" s="71">
        <f t="shared" si="28"/>
        <v>0</v>
      </c>
      <c r="V50" s="71">
        <f t="shared" si="29"/>
        <v>0</v>
      </c>
    </row>
    <row r="51" spans="1:22" ht="15.75" thickBot="1" x14ac:dyDescent="0.3">
      <c r="A51" s="14"/>
      <c r="B51" s="15"/>
      <c r="C51" s="16"/>
      <c r="D51" s="49">
        <f t="shared" si="23"/>
        <v>0</v>
      </c>
      <c r="E51" s="17"/>
      <c r="F51" s="50">
        <f t="shared" si="30"/>
        <v>0</v>
      </c>
      <c r="G51" s="375"/>
      <c r="H51" s="18"/>
      <c r="I51" s="51">
        <f t="shared" si="24"/>
        <v>0</v>
      </c>
      <c r="J51" s="50">
        <f t="shared" si="31"/>
        <v>0</v>
      </c>
      <c r="K51" s="50">
        <f t="shared" si="32"/>
        <v>0</v>
      </c>
      <c r="L51" s="372"/>
      <c r="N51" s="66">
        <f t="shared" si="19"/>
        <v>0</v>
      </c>
      <c r="O51" s="67">
        <f t="shared" si="20"/>
        <v>0</v>
      </c>
      <c r="P51" s="68">
        <f t="shared" si="25"/>
        <v>0</v>
      </c>
      <c r="Q51" s="68">
        <f t="shared" si="26"/>
        <v>0</v>
      </c>
      <c r="R51" s="69">
        <f t="shared" si="27"/>
        <v>0</v>
      </c>
      <c r="T51" s="70" t="str">
        <f>IFERROR(VLOOKUP(A51,VLOOKUPS!$A$3:$D$31,2,0),"Ander")</f>
        <v>Ander</v>
      </c>
      <c r="U51" s="71">
        <f t="shared" si="28"/>
        <v>0</v>
      </c>
      <c r="V51" s="71">
        <f t="shared" si="29"/>
        <v>0</v>
      </c>
    </row>
    <row r="52" spans="1:22" ht="15.75" thickBot="1" x14ac:dyDescent="0.3">
      <c r="N52" s="66"/>
      <c r="O52" s="67"/>
      <c r="P52" s="68"/>
      <c r="Q52" s="68"/>
      <c r="R52" s="69"/>
      <c r="U52" s="72">
        <f>SUM(U44:U51)</f>
        <v>0</v>
      </c>
      <c r="V52" s="72">
        <f>SUM(V44:V51)</f>
        <v>23976</v>
      </c>
    </row>
    <row r="53" spans="1:22" ht="18.75" thickTop="1" thickBot="1" x14ac:dyDescent="0.3">
      <c r="A53" s="412" t="s">
        <v>64</v>
      </c>
      <c r="B53" s="413"/>
      <c r="C53" s="413"/>
      <c r="D53" s="413"/>
      <c r="E53" s="413"/>
      <c r="F53" s="413"/>
      <c r="G53" s="413"/>
      <c r="H53" s="413"/>
      <c r="I53" s="413"/>
      <c r="J53" s="413"/>
      <c r="K53" s="413"/>
      <c r="L53" s="414"/>
      <c r="N53" s="66"/>
      <c r="O53" s="67"/>
      <c r="P53" s="68"/>
      <c r="Q53" s="68"/>
      <c r="R53" s="69"/>
      <c r="U53" s="71"/>
      <c r="V53" s="71"/>
    </row>
    <row r="54" spans="1:22" ht="43.5" thickBot="1" x14ac:dyDescent="0.3">
      <c r="A54" s="37" t="s">
        <v>1</v>
      </c>
      <c r="B54" s="38" t="s">
        <v>62</v>
      </c>
      <c r="C54" s="39" t="s">
        <v>2</v>
      </c>
      <c r="D54" s="40" t="s">
        <v>93</v>
      </c>
      <c r="E54" s="39" t="s">
        <v>61</v>
      </c>
      <c r="F54" s="40" t="s">
        <v>94</v>
      </c>
      <c r="G54" s="41" t="s">
        <v>60</v>
      </c>
      <c r="H54" s="39" t="s">
        <v>59</v>
      </c>
      <c r="I54" s="103" t="s">
        <v>56</v>
      </c>
      <c r="J54" s="40" t="s">
        <v>57</v>
      </c>
      <c r="K54" s="40" t="s">
        <v>58</v>
      </c>
      <c r="L54" s="42" t="s">
        <v>0</v>
      </c>
      <c r="N54" s="66"/>
      <c r="O54" s="67"/>
      <c r="P54" s="68"/>
      <c r="Q54" s="68"/>
      <c r="R54" s="69"/>
      <c r="U54" s="71"/>
      <c r="V54" s="71"/>
    </row>
    <row r="55" spans="1:22" x14ac:dyDescent="0.25">
      <c r="A55" s="4" t="s">
        <v>1</v>
      </c>
      <c r="B55" s="5">
        <v>2</v>
      </c>
      <c r="C55" s="6">
        <v>1</v>
      </c>
      <c r="D55" s="43">
        <f>+L18*B55*C55</f>
        <v>140</v>
      </c>
      <c r="E55" s="7">
        <v>69</v>
      </c>
      <c r="F55" s="44">
        <f>+B55*C55*E55</f>
        <v>138</v>
      </c>
      <c r="G55" s="373">
        <f>SUM(F55:F64)</f>
        <v>313.20000000000005</v>
      </c>
      <c r="H55" s="8">
        <v>20</v>
      </c>
      <c r="I55" s="45">
        <f t="shared" ref="I55:I64" si="33">+IFERROR(ROUNDUP(D55/H55,0),0)</f>
        <v>7</v>
      </c>
      <c r="J55" s="44">
        <f>+E55*H55</f>
        <v>1380</v>
      </c>
      <c r="K55" s="44">
        <f>+I55*J55</f>
        <v>9660</v>
      </c>
      <c r="L55" s="370">
        <f>SUM(K55:K64)</f>
        <v>25740</v>
      </c>
      <c r="N55" s="66">
        <f t="shared" si="19"/>
        <v>70</v>
      </c>
      <c r="O55" s="67">
        <f t="shared" si="20"/>
        <v>70</v>
      </c>
      <c r="P55" s="68">
        <f t="shared" ref="P55:P64" si="34">+IFERROR(K55/N55,0)</f>
        <v>138</v>
      </c>
      <c r="Q55" s="68">
        <f t="shared" ref="Q55:Q64" si="35">+IFERROR(K55/O55,0)</f>
        <v>138</v>
      </c>
      <c r="R55" s="69">
        <f t="shared" ref="R55:R64" si="36">+B55*C55*E55</f>
        <v>138</v>
      </c>
      <c r="T55" s="70" t="str">
        <f>IFERROR(VLOOKUP(A55,VLOOKUPS!$A$3:$D$31,2,0),"Ander")</f>
        <v>Ander</v>
      </c>
      <c r="U55" s="71">
        <f t="shared" ref="U55:U64" si="37">IF(T55="Syngenta",K55,0)</f>
        <v>0</v>
      </c>
      <c r="V55" s="71">
        <f t="shared" ref="V55:V64" si="38">IF(T55="Ander",K55,0)</f>
        <v>9660</v>
      </c>
    </row>
    <row r="56" spans="1:22" x14ac:dyDescent="0.25">
      <c r="A56" s="9" t="s">
        <v>1</v>
      </c>
      <c r="B56" s="10">
        <v>0.6</v>
      </c>
      <c r="C56" s="11">
        <f>+C55</f>
        <v>1</v>
      </c>
      <c r="D56" s="46">
        <f>+L18*B56*C56</f>
        <v>42</v>
      </c>
      <c r="E56" s="12">
        <v>148</v>
      </c>
      <c r="F56" s="47">
        <f t="shared" ref="F56:F64" si="39">+B56*C56*E56</f>
        <v>88.8</v>
      </c>
      <c r="G56" s="374"/>
      <c r="H56" s="13">
        <v>20</v>
      </c>
      <c r="I56" s="48">
        <f t="shared" si="33"/>
        <v>3</v>
      </c>
      <c r="J56" s="47">
        <f t="shared" ref="J56:J64" si="40">+E56*H56</f>
        <v>2960</v>
      </c>
      <c r="K56" s="47">
        <f t="shared" ref="K56:K64" si="41">+I56*J56</f>
        <v>8880</v>
      </c>
      <c r="L56" s="371"/>
      <c r="N56" s="66">
        <f t="shared" si="19"/>
        <v>100</v>
      </c>
      <c r="O56" s="67">
        <f t="shared" si="20"/>
        <v>70</v>
      </c>
      <c r="P56" s="68">
        <f t="shared" si="34"/>
        <v>88.8</v>
      </c>
      <c r="Q56" s="68">
        <f t="shared" si="35"/>
        <v>126.85714285714286</v>
      </c>
      <c r="R56" s="69">
        <f t="shared" si="36"/>
        <v>88.8</v>
      </c>
      <c r="T56" s="70" t="str">
        <f>IFERROR(VLOOKUP(A56,VLOOKUPS!$A$3:$D$31,2,0),"Ander")</f>
        <v>Ander</v>
      </c>
      <c r="U56" s="71">
        <f t="shared" si="37"/>
        <v>0</v>
      </c>
      <c r="V56" s="71">
        <f t="shared" si="38"/>
        <v>8880</v>
      </c>
    </row>
    <row r="57" spans="1:22" x14ac:dyDescent="0.25">
      <c r="A57" s="9" t="s">
        <v>1</v>
      </c>
      <c r="B57" s="10">
        <v>1.8</v>
      </c>
      <c r="C57" s="11">
        <v>1</v>
      </c>
      <c r="D57" s="46">
        <f>L18*B57*C57</f>
        <v>126</v>
      </c>
      <c r="E57" s="12">
        <v>48</v>
      </c>
      <c r="F57" s="47">
        <f t="shared" si="39"/>
        <v>86.4</v>
      </c>
      <c r="G57" s="374"/>
      <c r="H57" s="13">
        <v>25</v>
      </c>
      <c r="I57" s="48">
        <f t="shared" si="33"/>
        <v>6</v>
      </c>
      <c r="J57" s="47">
        <f t="shared" si="40"/>
        <v>1200</v>
      </c>
      <c r="K57" s="47">
        <f t="shared" si="41"/>
        <v>7200</v>
      </c>
      <c r="L57" s="371"/>
      <c r="N57" s="66">
        <f t="shared" si="19"/>
        <v>83.333333333333329</v>
      </c>
      <c r="O57" s="67">
        <f t="shared" si="20"/>
        <v>70</v>
      </c>
      <c r="P57" s="68">
        <f t="shared" si="34"/>
        <v>86.4</v>
      </c>
      <c r="Q57" s="68">
        <f t="shared" si="35"/>
        <v>102.85714285714286</v>
      </c>
      <c r="R57" s="69">
        <f t="shared" si="36"/>
        <v>86.4</v>
      </c>
      <c r="T57" s="70" t="str">
        <f>IFERROR(VLOOKUP(A57,VLOOKUPS!$A$3:$D$31,2,0),"Ander")</f>
        <v>Ander</v>
      </c>
      <c r="U57" s="71">
        <f t="shared" si="37"/>
        <v>0</v>
      </c>
      <c r="V57" s="71">
        <f t="shared" si="38"/>
        <v>7200</v>
      </c>
    </row>
    <row r="58" spans="1:22" x14ac:dyDescent="0.25">
      <c r="A58" s="9"/>
      <c r="B58" s="10"/>
      <c r="C58" s="11"/>
      <c r="D58" s="46">
        <f>L18*B58*C58</f>
        <v>0</v>
      </c>
      <c r="E58" s="12"/>
      <c r="F58" s="47">
        <f t="shared" si="39"/>
        <v>0</v>
      </c>
      <c r="G58" s="374"/>
      <c r="H58" s="13"/>
      <c r="I58" s="48">
        <f t="shared" si="33"/>
        <v>0</v>
      </c>
      <c r="J58" s="47">
        <f t="shared" si="40"/>
        <v>0</v>
      </c>
      <c r="K58" s="47">
        <f t="shared" si="41"/>
        <v>0</v>
      </c>
      <c r="L58" s="371"/>
      <c r="N58" s="66"/>
      <c r="O58" s="67"/>
      <c r="P58" s="68"/>
      <c r="Q58" s="68"/>
      <c r="R58" s="69"/>
      <c r="T58" s="70" t="str">
        <f>IFERROR(VLOOKUP(A58,VLOOKUPS!$A$3:$D$31,2,0),"Ander")</f>
        <v>Ander</v>
      </c>
      <c r="U58" s="71">
        <f t="shared" si="37"/>
        <v>0</v>
      </c>
      <c r="V58" s="71">
        <f t="shared" si="38"/>
        <v>0</v>
      </c>
    </row>
    <row r="59" spans="1:22" x14ac:dyDescent="0.25">
      <c r="A59" s="9"/>
      <c r="B59" s="10"/>
      <c r="C59" s="11"/>
      <c r="D59" s="46">
        <f>L18*B59*C59</f>
        <v>0</v>
      </c>
      <c r="E59" s="12"/>
      <c r="F59" s="47">
        <f t="shared" si="39"/>
        <v>0</v>
      </c>
      <c r="G59" s="374"/>
      <c r="H59" s="13"/>
      <c r="I59" s="48">
        <f t="shared" si="33"/>
        <v>0</v>
      </c>
      <c r="J59" s="47">
        <f t="shared" si="40"/>
        <v>0</v>
      </c>
      <c r="K59" s="47">
        <f t="shared" si="41"/>
        <v>0</v>
      </c>
      <c r="L59" s="371"/>
      <c r="N59" s="66"/>
      <c r="O59" s="67"/>
      <c r="P59" s="68"/>
      <c r="Q59" s="68"/>
      <c r="R59" s="69"/>
      <c r="T59" s="70" t="str">
        <f>IFERROR(VLOOKUP(A59,VLOOKUPS!$A$3:$D$31,2,0),"Ander")</f>
        <v>Ander</v>
      </c>
      <c r="U59" s="71">
        <f t="shared" si="37"/>
        <v>0</v>
      </c>
      <c r="V59" s="71">
        <f t="shared" si="38"/>
        <v>0</v>
      </c>
    </row>
    <row r="60" spans="1:22" x14ac:dyDescent="0.25">
      <c r="A60" s="9"/>
      <c r="B60" s="10"/>
      <c r="C60" s="11"/>
      <c r="D60" s="46">
        <f t="shared" ref="D60:D61" si="42">L19*B60*C60</f>
        <v>0</v>
      </c>
      <c r="E60" s="12"/>
      <c r="F60" s="47">
        <f t="shared" si="39"/>
        <v>0</v>
      </c>
      <c r="G60" s="374"/>
      <c r="H60" s="13"/>
      <c r="I60" s="48">
        <f t="shared" si="33"/>
        <v>0</v>
      </c>
      <c r="J60" s="47">
        <f t="shared" si="40"/>
        <v>0</v>
      </c>
      <c r="K60" s="47">
        <f t="shared" si="41"/>
        <v>0</v>
      </c>
      <c r="L60" s="371"/>
      <c r="N60" s="66"/>
      <c r="O60" s="67"/>
      <c r="P60" s="68"/>
      <c r="Q60" s="68"/>
      <c r="R60" s="69"/>
      <c r="T60" s="70" t="str">
        <f>IFERROR(VLOOKUP(A60,VLOOKUPS!$A$3:$D$31,2,0),"Ander")</f>
        <v>Ander</v>
      </c>
      <c r="U60" s="71">
        <f t="shared" si="37"/>
        <v>0</v>
      </c>
      <c r="V60" s="71">
        <f t="shared" si="38"/>
        <v>0</v>
      </c>
    </row>
    <row r="61" spans="1:22" x14ac:dyDescent="0.25">
      <c r="A61" s="9"/>
      <c r="B61" s="10"/>
      <c r="C61" s="11"/>
      <c r="D61" s="46">
        <f t="shared" si="42"/>
        <v>0</v>
      </c>
      <c r="E61" s="12"/>
      <c r="F61" s="47">
        <f t="shared" si="39"/>
        <v>0</v>
      </c>
      <c r="G61" s="374"/>
      <c r="H61" s="13"/>
      <c r="I61" s="48">
        <f t="shared" si="33"/>
        <v>0</v>
      </c>
      <c r="J61" s="47">
        <f t="shared" si="40"/>
        <v>0</v>
      </c>
      <c r="K61" s="47">
        <f t="shared" si="41"/>
        <v>0</v>
      </c>
      <c r="L61" s="371"/>
      <c r="N61" s="66"/>
      <c r="O61" s="67"/>
      <c r="P61" s="68"/>
      <c r="Q61" s="68"/>
      <c r="R61" s="69"/>
      <c r="T61" s="70" t="str">
        <f>IFERROR(VLOOKUP(A61,VLOOKUPS!$A$3:$D$31,2,0),"Ander")</f>
        <v>Ander</v>
      </c>
      <c r="U61" s="71">
        <f t="shared" si="37"/>
        <v>0</v>
      </c>
      <c r="V61" s="71">
        <f t="shared" si="38"/>
        <v>0</v>
      </c>
    </row>
    <row r="62" spans="1:22" x14ac:dyDescent="0.25">
      <c r="A62" s="9"/>
      <c r="B62" s="10"/>
      <c r="C62" s="11"/>
      <c r="D62" s="46">
        <f>L18*B62*C62</f>
        <v>0</v>
      </c>
      <c r="E62" s="12"/>
      <c r="F62" s="47">
        <f t="shared" si="39"/>
        <v>0</v>
      </c>
      <c r="G62" s="374"/>
      <c r="H62" s="13"/>
      <c r="I62" s="48">
        <f t="shared" si="33"/>
        <v>0</v>
      </c>
      <c r="J62" s="47">
        <f t="shared" si="40"/>
        <v>0</v>
      </c>
      <c r="K62" s="47">
        <f t="shared" si="41"/>
        <v>0</v>
      </c>
      <c r="L62" s="371"/>
      <c r="N62" s="66">
        <f t="shared" si="19"/>
        <v>0</v>
      </c>
      <c r="O62" s="67">
        <f t="shared" si="20"/>
        <v>0</v>
      </c>
      <c r="P62" s="68">
        <f t="shared" si="34"/>
        <v>0</v>
      </c>
      <c r="Q62" s="68">
        <f t="shared" si="35"/>
        <v>0</v>
      </c>
      <c r="R62" s="69">
        <f t="shared" si="36"/>
        <v>0</v>
      </c>
      <c r="T62" s="70" t="str">
        <f>IFERROR(VLOOKUP(A62,VLOOKUPS!$A$3:$D$31,2,0),"Ander")</f>
        <v>Ander</v>
      </c>
      <c r="U62" s="71">
        <f t="shared" si="37"/>
        <v>0</v>
      </c>
      <c r="V62" s="71">
        <f t="shared" si="38"/>
        <v>0</v>
      </c>
    </row>
    <row r="63" spans="1:22" x14ac:dyDescent="0.25">
      <c r="A63" s="9"/>
      <c r="B63" s="10"/>
      <c r="C63" s="11"/>
      <c r="D63" s="46">
        <f>L18*B63*C63</f>
        <v>0</v>
      </c>
      <c r="E63" s="12"/>
      <c r="F63" s="47">
        <f t="shared" si="39"/>
        <v>0</v>
      </c>
      <c r="G63" s="374"/>
      <c r="H63" s="13"/>
      <c r="I63" s="48">
        <f t="shared" si="33"/>
        <v>0</v>
      </c>
      <c r="J63" s="47">
        <f t="shared" si="40"/>
        <v>0</v>
      </c>
      <c r="K63" s="47">
        <f t="shared" si="41"/>
        <v>0</v>
      </c>
      <c r="L63" s="371"/>
      <c r="N63" s="66">
        <f t="shared" si="19"/>
        <v>0</v>
      </c>
      <c r="O63" s="67">
        <f t="shared" si="20"/>
        <v>0</v>
      </c>
      <c r="P63" s="68">
        <f t="shared" si="34"/>
        <v>0</v>
      </c>
      <c r="Q63" s="68">
        <f t="shared" si="35"/>
        <v>0</v>
      </c>
      <c r="R63" s="69">
        <f t="shared" si="36"/>
        <v>0</v>
      </c>
      <c r="T63" s="70" t="str">
        <f>IFERROR(VLOOKUP(A63,VLOOKUPS!$A$3:$D$31,2,0),"Ander")</f>
        <v>Ander</v>
      </c>
      <c r="U63" s="71">
        <f t="shared" si="37"/>
        <v>0</v>
      </c>
      <c r="V63" s="71">
        <f t="shared" si="38"/>
        <v>0</v>
      </c>
    </row>
    <row r="64" spans="1:22" ht="15.75" thickBot="1" x14ac:dyDescent="0.3">
      <c r="A64" s="14"/>
      <c r="B64" s="15"/>
      <c r="C64" s="16"/>
      <c r="D64" s="49">
        <f>L18*B64*C64</f>
        <v>0</v>
      </c>
      <c r="E64" s="17"/>
      <c r="F64" s="50">
        <f t="shared" si="39"/>
        <v>0</v>
      </c>
      <c r="G64" s="375"/>
      <c r="H64" s="18"/>
      <c r="I64" s="51">
        <f t="shared" si="33"/>
        <v>0</v>
      </c>
      <c r="J64" s="50">
        <f t="shared" si="40"/>
        <v>0</v>
      </c>
      <c r="K64" s="50">
        <f t="shared" si="41"/>
        <v>0</v>
      </c>
      <c r="L64" s="372"/>
      <c r="N64" s="66">
        <f t="shared" si="19"/>
        <v>0</v>
      </c>
      <c r="O64" s="67">
        <f t="shared" si="20"/>
        <v>0</v>
      </c>
      <c r="P64" s="68">
        <f t="shared" si="34"/>
        <v>0</v>
      </c>
      <c r="Q64" s="68">
        <f t="shared" si="35"/>
        <v>0</v>
      </c>
      <c r="R64" s="69">
        <f t="shared" si="36"/>
        <v>0</v>
      </c>
      <c r="T64" s="70" t="str">
        <f>IFERROR(VLOOKUP(A64,VLOOKUPS!$A$3:$D$31,2,0),"Ander")</f>
        <v>Ander</v>
      </c>
      <c r="U64" s="71">
        <f t="shared" si="37"/>
        <v>0</v>
      </c>
      <c r="V64" s="71">
        <f t="shared" si="38"/>
        <v>0</v>
      </c>
    </row>
    <row r="65" spans="1:22" ht="15.75" thickBot="1" x14ac:dyDescent="0.3">
      <c r="N65" s="66"/>
      <c r="O65" s="67"/>
      <c r="P65" s="68"/>
      <c r="Q65" s="68"/>
      <c r="R65" s="69"/>
      <c r="U65" s="72">
        <f>SUM(U55:U64)</f>
        <v>0</v>
      </c>
      <c r="V65" s="72">
        <f>SUM(V55:V64)</f>
        <v>25740</v>
      </c>
    </row>
    <row r="66" spans="1:22" ht="18.75" thickTop="1" thickBot="1" x14ac:dyDescent="0.35">
      <c r="A66" s="409" t="s">
        <v>67</v>
      </c>
      <c r="B66" s="410"/>
      <c r="C66" s="410"/>
      <c r="D66" s="410"/>
      <c r="E66" s="410"/>
      <c r="F66" s="410"/>
      <c r="G66" s="410"/>
      <c r="H66" s="410"/>
      <c r="I66" s="410"/>
      <c r="J66" s="410"/>
      <c r="K66" s="410"/>
      <c r="L66" s="411"/>
      <c r="N66" s="66"/>
      <c r="O66" s="67"/>
      <c r="P66" s="68"/>
      <c r="Q66" s="68"/>
      <c r="R66" s="69"/>
      <c r="U66" s="71"/>
      <c r="V66" s="71"/>
    </row>
    <row r="67" spans="1:22" ht="43.5" thickBot="1" x14ac:dyDescent="0.3">
      <c r="A67" s="37" t="s">
        <v>1</v>
      </c>
      <c r="B67" s="38" t="s">
        <v>62</v>
      </c>
      <c r="C67" s="39" t="s">
        <v>2</v>
      </c>
      <c r="D67" s="40" t="s">
        <v>93</v>
      </c>
      <c r="E67" s="39" t="s">
        <v>61</v>
      </c>
      <c r="F67" s="40" t="s">
        <v>94</v>
      </c>
      <c r="G67" s="41" t="s">
        <v>60</v>
      </c>
      <c r="H67" s="39" t="s">
        <v>59</v>
      </c>
      <c r="I67" s="103" t="s">
        <v>56</v>
      </c>
      <c r="J67" s="40" t="s">
        <v>57</v>
      </c>
      <c r="K67" s="40" t="s">
        <v>58</v>
      </c>
      <c r="L67" s="42" t="s">
        <v>0</v>
      </c>
      <c r="N67" s="66"/>
      <c r="O67" s="67"/>
      <c r="P67" s="68"/>
      <c r="Q67" s="68"/>
      <c r="R67" s="69"/>
      <c r="U67" s="71"/>
      <c r="V67" s="71"/>
    </row>
    <row r="68" spans="1:22" x14ac:dyDescent="0.25">
      <c r="A68" s="4" t="s">
        <v>1</v>
      </c>
      <c r="B68" s="5">
        <v>0.5</v>
      </c>
      <c r="C68" s="6">
        <v>1</v>
      </c>
      <c r="D68" s="43">
        <f>+L18*B68*C68</f>
        <v>35</v>
      </c>
      <c r="E68" s="7">
        <v>250</v>
      </c>
      <c r="F68" s="44">
        <f>+B68*C68*E68</f>
        <v>125</v>
      </c>
      <c r="G68" s="373">
        <f>SUM(F68:F71)</f>
        <v>125</v>
      </c>
      <c r="H68" s="8">
        <v>5</v>
      </c>
      <c r="I68" s="45">
        <f t="shared" ref="I68:I71" si="43">+IFERROR(ROUNDUP(D68/H68,0),0)</f>
        <v>7</v>
      </c>
      <c r="J68" s="44">
        <f>+E68*H68</f>
        <v>1250</v>
      </c>
      <c r="K68" s="44">
        <f>+I68*J68</f>
        <v>8750</v>
      </c>
      <c r="L68" s="370">
        <f>SUM(K68:K71)</f>
        <v>8750</v>
      </c>
      <c r="N68" s="66">
        <f t="shared" si="19"/>
        <v>70</v>
      </c>
      <c r="O68" s="67">
        <f t="shared" si="20"/>
        <v>70</v>
      </c>
      <c r="P68" s="68">
        <f t="shared" ref="P68:P71" si="44">+IFERROR(K68/N68,0)</f>
        <v>125</v>
      </c>
      <c r="Q68" s="68">
        <f t="shared" ref="Q68:Q71" si="45">+IFERROR(K68/O68,0)</f>
        <v>125</v>
      </c>
      <c r="R68" s="69">
        <f t="shared" ref="R68:R71" si="46">+B68*C68*E68</f>
        <v>125</v>
      </c>
      <c r="T68" s="70" t="str">
        <f>IFERROR(VLOOKUP(A68,VLOOKUPS!$A$3:$D$31,2,0),"Ander")</f>
        <v>Ander</v>
      </c>
      <c r="U68" s="71">
        <f t="shared" ref="U68:U71" si="47">IF(T68="Syngenta",K68,0)</f>
        <v>0</v>
      </c>
      <c r="V68" s="71">
        <f t="shared" ref="V68:V71" si="48">IF(T68="Ander",K68,0)</f>
        <v>8750</v>
      </c>
    </row>
    <row r="69" spans="1:22" x14ac:dyDescent="0.25">
      <c r="A69" s="9"/>
      <c r="B69" s="10"/>
      <c r="C69" s="11"/>
      <c r="D69" s="46">
        <f>+L18*B69*C69</f>
        <v>0</v>
      </c>
      <c r="E69" s="12"/>
      <c r="F69" s="47">
        <f t="shared" ref="F69:F71" si="49">+B69*C69*E69</f>
        <v>0</v>
      </c>
      <c r="G69" s="374"/>
      <c r="H69" s="13"/>
      <c r="I69" s="48">
        <f t="shared" si="43"/>
        <v>0</v>
      </c>
      <c r="J69" s="47">
        <f t="shared" ref="J69:J71" si="50">+E69*H69</f>
        <v>0</v>
      </c>
      <c r="K69" s="47">
        <f t="shared" ref="K69:K71" si="51">+I69*J69</f>
        <v>0</v>
      </c>
      <c r="L69" s="371"/>
      <c r="N69" s="66">
        <f t="shared" si="19"/>
        <v>0</v>
      </c>
      <c r="O69" s="67">
        <f t="shared" si="20"/>
        <v>0</v>
      </c>
      <c r="P69" s="68">
        <f t="shared" si="44"/>
        <v>0</v>
      </c>
      <c r="Q69" s="68">
        <f t="shared" si="45"/>
        <v>0</v>
      </c>
      <c r="R69" s="69">
        <f t="shared" si="46"/>
        <v>0</v>
      </c>
      <c r="T69" s="70" t="str">
        <f>IFERROR(VLOOKUP(A69,VLOOKUPS!$A$3:$D$31,2,0),"Ander")</f>
        <v>Ander</v>
      </c>
      <c r="U69" s="71">
        <f t="shared" si="47"/>
        <v>0</v>
      </c>
      <c r="V69" s="71">
        <f t="shared" si="48"/>
        <v>0</v>
      </c>
    </row>
    <row r="70" spans="1:22" x14ac:dyDescent="0.25">
      <c r="A70" s="9"/>
      <c r="B70" s="10"/>
      <c r="C70" s="11"/>
      <c r="D70" s="46">
        <f>L18*B70*C70</f>
        <v>0</v>
      </c>
      <c r="E70" s="12"/>
      <c r="F70" s="47">
        <f t="shared" si="49"/>
        <v>0</v>
      </c>
      <c r="G70" s="374"/>
      <c r="H70" s="13"/>
      <c r="I70" s="48">
        <f t="shared" si="43"/>
        <v>0</v>
      </c>
      <c r="J70" s="47">
        <f t="shared" si="50"/>
        <v>0</v>
      </c>
      <c r="K70" s="47">
        <f t="shared" si="51"/>
        <v>0</v>
      </c>
      <c r="L70" s="371"/>
      <c r="N70" s="66">
        <f t="shared" si="19"/>
        <v>0</v>
      </c>
      <c r="O70" s="67">
        <f t="shared" si="20"/>
        <v>0</v>
      </c>
      <c r="P70" s="68">
        <f t="shared" si="44"/>
        <v>0</v>
      </c>
      <c r="Q70" s="68">
        <f t="shared" si="45"/>
        <v>0</v>
      </c>
      <c r="R70" s="69">
        <f t="shared" si="46"/>
        <v>0</v>
      </c>
      <c r="T70" s="70" t="str">
        <f>IFERROR(VLOOKUP(A70,VLOOKUPS!$A$3:$D$31,2,0),"Ander")</f>
        <v>Ander</v>
      </c>
      <c r="U70" s="71">
        <f t="shared" si="47"/>
        <v>0</v>
      </c>
      <c r="V70" s="71">
        <f t="shared" si="48"/>
        <v>0</v>
      </c>
    </row>
    <row r="71" spans="1:22" ht="15.75" thickBot="1" x14ac:dyDescent="0.3">
      <c r="A71" s="14"/>
      <c r="B71" s="15"/>
      <c r="C71" s="16"/>
      <c r="D71" s="49">
        <f>+L18*B71*C71</f>
        <v>0</v>
      </c>
      <c r="E71" s="17"/>
      <c r="F71" s="50">
        <f t="shared" si="49"/>
        <v>0</v>
      </c>
      <c r="G71" s="375"/>
      <c r="H71" s="18"/>
      <c r="I71" s="51">
        <f t="shared" si="43"/>
        <v>0</v>
      </c>
      <c r="J71" s="50">
        <f t="shared" si="50"/>
        <v>0</v>
      </c>
      <c r="K71" s="50">
        <f t="shared" si="51"/>
        <v>0</v>
      </c>
      <c r="L71" s="372"/>
      <c r="N71" s="66">
        <f t="shared" si="19"/>
        <v>0</v>
      </c>
      <c r="O71" s="67">
        <f t="shared" si="20"/>
        <v>0</v>
      </c>
      <c r="P71" s="68">
        <f t="shared" si="44"/>
        <v>0</v>
      </c>
      <c r="Q71" s="68">
        <f t="shared" si="45"/>
        <v>0</v>
      </c>
      <c r="R71" s="69">
        <f t="shared" si="46"/>
        <v>0</v>
      </c>
      <c r="T71" s="70" t="str">
        <f>IFERROR(VLOOKUP(A71,VLOOKUPS!$A$3:$D$31,2,0),"Ander")</f>
        <v>Ander</v>
      </c>
      <c r="U71" s="71">
        <f t="shared" si="47"/>
        <v>0</v>
      </c>
      <c r="V71" s="71">
        <f t="shared" si="48"/>
        <v>0</v>
      </c>
    </row>
    <row r="72" spans="1:22" ht="15.75" thickBot="1" x14ac:dyDescent="0.3">
      <c r="U72" s="72">
        <f>SUM(U68:U71)</f>
        <v>0</v>
      </c>
      <c r="V72" s="72">
        <f>SUM(V68:V71)</f>
        <v>8750</v>
      </c>
    </row>
    <row r="73" spans="1:22" ht="15.75" thickTop="1" x14ac:dyDescent="0.25">
      <c r="U73" s="73"/>
      <c r="V73" s="73"/>
    </row>
    <row r="74" spans="1:22" ht="15" customHeight="1" thickBot="1" x14ac:dyDescent="0.3">
      <c r="B74" s="395" t="s">
        <v>89</v>
      </c>
      <c r="C74" s="396"/>
      <c r="D74" s="396"/>
      <c r="E74" s="396"/>
      <c r="F74" s="396"/>
      <c r="G74" s="396"/>
      <c r="H74" s="396"/>
      <c r="I74" s="396"/>
      <c r="J74" s="396"/>
      <c r="K74" s="397"/>
    </row>
    <row r="75" spans="1:22" ht="15.75" thickBot="1" x14ac:dyDescent="0.3">
      <c r="B75" s="398"/>
      <c r="C75" s="399"/>
      <c r="D75" s="399"/>
      <c r="E75" s="399"/>
      <c r="F75" s="399"/>
      <c r="G75" s="399"/>
      <c r="H75" s="399"/>
      <c r="I75" s="399"/>
      <c r="J75" s="399"/>
      <c r="K75" s="400"/>
      <c r="T75" s="74" t="s">
        <v>76</v>
      </c>
      <c r="U75" s="105">
        <f>U72+U65+U52+U41+U30</f>
        <v>0</v>
      </c>
      <c r="V75" s="106">
        <f>V72+V65+V52+V41+V30</f>
        <v>69646</v>
      </c>
    </row>
    <row r="76" spans="1:22" x14ac:dyDescent="0.25">
      <c r="B76" s="36"/>
      <c r="C76" s="111"/>
      <c r="D76" s="111"/>
      <c r="E76" s="111"/>
      <c r="F76" s="111"/>
      <c r="T76" s="27" t="s">
        <v>77</v>
      </c>
      <c r="U76" s="75">
        <f>V75+U75-L14</f>
        <v>0</v>
      </c>
    </row>
    <row r="77" spans="1:22" x14ac:dyDescent="0.25">
      <c r="B77" s="36"/>
      <c r="C77" s="111"/>
      <c r="D77" s="111"/>
      <c r="E77" s="111"/>
      <c r="F77" s="111"/>
    </row>
    <row r="78" spans="1:22" x14ac:dyDescent="0.25">
      <c r="B78" s="36"/>
      <c r="C78" s="111"/>
      <c r="D78" s="111"/>
      <c r="E78" s="111"/>
      <c r="F78" s="111"/>
    </row>
  </sheetData>
  <sheetProtection selectLockedCells="1"/>
  <mergeCells count="48">
    <mergeCell ref="B74:K75"/>
    <mergeCell ref="G33:G40"/>
    <mergeCell ref="L33:L40"/>
    <mergeCell ref="A42:L42"/>
    <mergeCell ref="G44:G51"/>
    <mergeCell ref="L44:L51"/>
    <mergeCell ref="A53:L53"/>
    <mergeCell ref="G55:G64"/>
    <mergeCell ref="L55:L64"/>
    <mergeCell ref="A66:L66"/>
    <mergeCell ref="G68:G71"/>
    <mergeCell ref="L68:L71"/>
    <mergeCell ref="A31:L31"/>
    <mergeCell ref="B16:C16"/>
    <mergeCell ref="G16:H16"/>
    <mergeCell ref="J16:K16"/>
    <mergeCell ref="B18:C18"/>
    <mergeCell ref="G18:H18"/>
    <mergeCell ref="J18:K18"/>
    <mergeCell ref="A20:L20"/>
    <mergeCell ref="G21:H22"/>
    <mergeCell ref="I21:I22"/>
    <mergeCell ref="G24:G29"/>
    <mergeCell ref="L24:L29"/>
    <mergeCell ref="B14:C14"/>
    <mergeCell ref="G14:H14"/>
    <mergeCell ref="J14:K14"/>
    <mergeCell ref="B15:C15"/>
    <mergeCell ref="G15:H15"/>
    <mergeCell ref="J15:K15"/>
    <mergeCell ref="B12:C12"/>
    <mergeCell ref="G12:H12"/>
    <mergeCell ref="J12:K12"/>
    <mergeCell ref="B13:C13"/>
    <mergeCell ref="G13:H13"/>
    <mergeCell ref="J13:K13"/>
    <mergeCell ref="B10:C10"/>
    <mergeCell ref="G10:H10"/>
    <mergeCell ref="J10:K10"/>
    <mergeCell ref="B11:C11"/>
    <mergeCell ref="G11:H11"/>
    <mergeCell ref="J11:K11"/>
    <mergeCell ref="A8:C8"/>
    <mergeCell ref="F8:H8"/>
    <mergeCell ref="J8:L8"/>
    <mergeCell ref="B9:C9"/>
    <mergeCell ref="G9:H9"/>
    <mergeCell ref="J9:K9"/>
  </mergeCells>
  <printOptions horizontalCentered="1" verticalCentered="1"/>
  <pageMargins left="0.26" right="0.28999999999999998" top="0.19" bottom="0.18" header="0" footer="0"/>
  <pageSetup paperSize="9" scale="64"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pageSetUpPr fitToPage="1"/>
  </sheetPr>
  <dimension ref="A1:V78"/>
  <sheetViews>
    <sheetView zoomScaleNormal="100" workbookViewId="0">
      <selection activeCell="J24" sqref="J24"/>
    </sheetView>
  </sheetViews>
  <sheetFormatPr defaultRowHeight="15" x14ac:dyDescent="0.25"/>
  <cols>
    <col min="1" max="1" width="21.140625" style="27" customWidth="1"/>
    <col min="2" max="2" width="9.140625" style="27" customWidth="1"/>
    <col min="3" max="3" width="10.85546875" style="27" customWidth="1"/>
    <col min="4" max="4" width="9.140625" style="27"/>
    <col min="5" max="5" width="11.5703125" style="27" bestFit="1" customWidth="1"/>
    <col min="6" max="7" width="11.5703125" style="27" customWidth="1"/>
    <col min="8" max="8" width="11.28515625" style="27" customWidth="1"/>
    <col min="9" max="9" width="11.140625" style="27" customWidth="1"/>
    <col min="10" max="10" width="12.5703125" style="27" bestFit="1" customWidth="1"/>
    <col min="11" max="11" width="14.140625" style="27" customWidth="1"/>
    <col min="12" max="12" width="14.85546875" style="27" customWidth="1"/>
    <col min="13" max="13" width="9.140625" style="27" customWidth="1"/>
    <col min="14" max="14" width="12.28515625" style="27" hidden="1" customWidth="1"/>
    <col min="15" max="15" width="10.5703125" style="27" hidden="1" customWidth="1"/>
    <col min="16" max="16" width="14.140625" style="27" hidden="1" customWidth="1"/>
    <col min="17" max="17" width="13.42578125" style="27" hidden="1" customWidth="1"/>
    <col min="18" max="18" width="18.42578125" style="27" hidden="1" customWidth="1"/>
    <col min="19" max="19" width="9.140625" style="27" customWidth="1"/>
    <col min="20" max="20" width="12.28515625" style="27" hidden="1" customWidth="1"/>
    <col min="21" max="21" width="10.5703125" style="27" hidden="1" customWidth="1"/>
    <col min="22" max="22" width="9.140625" style="27" hidden="1" customWidth="1"/>
    <col min="23" max="23" width="9.140625" style="27" customWidth="1"/>
    <col min="24" max="16384" width="9.140625" style="27"/>
  </cols>
  <sheetData>
    <row r="1" spans="1:14" s="61" customFormat="1" ht="15" customHeight="1" x14ac:dyDescent="0.25"/>
    <row r="4" spans="1:14" ht="15.75" thickBot="1" x14ac:dyDescent="0.3"/>
    <row r="5" spans="1:14" ht="15.75" thickBot="1" x14ac:dyDescent="0.3">
      <c r="C5" s="76"/>
      <c r="F5" s="117" t="s">
        <v>134</v>
      </c>
      <c r="G5" s="118" t="s">
        <v>124</v>
      </c>
    </row>
    <row r="6" spans="1:14" x14ac:dyDescent="0.25">
      <c r="C6" s="76"/>
    </row>
    <row r="7" spans="1:14" ht="15.75" thickBot="1" x14ac:dyDescent="0.3"/>
    <row r="8" spans="1:14" ht="15.75" thickBot="1" x14ac:dyDescent="0.3">
      <c r="A8" s="404" t="s">
        <v>39</v>
      </c>
      <c r="B8" s="405"/>
      <c r="C8" s="406"/>
      <c r="F8" s="376" t="s">
        <v>48</v>
      </c>
      <c r="G8" s="377"/>
      <c r="H8" s="378"/>
      <c r="J8" s="376" t="s">
        <v>36</v>
      </c>
      <c r="K8" s="377"/>
      <c r="L8" s="378"/>
    </row>
    <row r="9" spans="1:14" x14ac:dyDescent="0.25">
      <c r="A9" s="28" t="s">
        <v>40</v>
      </c>
      <c r="B9" s="443" t="str">
        <f>+'Koring 1 (dont use)'!B9:C9</f>
        <v>Jaque Fourie</v>
      </c>
      <c r="C9" s="444"/>
      <c r="F9" s="28" t="s">
        <v>81</v>
      </c>
      <c r="G9" s="387" t="str">
        <f>+'Koring 1 (dont use)'!G9:H9</f>
        <v>Bakkies Botha</v>
      </c>
      <c r="H9" s="388"/>
      <c r="J9" s="420" t="str">
        <f>+A20</f>
        <v>Saadbehandeling</v>
      </c>
      <c r="K9" s="421"/>
      <c r="L9" s="23">
        <f>+L24</f>
        <v>8500</v>
      </c>
    </row>
    <row r="10" spans="1:14" x14ac:dyDescent="0.25">
      <c r="A10" s="29" t="s">
        <v>47</v>
      </c>
      <c r="B10" s="424" t="str">
        <f>+'Koring 1 (dont use)'!B10:C10</f>
        <v>Japan</v>
      </c>
      <c r="C10" s="425"/>
      <c r="F10" s="29" t="s">
        <v>82</v>
      </c>
      <c r="G10" s="424" t="str">
        <f>+'Koring 1 (dont use)'!G10:H10</f>
        <v xml:space="preserve">Bus 524 </v>
      </c>
      <c r="H10" s="425"/>
      <c r="J10" s="389" t="str">
        <f>+A31</f>
        <v>Voor plant</v>
      </c>
      <c r="K10" s="390"/>
      <c r="L10" s="24">
        <f>+L33</f>
        <v>5820</v>
      </c>
    </row>
    <row r="11" spans="1:14" x14ac:dyDescent="0.25">
      <c r="A11" s="30"/>
      <c r="B11" s="424">
        <f>+'Koring 1 (dont use)'!B11:C11</f>
        <v>0</v>
      </c>
      <c r="C11" s="425"/>
      <c r="F11" s="29" t="s">
        <v>83</v>
      </c>
      <c r="G11" s="424" t="str">
        <f>+'Koring 1 (dont use)'!G11:H11</f>
        <v>Brakfontein</v>
      </c>
      <c r="H11" s="425"/>
      <c r="J11" s="389" t="str">
        <f>+A42</f>
        <v>Voor-opkoms (met plant)</v>
      </c>
      <c r="K11" s="390"/>
      <c r="L11" s="24">
        <f>+L44</f>
        <v>18384</v>
      </c>
    </row>
    <row r="12" spans="1:14" x14ac:dyDescent="0.25">
      <c r="A12" s="29" t="s">
        <v>45</v>
      </c>
      <c r="B12" s="424" t="str">
        <f>+'Koring 1 (dont use)'!B12:C12</f>
        <v>0001</v>
      </c>
      <c r="C12" s="425"/>
      <c r="F12" s="29" t="s">
        <v>84</v>
      </c>
      <c r="G12" s="424" t="str">
        <f>+'Koring 1 (dont use)'!G12:H12</f>
        <v>Humansdorp</v>
      </c>
      <c r="H12" s="425"/>
      <c r="J12" s="389" t="str">
        <f>+A53</f>
        <v>Na-opkoms</v>
      </c>
      <c r="K12" s="390"/>
      <c r="L12" s="24">
        <f>+L55</f>
        <v>17620</v>
      </c>
    </row>
    <row r="13" spans="1:14" x14ac:dyDescent="0.25">
      <c r="A13" s="29" t="s">
        <v>41</v>
      </c>
      <c r="B13" s="424">
        <f>+'Koring 1 (dont use)'!B13:C13</f>
        <v>0</v>
      </c>
      <c r="C13" s="425"/>
      <c r="F13" s="29" t="s">
        <v>85</v>
      </c>
      <c r="G13" s="424" t="str">
        <f>+'Koring 1 (dont use)'!G13:H13</f>
        <v>2587</v>
      </c>
      <c r="H13" s="425"/>
      <c r="J13" s="389" t="str">
        <f>+A66</f>
        <v>Ander</v>
      </c>
      <c r="K13" s="390"/>
      <c r="L13" s="24">
        <f>+L68</f>
        <v>6250</v>
      </c>
    </row>
    <row r="14" spans="1:14" ht="15.75" thickBot="1" x14ac:dyDescent="0.3">
      <c r="A14" s="29" t="s">
        <v>42</v>
      </c>
      <c r="B14" s="424">
        <f>+'Koring 1 (dont use)'!B14:C14</f>
        <v>0</v>
      </c>
      <c r="C14" s="425"/>
      <c r="F14" s="29" t="s">
        <v>86</v>
      </c>
      <c r="G14" s="424" t="str">
        <f>+'Koring 1 (dont use)'!G14:H14</f>
        <v>0112548798</v>
      </c>
      <c r="H14" s="425"/>
      <c r="J14" s="391" t="s">
        <v>55</v>
      </c>
      <c r="K14" s="392"/>
      <c r="L14" s="26">
        <f>SUM(L9:L13)</f>
        <v>56574</v>
      </c>
    </row>
    <row r="15" spans="1:14" ht="16.5" thickTop="1" thickBot="1" x14ac:dyDescent="0.3">
      <c r="A15" s="29" t="s">
        <v>43</v>
      </c>
      <c r="B15" s="424" t="str">
        <f>+'Koring 1 (dont use)'!B15:C15</f>
        <v>0878522233</v>
      </c>
      <c r="C15" s="425"/>
      <c r="F15" s="29" t="s">
        <v>87</v>
      </c>
      <c r="G15" s="424" t="str">
        <f>+'Koring 1 (dont use)'!G15:H15</f>
        <v>0768543221</v>
      </c>
      <c r="H15" s="425"/>
      <c r="J15" s="426"/>
      <c r="K15" s="427"/>
      <c r="L15" s="25"/>
    </row>
    <row r="16" spans="1:14" ht="15.75" thickBot="1" x14ac:dyDescent="0.3">
      <c r="A16" s="31" t="s">
        <v>44</v>
      </c>
      <c r="B16" s="428" t="str">
        <f>+'Koring 1 (dont use)'!B16:C16</f>
        <v>jfourie@gmail.com</v>
      </c>
      <c r="C16" s="429"/>
      <c r="F16" s="31" t="s">
        <v>88</v>
      </c>
      <c r="G16" s="430" t="str">
        <f>+'Koring 1 (dont use)'!G16:H16</f>
        <v>bb@bok.co.za</v>
      </c>
      <c r="H16" s="431"/>
      <c r="J16" s="432" t="s">
        <v>70</v>
      </c>
      <c r="K16" s="433"/>
      <c r="L16" s="104">
        <f>+G24+G33+G44+G55+G68</f>
        <v>920.63333333333344</v>
      </c>
      <c r="N16" s="62">
        <f>+L14/L18</f>
        <v>1131.48</v>
      </c>
    </row>
    <row r="17" spans="1:22" ht="15.75" thickBot="1" x14ac:dyDescent="0.3">
      <c r="E17" s="32"/>
      <c r="J17" s="33"/>
      <c r="K17" s="33"/>
      <c r="L17" s="34"/>
    </row>
    <row r="18" spans="1:22" ht="15.75" thickBot="1" x14ac:dyDescent="0.3">
      <c r="A18" s="35" t="s">
        <v>106</v>
      </c>
      <c r="B18" s="434" t="str">
        <f>+'Koring 1 (dont use)'!B18:C18</f>
        <v>Co</v>
      </c>
      <c r="C18" s="435"/>
      <c r="E18" s="32"/>
      <c r="F18" s="35" t="s">
        <v>69</v>
      </c>
      <c r="G18" s="418" t="str">
        <f>+'Koring 1 (dont use)'!G18:H18</f>
        <v>2012/09/12</v>
      </c>
      <c r="H18" s="436"/>
      <c r="J18" s="404" t="s">
        <v>46</v>
      </c>
      <c r="K18" s="405"/>
      <c r="L18" s="3">
        <v>50</v>
      </c>
    </row>
    <row r="19" spans="1:22" s="77" customFormat="1" ht="15.75" thickBot="1" x14ac:dyDescent="0.3">
      <c r="A19" s="101"/>
      <c r="B19" s="109"/>
      <c r="C19" s="109"/>
      <c r="E19" s="102"/>
      <c r="F19" s="101"/>
      <c r="G19" s="109"/>
      <c r="H19" s="109"/>
      <c r="J19" s="100"/>
      <c r="K19" s="100"/>
      <c r="L19" s="110"/>
    </row>
    <row r="20" spans="1:22" s="77" customFormat="1" ht="18" thickBot="1" x14ac:dyDescent="0.35">
      <c r="A20" s="409" t="s">
        <v>38</v>
      </c>
      <c r="B20" s="410"/>
      <c r="C20" s="410"/>
      <c r="D20" s="410"/>
      <c r="E20" s="410"/>
      <c r="F20" s="410"/>
      <c r="G20" s="410"/>
      <c r="H20" s="410"/>
      <c r="I20" s="410"/>
      <c r="J20" s="410"/>
      <c r="K20" s="410"/>
      <c r="L20" s="411"/>
    </row>
    <row r="21" spans="1:22" s="77" customFormat="1" x14ac:dyDescent="0.25">
      <c r="A21" s="52"/>
      <c r="B21" s="53" t="s">
        <v>97</v>
      </c>
      <c r="C21" s="19">
        <v>26000</v>
      </c>
      <c r="D21" s="54"/>
      <c r="E21" s="55"/>
      <c r="F21" s="55"/>
      <c r="G21" s="437" t="s">
        <v>99</v>
      </c>
      <c r="H21" s="438"/>
      <c r="I21" s="441">
        <f>+C21/C22</f>
        <v>0.43333333333333335</v>
      </c>
      <c r="J21" s="54"/>
      <c r="K21" s="54"/>
      <c r="L21" s="56"/>
    </row>
    <row r="22" spans="1:22" s="77" customFormat="1" ht="15.75" thickBot="1" x14ac:dyDescent="0.3">
      <c r="A22" s="57"/>
      <c r="B22" s="58" t="s">
        <v>98</v>
      </c>
      <c r="C22" s="20">
        <v>60000</v>
      </c>
      <c r="D22" s="59"/>
      <c r="E22" s="55"/>
      <c r="F22" s="55"/>
      <c r="G22" s="439"/>
      <c r="H22" s="440"/>
      <c r="I22" s="442"/>
      <c r="J22" s="59"/>
      <c r="K22" s="59"/>
      <c r="L22" s="60"/>
      <c r="T22" s="107"/>
      <c r="U22" s="108" t="s">
        <v>113</v>
      </c>
      <c r="V22" s="107"/>
    </row>
    <row r="23" spans="1:22" s="77" customFormat="1" ht="43.5" thickBot="1" x14ac:dyDescent="0.3">
      <c r="A23" s="37" t="s">
        <v>1</v>
      </c>
      <c r="B23" s="38" t="s">
        <v>95</v>
      </c>
      <c r="C23" s="39" t="s">
        <v>96</v>
      </c>
      <c r="D23" s="40" t="s">
        <v>93</v>
      </c>
      <c r="E23" s="39" t="s">
        <v>61</v>
      </c>
      <c r="F23" s="40" t="s">
        <v>94</v>
      </c>
      <c r="G23" s="41" t="s">
        <v>60</v>
      </c>
      <c r="H23" s="39" t="s">
        <v>59</v>
      </c>
      <c r="I23" s="103" t="s">
        <v>56</v>
      </c>
      <c r="J23" s="40" t="s">
        <v>57</v>
      </c>
      <c r="K23" s="40" t="s">
        <v>58</v>
      </c>
      <c r="L23" s="42" t="s">
        <v>0</v>
      </c>
      <c r="N23" s="63" t="s">
        <v>101</v>
      </c>
      <c r="O23" s="63" t="s">
        <v>100</v>
      </c>
      <c r="P23" s="64" t="s">
        <v>102</v>
      </c>
      <c r="Q23" s="64" t="s">
        <v>103</v>
      </c>
      <c r="R23" s="64" t="s">
        <v>104</v>
      </c>
      <c r="S23" s="27"/>
      <c r="T23" s="65" t="s">
        <v>72</v>
      </c>
      <c r="U23" s="65" t="s">
        <v>74</v>
      </c>
      <c r="V23" s="65" t="s">
        <v>75</v>
      </c>
    </row>
    <row r="24" spans="1:22" s="77" customFormat="1" x14ac:dyDescent="0.25">
      <c r="A24" s="134" t="s">
        <v>1</v>
      </c>
      <c r="B24" s="135">
        <v>0.1</v>
      </c>
      <c r="C24" s="136">
        <v>100</v>
      </c>
      <c r="D24" s="43">
        <f t="shared" ref="D24" si="0">+B24*C24</f>
        <v>10</v>
      </c>
      <c r="E24" s="137">
        <v>850</v>
      </c>
      <c r="F24" s="44">
        <f t="shared" ref="F24" si="1">+IFERROR(K24/(C24/$I$21),0)</f>
        <v>36.833333333333336</v>
      </c>
      <c r="G24" s="373">
        <f>SUM(F24:F29)</f>
        <v>36.833333333333336</v>
      </c>
      <c r="H24" s="138">
        <v>1</v>
      </c>
      <c r="I24" s="45">
        <f t="shared" ref="I24" si="2">+IFERROR(ROUNDUP(D24/H24,0),0)</f>
        <v>10</v>
      </c>
      <c r="J24" s="44">
        <f>+E24*H24</f>
        <v>850</v>
      </c>
      <c r="K24" s="44">
        <f>+I24*J24</f>
        <v>8500</v>
      </c>
      <c r="L24" s="370">
        <f>SUM(K24:K29)</f>
        <v>8500</v>
      </c>
      <c r="T24" s="70" t="str">
        <f>IFERROR(VLOOKUP(A24,VLOOKUPS!$A$3:$D$31,2,0),"Ander")</f>
        <v>Ander</v>
      </c>
      <c r="U24" s="71">
        <f t="shared" ref="U24:U29" si="3">IF(T24="Syngenta",K24,0)</f>
        <v>0</v>
      </c>
      <c r="V24" s="71">
        <f t="shared" ref="V24:V29" si="4">IF(T24="Ander",K24,0)</f>
        <v>8500</v>
      </c>
    </row>
    <row r="25" spans="1:22" s="77" customFormat="1" x14ac:dyDescent="0.25">
      <c r="A25" s="9"/>
      <c r="B25" s="10"/>
      <c r="C25" s="21"/>
      <c r="D25" s="46">
        <f t="shared" ref="D25:D29" si="5">+B25*C25</f>
        <v>0</v>
      </c>
      <c r="E25" s="12"/>
      <c r="F25" s="47">
        <f t="shared" ref="F25:F29" si="6">+IFERROR(K25/(C25/$I$21),0)</f>
        <v>0</v>
      </c>
      <c r="G25" s="374"/>
      <c r="H25" s="13"/>
      <c r="I25" s="48">
        <f t="shared" ref="I25:I26" si="7">+IFERROR(ROUNDUP(D25/H25,0),0)</f>
        <v>0</v>
      </c>
      <c r="J25" s="47">
        <f>+E25*H25</f>
        <v>0</v>
      </c>
      <c r="K25" s="47">
        <f>+I25*J25</f>
        <v>0</v>
      </c>
      <c r="L25" s="371"/>
      <c r="T25" s="70" t="str">
        <f>IFERROR(VLOOKUP(A25,VLOOKUPS!$A$3:$D$31,2,0),"Ander")</f>
        <v>Ander</v>
      </c>
      <c r="U25" s="71">
        <f t="shared" si="3"/>
        <v>0</v>
      </c>
      <c r="V25" s="71">
        <f t="shared" si="4"/>
        <v>0</v>
      </c>
    </row>
    <row r="26" spans="1:22" s="77" customFormat="1" x14ac:dyDescent="0.25">
      <c r="A26" s="9"/>
      <c r="B26" s="10"/>
      <c r="C26" s="21"/>
      <c r="D26" s="46">
        <f t="shared" si="5"/>
        <v>0</v>
      </c>
      <c r="E26" s="12"/>
      <c r="F26" s="47">
        <f t="shared" si="6"/>
        <v>0</v>
      </c>
      <c r="G26" s="374"/>
      <c r="H26" s="13"/>
      <c r="I26" s="48">
        <f t="shared" si="7"/>
        <v>0</v>
      </c>
      <c r="J26" s="47">
        <f t="shared" ref="J26:J29" si="8">+E26*H26</f>
        <v>0</v>
      </c>
      <c r="K26" s="47">
        <f t="shared" ref="K26:K29" si="9">+I26*J26</f>
        <v>0</v>
      </c>
      <c r="L26" s="371"/>
      <c r="T26" s="70" t="str">
        <f>IFERROR(VLOOKUP(A26,VLOOKUPS!$A$3:$D$31,2,0),"Ander")</f>
        <v>Ander</v>
      </c>
      <c r="U26" s="71">
        <f t="shared" si="3"/>
        <v>0</v>
      </c>
      <c r="V26" s="71">
        <f t="shared" si="4"/>
        <v>0</v>
      </c>
    </row>
    <row r="27" spans="1:22" s="77" customFormat="1" x14ac:dyDescent="0.25">
      <c r="A27" s="9"/>
      <c r="B27" s="10"/>
      <c r="C27" s="21"/>
      <c r="D27" s="46">
        <f t="shared" si="5"/>
        <v>0</v>
      </c>
      <c r="E27" s="12"/>
      <c r="F27" s="47">
        <f t="shared" si="6"/>
        <v>0</v>
      </c>
      <c r="G27" s="374"/>
      <c r="H27" s="13"/>
      <c r="I27" s="48">
        <f>+IFERROR(ROUNDUP(D27/H27,0),0)</f>
        <v>0</v>
      </c>
      <c r="J27" s="47">
        <f t="shared" si="8"/>
        <v>0</v>
      </c>
      <c r="K27" s="47">
        <f t="shared" si="9"/>
        <v>0</v>
      </c>
      <c r="L27" s="371"/>
      <c r="T27" s="70" t="str">
        <f>IFERROR(VLOOKUP(A27,VLOOKUPS!$A$3:$D$31,2,0),"Ander")</f>
        <v>Ander</v>
      </c>
      <c r="U27" s="71">
        <f t="shared" si="3"/>
        <v>0</v>
      </c>
      <c r="V27" s="71">
        <f t="shared" si="4"/>
        <v>0</v>
      </c>
    </row>
    <row r="28" spans="1:22" s="77" customFormat="1" x14ac:dyDescent="0.25">
      <c r="A28" s="9"/>
      <c r="B28" s="10"/>
      <c r="C28" s="21"/>
      <c r="D28" s="46">
        <f t="shared" si="5"/>
        <v>0</v>
      </c>
      <c r="E28" s="12"/>
      <c r="F28" s="47">
        <f t="shared" si="6"/>
        <v>0</v>
      </c>
      <c r="G28" s="374"/>
      <c r="H28" s="13"/>
      <c r="I28" s="48">
        <f t="shared" ref="I28:I29" si="10">+IFERROR(ROUNDUP(D28/H28,0),0)</f>
        <v>0</v>
      </c>
      <c r="J28" s="47">
        <f t="shared" si="8"/>
        <v>0</v>
      </c>
      <c r="K28" s="47">
        <f t="shared" si="9"/>
        <v>0</v>
      </c>
      <c r="L28" s="371"/>
      <c r="T28" s="70" t="str">
        <f>IFERROR(VLOOKUP(A28,VLOOKUPS!$A$3:$D$31,2,0),"Ander")</f>
        <v>Ander</v>
      </c>
      <c r="U28" s="71">
        <f t="shared" si="3"/>
        <v>0</v>
      </c>
      <c r="V28" s="71">
        <f t="shared" si="4"/>
        <v>0</v>
      </c>
    </row>
    <row r="29" spans="1:22" s="77" customFormat="1" ht="15.75" thickBot="1" x14ac:dyDescent="0.3">
      <c r="A29" s="14"/>
      <c r="B29" s="15"/>
      <c r="C29" s="22"/>
      <c r="D29" s="49">
        <f t="shared" si="5"/>
        <v>0</v>
      </c>
      <c r="E29" s="17"/>
      <c r="F29" s="50">
        <f t="shared" si="6"/>
        <v>0</v>
      </c>
      <c r="G29" s="375"/>
      <c r="H29" s="18"/>
      <c r="I29" s="51">
        <f t="shared" si="10"/>
        <v>0</v>
      </c>
      <c r="J29" s="50">
        <f t="shared" si="8"/>
        <v>0</v>
      </c>
      <c r="K29" s="50">
        <f t="shared" si="9"/>
        <v>0</v>
      </c>
      <c r="L29" s="372"/>
      <c r="T29" s="70" t="str">
        <f>IFERROR(VLOOKUP(A29,VLOOKUPS!$A$3:$D$31,2,0),"Ander")</f>
        <v>Ander</v>
      </c>
      <c r="U29" s="71">
        <f t="shared" si="3"/>
        <v>0</v>
      </c>
      <c r="V29" s="71">
        <f t="shared" si="4"/>
        <v>0</v>
      </c>
    </row>
    <row r="30" spans="1:22" s="77" customFormat="1" ht="15.75" thickBot="1" x14ac:dyDescent="0.3">
      <c r="A30" s="101"/>
      <c r="B30" s="109"/>
      <c r="C30" s="109"/>
      <c r="E30" s="102"/>
      <c r="F30" s="101"/>
      <c r="G30" s="109"/>
      <c r="H30" s="109"/>
      <c r="J30" s="100"/>
      <c r="K30" s="100"/>
      <c r="L30" s="110"/>
      <c r="T30" s="27"/>
      <c r="U30" s="72">
        <f>SUM(U24:U29)</f>
        <v>0</v>
      </c>
      <c r="V30" s="72">
        <f>SUM(V24:V29)</f>
        <v>8500</v>
      </c>
    </row>
    <row r="31" spans="1:22" ht="18.75" thickTop="1" thickBot="1" x14ac:dyDescent="0.35">
      <c r="A31" s="415" t="s">
        <v>37</v>
      </c>
      <c r="B31" s="416"/>
      <c r="C31" s="416"/>
      <c r="D31" s="416"/>
      <c r="E31" s="416"/>
      <c r="F31" s="416"/>
      <c r="G31" s="416"/>
      <c r="H31" s="416"/>
      <c r="I31" s="416"/>
      <c r="J31" s="416"/>
      <c r="K31" s="416"/>
      <c r="L31" s="417"/>
    </row>
    <row r="32" spans="1:22" ht="33" customHeight="1" thickBot="1" x14ac:dyDescent="0.3">
      <c r="A32" s="37" t="s">
        <v>1</v>
      </c>
      <c r="B32" s="38" t="s">
        <v>62</v>
      </c>
      <c r="C32" s="39" t="s">
        <v>2</v>
      </c>
      <c r="D32" s="40" t="s">
        <v>93</v>
      </c>
      <c r="E32" s="39" t="s">
        <v>61</v>
      </c>
      <c r="F32" s="40" t="s">
        <v>94</v>
      </c>
      <c r="G32" s="41" t="s">
        <v>60</v>
      </c>
      <c r="H32" s="39" t="s">
        <v>59</v>
      </c>
      <c r="I32" s="103" t="s">
        <v>56</v>
      </c>
      <c r="J32" s="40" t="s">
        <v>57</v>
      </c>
      <c r="K32" s="40" t="s">
        <v>58</v>
      </c>
      <c r="L32" s="42" t="s">
        <v>0</v>
      </c>
    </row>
    <row r="33" spans="1:22" x14ac:dyDescent="0.25">
      <c r="A33" s="4" t="s">
        <v>1</v>
      </c>
      <c r="B33" s="5">
        <v>1.5</v>
      </c>
      <c r="C33" s="6">
        <v>1</v>
      </c>
      <c r="D33" s="43">
        <f>+L18*B33*C33</f>
        <v>75</v>
      </c>
      <c r="E33" s="7">
        <v>48</v>
      </c>
      <c r="F33" s="44">
        <f>+B33*C33*E33</f>
        <v>72</v>
      </c>
      <c r="G33" s="373">
        <f>SUM(F33:F40)</f>
        <v>108.6</v>
      </c>
      <c r="H33" s="8">
        <v>25</v>
      </c>
      <c r="I33" s="45">
        <f t="shared" ref="I33:I40" si="11">+IFERROR(ROUNDUP(D33/H33,0),0)</f>
        <v>3</v>
      </c>
      <c r="J33" s="44">
        <f>+E33*H33</f>
        <v>1200</v>
      </c>
      <c r="K33" s="44">
        <f t="shared" ref="K33:K40" si="12">+I33*J33</f>
        <v>3600</v>
      </c>
      <c r="L33" s="370">
        <f>SUM(K33:K40)</f>
        <v>5820</v>
      </c>
      <c r="N33" s="66">
        <f>+IFERROR((I33*H33)/B33,0)</f>
        <v>50</v>
      </c>
      <c r="O33" s="67">
        <f>+IFERROR(C33*$L$18,0)</f>
        <v>50</v>
      </c>
      <c r="P33" s="68">
        <f t="shared" ref="P33:P40" si="13">+IFERROR(K33/N33,0)</f>
        <v>72</v>
      </c>
      <c r="Q33" s="68">
        <f t="shared" ref="Q33:Q40" si="14">+IFERROR(K33/O33,0)</f>
        <v>72</v>
      </c>
      <c r="R33" s="69">
        <f t="shared" ref="R33:R40" si="15">+B33*C33*E33</f>
        <v>72</v>
      </c>
      <c r="T33" s="70" t="str">
        <f>IFERROR(VLOOKUP(A33,VLOOKUPS!$A$3:$D$31,2,0),"Ander")</f>
        <v>Ander</v>
      </c>
      <c r="U33" s="71">
        <f t="shared" ref="U33:U40" si="16">IF(T33="Syngenta",K33,0)</f>
        <v>0</v>
      </c>
      <c r="V33" s="71">
        <f t="shared" ref="V33:V40" si="17">IF(T33="Ander",K33,0)</f>
        <v>3600</v>
      </c>
    </row>
    <row r="34" spans="1:22" x14ac:dyDescent="0.25">
      <c r="A34" s="9" t="s">
        <v>1</v>
      </c>
      <c r="B34" s="10">
        <v>1.5</v>
      </c>
      <c r="C34" s="11">
        <v>1</v>
      </c>
      <c r="D34" s="46">
        <f>+L18*B34*C34</f>
        <v>75</v>
      </c>
      <c r="E34" s="12">
        <v>11</v>
      </c>
      <c r="F34" s="47">
        <f t="shared" ref="F34:F40" si="18">+B34*C34*E34</f>
        <v>16.5</v>
      </c>
      <c r="G34" s="374"/>
      <c r="H34" s="13">
        <v>20</v>
      </c>
      <c r="I34" s="48">
        <f t="shared" si="11"/>
        <v>4</v>
      </c>
      <c r="J34" s="47">
        <f>+E34*H34</f>
        <v>220</v>
      </c>
      <c r="K34" s="47">
        <f t="shared" si="12"/>
        <v>880</v>
      </c>
      <c r="L34" s="371"/>
      <c r="N34" s="66">
        <f t="shared" ref="N34:N71" si="19">+IFERROR((I34*H34)/B34,0)</f>
        <v>53.333333333333336</v>
      </c>
      <c r="O34" s="67">
        <f t="shared" ref="O34:O71" si="20">+IFERROR(C34*$L$18,0)</f>
        <v>50</v>
      </c>
      <c r="P34" s="68">
        <f t="shared" si="13"/>
        <v>16.5</v>
      </c>
      <c r="Q34" s="68">
        <f t="shared" si="14"/>
        <v>17.600000000000001</v>
      </c>
      <c r="R34" s="69">
        <f t="shared" si="15"/>
        <v>16.5</v>
      </c>
      <c r="T34" s="70" t="str">
        <f>IFERROR(VLOOKUP(A34,VLOOKUPS!$A$3:$D$31,2,0),"Ander")</f>
        <v>Ander</v>
      </c>
      <c r="U34" s="71">
        <f t="shared" si="16"/>
        <v>0</v>
      </c>
      <c r="V34" s="71">
        <f t="shared" si="17"/>
        <v>880</v>
      </c>
    </row>
    <row r="35" spans="1:22" x14ac:dyDescent="0.25">
      <c r="A35" s="9" t="s">
        <v>1</v>
      </c>
      <c r="B35" s="10">
        <v>0.3</v>
      </c>
      <c r="C35" s="11">
        <v>1</v>
      </c>
      <c r="D35" s="46">
        <f>+L18*B35*C35</f>
        <v>15</v>
      </c>
      <c r="E35" s="12">
        <v>67</v>
      </c>
      <c r="F35" s="47">
        <f t="shared" si="18"/>
        <v>20.099999999999998</v>
      </c>
      <c r="G35" s="374"/>
      <c r="H35" s="13">
        <v>20</v>
      </c>
      <c r="I35" s="48">
        <f t="shared" si="11"/>
        <v>1</v>
      </c>
      <c r="J35" s="47">
        <f>+E35*H35</f>
        <v>1340</v>
      </c>
      <c r="K35" s="47">
        <f t="shared" si="12"/>
        <v>1340</v>
      </c>
      <c r="L35" s="371"/>
      <c r="N35" s="66">
        <f t="shared" si="19"/>
        <v>66.666666666666671</v>
      </c>
      <c r="O35" s="67">
        <f t="shared" si="20"/>
        <v>50</v>
      </c>
      <c r="P35" s="68">
        <f t="shared" si="13"/>
        <v>20.099999999999998</v>
      </c>
      <c r="Q35" s="68">
        <f t="shared" si="14"/>
        <v>26.8</v>
      </c>
      <c r="R35" s="69">
        <f t="shared" si="15"/>
        <v>20.099999999999998</v>
      </c>
      <c r="T35" s="70" t="str">
        <f>IFERROR(VLOOKUP(A35,VLOOKUPS!$A$3:$D$31,2,0),"Ander")</f>
        <v>Ander</v>
      </c>
      <c r="U35" s="71">
        <f t="shared" si="16"/>
        <v>0</v>
      </c>
      <c r="V35" s="71">
        <f t="shared" si="17"/>
        <v>1340</v>
      </c>
    </row>
    <row r="36" spans="1:22" x14ac:dyDescent="0.25">
      <c r="A36" s="9"/>
      <c r="B36" s="10"/>
      <c r="C36" s="11"/>
      <c r="D36" s="46">
        <f t="shared" ref="D36:D37" si="21">+L19*B36*C36</f>
        <v>0</v>
      </c>
      <c r="E36" s="12"/>
      <c r="F36" s="47">
        <f t="shared" si="18"/>
        <v>0</v>
      </c>
      <c r="G36" s="374"/>
      <c r="H36" s="13"/>
      <c r="I36" s="48">
        <f t="shared" si="11"/>
        <v>0</v>
      </c>
      <c r="J36" s="47">
        <f t="shared" ref="J36:J38" si="22">+E36*H36</f>
        <v>0</v>
      </c>
      <c r="K36" s="47">
        <f t="shared" si="12"/>
        <v>0</v>
      </c>
      <c r="L36" s="371"/>
      <c r="N36" s="66">
        <f t="shared" si="19"/>
        <v>0</v>
      </c>
      <c r="O36" s="67">
        <f t="shared" si="20"/>
        <v>0</v>
      </c>
      <c r="P36" s="68">
        <f t="shared" si="13"/>
        <v>0</v>
      </c>
      <c r="Q36" s="68">
        <f t="shared" si="14"/>
        <v>0</v>
      </c>
      <c r="R36" s="69">
        <f t="shared" si="15"/>
        <v>0</v>
      </c>
      <c r="T36" s="70" t="str">
        <f>IFERROR(VLOOKUP(A36,VLOOKUPS!$A$3:$D$31,2,0),"Ander")</f>
        <v>Ander</v>
      </c>
      <c r="U36" s="71">
        <f t="shared" si="16"/>
        <v>0</v>
      </c>
      <c r="V36" s="71">
        <f t="shared" si="17"/>
        <v>0</v>
      </c>
    </row>
    <row r="37" spans="1:22" x14ac:dyDescent="0.25">
      <c r="A37" s="9"/>
      <c r="B37" s="10"/>
      <c r="C37" s="11"/>
      <c r="D37" s="46">
        <f t="shared" si="21"/>
        <v>0</v>
      </c>
      <c r="E37" s="12"/>
      <c r="F37" s="47">
        <f t="shared" si="18"/>
        <v>0</v>
      </c>
      <c r="G37" s="374"/>
      <c r="H37" s="13"/>
      <c r="I37" s="48">
        <f t="shared" si="11"/>
        <v>0</v>
      </c>
      <c r="J37" s="47">
        <f t="shared" si="22"/>
        <v>0</v>
      </c>
      <c r="K37" s="47">
        <f t="shared" si="12"/>
        <v>0</v>
      </c>
      <c r="L37" s="371"/>
      <c r="N37" s="66">
        <f t="shared" si="19"/>
        <v>0</v>
      </c>
      <c r="O37" s="67">
        <f t="shared" si="20"/>
        <v>0</v>
      </c>
      <c r="P37" s="68">
        <f t="shared" si="13"/>
        <v>0</v>
      </c>
      <c r="Q37" s="68">
        <f t="shared" si="14"/>
        <v>0</v>
      </c>
      <c r="R37" s="69">
        <f t="shared" si="15"/>
        <v>0</v>
      </c>
      <c r="T37" s="70" t="str">
        <f>IFERROR(VLOOKUP(A37,VLOOKUPS!$A$3:$D$31,2,0),"Ander")</f>
        <v>Ander</v>
      </c>
      <c r="U37" s="71">
        <f t="shared" si="16"/>
        <v>0</v>
      </c>
      <c r="V37" s="71">
        <f t="shared" si="17"/>
        <v>0</v>
      </c>
    </row>
    <row r="38" spans="1:22" x14ac:dyDescent="0.25">
      <c r="A38" s="9"/>
      <c r="B38" s="10"/>
      <c r="C38" s="11"/>
      <c r="D38" s="46">
        <f>+L18*B38*C38</f>
        <v>0</v>
      </c>
      <c r="E38" s="12"/>
      <c r="F38" s="47">
        <f t="shared" si="18"/>
        <v>0</v>
      </c>
      <c r="G38" s="374"/>
      <c r="H38" s="13"/>
      <c r="I38" s="48">
        <f t="shared" si="11"/>
        <v>0</v>
      </c>
      <c r="J38" s="47">
        <f t="shared" si="22"/>
        <v>0</v>
      </c>
      <c r="K38" s="47">
        <f t="shared" si="12"/>
        <v>0</v>
      </c>
      <c r="L38" s="371"/>
      <c r="N38" s="66">
        <f t="shared" si="19"/>
        <v>0</v>
      </c>
      <c r="O38" s="67">
        <f t="shared" si="20"/>
        <v>0</v>
      </c>
      <c r="P38" s="68">
        <f t="shared" si="13"/>
        <v>0</v>
      </c>
      <c r="Q38" s="68">
        <f t="shared" si="14"/>
        <v>0</v>
      </c>
      <c r="R38" s="69">
        <f t="shared" si="15"/>
        <v>0</v>
      </c>
      <c r="T38" s="70" t="str">
        <f>IFERROR(VLOOKUP(A38,VLOOKUPS!$A$3:$D$31,2,0),"Ander")</f>
        <v>Ander</v>
      </c>
      <c r="U38" s="71">
        <f t="shared" si="16"/>
        <v>0</v>
      </c>
      <c r="V38" s="71">
        <f t="shared" si="17"/>
        <v>0</v>
      </c>
    </row>
    <row r="39" spans="1:22" x14ac:dyDescent="0.25">
      <c r="A39" s="9"/>
      <c r="B39" s="10"/>
      <c r="C39" s="11"/>
      <c r="D39" s="46">
        <f>+L18*B39*C39</f>
        <v>0</v>
      </c>
      <c r="E39" s="12"/>
      <c r="F39" s="47">
        <f t="shared" si="18"/>
        <v>0</v>
      </c>
      <c r="G39" s="374"/>
      <c r="H39" s="13"/>
      <c r="I39" s="48">
        <f t="shared" si="11"/>
        <v>0</v>
      </c>
      <c r="J39" s="47">
        <f>+E39*H39</f>
        <v>0</v>
      </c>
      <c r="K39" s="47">
        <f t="shared" si="12"/>
        <v>0</v>
      </c>
      <c r="L39" s="371"/>
      <c r="N39" s="66">
        <f t="shared" si="19"/>
        <v>0</v>
      </c>
      <c r="O39" s="67">
        <f t="shared" si="20"/>
        <v>0</v>
      </c>
      <c r="P39" s="68">
        <f t="shared" si="13"/>
        <v>0</v>
      </c>
      <c r="Q39" s="68">
        <f t="shared" si="14"/>
        <v>0</v>
      </c>
      <c r="R39" s="69">
        <f t="shared" si="15"/>
        <v>0</v>
      </c>
      <c r="T39" s="70" t="str">
        <f>IFERROR(VLOOKUP(A39,VLOOKUPS!$A$3:$D$31,2,0),"Ander")</f>
        <v>Ander</v>
      </c>
      <c r="U39" s="71">
        <f t="shared" si="16"/>
        <v>0</v>
      </c>
      <c r="V39" s="71">
        <f t="shared" si="17"/>
        <v>0</v>
      </c>
    </row>
    <row r="40" spans="1:22" ht="15.75" thickBot="1" x14ac:dyDescent="0.3">
      <c r="A40" s="14"/>
      <c r="B40" s="15"/>
      <c r="C40" s="16"/>
      <c r="D40" s="49">
        <f>+L18*B40*C40</f>
        <v>0</v>
      </c>
      <c r="E40" s="17"/>
      <c r="F40" s="50">
        <f t="shared" si="18"/>
        <v>0</v>
      </c>
      <c r="G40" s="375"/>
      <c r="H40" s="18"/>
      <c r="I40" s="51">
        <f t="shared" si="11"/>
        <v>0</v>
      </c>
      <c r="J40" s="50">
        <f>+E40*H40</f>
        <v>0</v>
      </c>
      <c r="K40" s="50">
        <f t="shared" si="12"/>
        <v>0</v>
      </c>
      <c r="L40" s="372"/>
      <c r="N40" s="66">
        <f t="shared" si="19"/>
        <v>0</v>
      </c>
      <c r="O40" s="67">
        <f t="shared" si="20"/>
        <v>0</v>
      </c>
      <c r="P40" s="68">
        <f t="shared" si="13"/>
        <v>0</v>
      </c>
      <c r="Q40" s="68">
        <f t="shared" si="14"/>
        <v>0</v>
      </c>
      <c r="R40" s="69">
        <f t="shared" si="15"/>
        <v>0</v>
      </c>
      <c r="T40" s="70" t="str">
        <f>IFERROR(VLOOKUP(A40,VLOOKUPS!$A$3:$D$31,2,0),"Ander")</f>
        <v>Ander</v>
      </c>
      <c r="U40" s="71">
        <f t="shared" si="16"/>
        <v>0</v>
      </c>
      <c r="V40" s="71">
        <f t="shared" si="17"/>
        <v>0</v>
      </c>
    </row>
    <row r="41" spans="1:22" ht="15.75" thickBot="1" x14ac:dyDescent="0.3">
      <c r="N41" s="66"/>
      <c r="O41" s="67"/>
      <c r="P41" s="68"/>
      <c r="Q41" s="68"/>
      <c r="R41" s="69"/>
      <c r="U41" s="72">
        <f>SUM(U33:U40)</f>
        <v>0</v>
      </c>
      <c r="V41" s="72">
        <f>SUM(V33:V40)</f>
        <v>5820</v>
      </c>
    </row>
    <row r="42" spans="1:22" ht="18.75" thickTop="1" thickBot="1" x14ac:dyDescent="0.3">
      <c r="A42" s="412" t="s">
        <v>107</v>
      </c>
      <c r="B42" s="413"/>
      <c r="C42" s="413"/>
      <c r="D42" s="413"/>
      <c r="E42" s="413"/>
      <c r="F42" s="413"/>
      <c r="G42" s="413"/>
      <c r="H42" s="413"/>
      <c r="I42" s="413"/>
      <c r="J42" s="413"/>
      <c r="K42" s="413"/>
      <c r="L42" s="414"/>
      <c r="N42" s="66"/>
      <c r="O42" s="67"/>
      <c r="P42" s="68"/>
      <c r="Q42" s="68"/>
      <c r="R42" s="69"/>
      <c r="U42" s="71"/>
      <c r="V42" s="71"/>
    </row>
    <row r="43" spans="1:22" ht="43.5" thickBot="1" x14ac:dyDescent="0.3">
      <c r="A43" s="37" t="s">
        <v>1</v>
      </c>
      <c r="B43" s="38" t="s">
        <v>62</v>
      </c>
      <c r="C43" s="39" t="s">
        <v>2</v>
      </c>
      <c r="D43" s="40" t="s">
        <v>93</v>
      </c>
      <c r="E43" s="39" t="s">
        <v>61</v>
      </c>
      <c r="F43" s="40" t="s">
        <v>94</v>
      </c>
      <c r="G43" s="41" t="s">
        <v>60</v>
      </c>
      <c r="H43" s="39" t="s">
        <v>59</v>
      </c>
      <c r="I43" s="103" t="s">
        <v>56</v>
      </c>
      <c r="J43" s="40" t="s">
        <v>57</v>
      </c>
      <c r="K43" s="40" t="s">
        <v>58</v>
      </c>
      <c r="L43" s="42" t="s">
        <v>0</v>
      </c>
      <c r="N43" s="66"/>
      <c r="O43" s="67"/>
      <c r="P43" s="68"/>
      <c r="Q43" s="68"/>
      <c r="R43" s="69"/>
      <c r="U43" s="71"/>
      <c r="V43" s="71"/>
    </row>
    <row r="44" spans="1:22" x14ac:dyDescent="0.25">
      <c r="A44" s="4" t="s">
        <v>1</v>
      </c>
      <c r="B44" s="5">
        <v>1.7</v>
      </c>
      <c r="C44" s="6">
        <v>1</v>
      </c>
      <c r="D44" s="43">
        <f t="shared" ref="D44:D51" si="23">+$L$18*B44*C44</f>
        <v>85</v>
      </c>
      <c r="E44" s="7">
        <v>78</v>
      </c>
      <c r="F44" s="44">
        <f>+B44*C44*E44</f>
        <v>132.6</v>
      </c>
      <c r="G44" s="373">
        <f>SUM(F44:F51)</f>
        <v>337</v>
      </c>
      <c r="H44" s="8">
        <v>20</v>
      </c>
      <c r="I44" s="45">
        <f t="shared" ref="I44:I51" si="24">+IFERROR(ROUNDUP(D44/H44,0),0)</f>
        <v>5</v>
      </c>
      <c r="J44" s="44">
        <f>+E44*H44</f>
        <v>1560</v>
      </c>
      <c r="K44" s="44">
        <f>+I44*J44</f>
        <v>7800</v>
      </c>
      <c r="L44" s="370">
        <f>SUM(K44:K51)</f>
        <v>18384</v>
      </c>
      <c r="N44" s="66">
        <f t="shared" si="19"/>
        <v>58.82352941176471</v>
      </c>
      <c r="O44" s="67">
        <f t="shared" si="20"/>
        <v>50</v>
      </c>
      <c r="P44" s="68">
        <f t="shared" ref="P44:P51" si="25">+IFERROR(K44/N44,0)</f>
        <v>132.6</v>
      </c>
      <c r="Q44" s="68">
        <f t="shared" ref="Q44:Q51" si="26">+IFERROR(K44/O44,0)</f>
        <v>156</v>
      </c>
      <c r="R44" s="69">
        <f t="shared" ref="R44:R51" si="27">+B44*C44*E44</f>
        <v>132.6</v>
      </c>
      <c r="T44" s="70" t="str">
        <f>IFERROR(VLOOKUP(A44,VLOOKUPS!$A$3:$D$31,2,0),"Ander")</f>
        <v>Ander</v>
      </c>
      <c r="U44" s="71">
        <f t="shared" ref="U44:U51" si="28">IF(T44="Syngenta",K44,0)</f>
        <v>0</v>
      </c>
      <c r="V44" s="71">
        <f t="shared" ref="V44:V51" si="29">IF(T44="Ander",K44,0)</f>
        <v>7800</v>
      </c>
    </row>
    <row r="45" spans="1:22" x14ac:dyDescent="0.25">
      <c r="A45" s="9" t="s">
        <v>1</v>
      </c>
      <c r="B45" s="10">
        <v>7.3</v>
      </c>
      <c r="C45" s="11">
        <f>+C44</f>
        <v>1</v>
      </c>
      <c r="D45" s="46">
        <f t="shared" si="23"/>
        <v>365</v>
      </c>
      <c r="E45" s="12">
        <v>28</v>
      </c>
      <c r="F45" s="47">
        <f t="shared" ref="F45:F51" si="30">+B45*C45*E45</f>
        <v>204.4</v>
      </c>
      <c r="G45" s="374"/>
      <c r="H45" s="13">
        <v>18</v>
      </c>
      <c r="I45" s="48">
        <f t="shared" si="24"/>
        <v>21</v>
      </c>
      <c r="J45" s="47">
        <f t="shared" ref="J45:J51" si="31">+E45*H45</f>
        <v>504</v>
      </c>
      <c r="K45" s="47">
        <f t="shared" ref="K45:K51" si="32">+I45*J45</f>
        <v>10584</v>
      </c>
      <c r="L45" s="371"/>
      <c r="N45" s="66">
        <f t="shared" si="19"/>
        <v>51.780821917808218</v>
      </c>
      <c r="O45" s="67">
        <f t="shared" si="20"/>
        <v>50</v>
      </c>
      <c r="P45" s="68">
        <f t="shared" si="25"/>
        <v>204.4</v>
      </c>
      <c r="Q45" s="68">
        <f t="shared" si="26"/>
        <v>211.68</v>
      </c>
      <c r="R45" s="69">
        <f t="shared" si="27"/>
        <v>204.4</v>
      </c>
      <c r="T45" s="70" t="str">
        <f>IFERROR(VLOOKUP(A45,VLOOKUPS!$A$3:$D$31,2,0),"Ander")</f>
        <v>Ander</v>
      </c>
      <c r="U45" s="71">
        <f t="shared" si="28"/>
        <v>0</v>
      </c>
      <c r="V45" s="71">
        <f t="shared" si="29"/>
        <v>10584</v>
      </c>
    </row>
    <row r="46" spans="1:22" x14ac:dyDescent="0.25">
      <c r="A46" s="9"/>
      <c r="B46" s="10"/>
      <c r="C46" s="11"/>
      <c r="D46" s="46">
        <f t="shared" si="23"/>
        <v>0</v>
      </c>
      <c r="E46" s="12"/>
      <c r="F46" s="47">
        <f t="shared" si="30"/>
        <v>0</v>
      </c>
      <c r="G46" s="374"/>
      <c r="H46" s="13"/>
      <c r="I46" s="48">
        <f t="shared" si="24"/>
        <v>0</v>
      </c>
      <c r="J46" s="47">
        <f t="shared" si="31"/>
        <v>0</v>
      </c>
      <c r="K46" s="47">
        <f t="shared" si="32"/>
        <v>0</v>
      </c>
      <c r="L46" s="371"/>
      <c r="N46" s="66">
        <f t="shared" si="19"/>
        <v>0</v>
      </c>
      <c r="O46" s="67">
        <f t="shared" si="20"/>
        <v>0</v>
      </c>
      <c r="P46" s="68">
        <f t="shared" si="25"/>
        <v>0</v>
      </c>
      <c r="Q46" s="68">
        <f t="shared" si="26"/>
        <v>0</v>
      </c>
      <c r="R46" s="69">
        <f t="shared" si="27"/>
        <v>0</v>
      </c>
      <c r="T46" s="70" t="str">
        <f>IFERROR(VLOOKUP(A46,VLOOKUPS!$A$3:$D$31,2,0),"Ander")</f>
        <v>Ander</v>
      </c>
      <c r="U46" s="71">
        <f t="shared" si="28"/>
        <v>0</v>
      </c>
      <c r="V46" s="71">
        <f t="shared" si="29"/>
        <v>0</v>
      </c>
    </row>
    <row r="47" spans="1:22" x14ac:dyDescent="0.25">
      <c r="A47" s="9"/>
      <c r="B47" s="10"/>
      <c r="C47" s="11"/>
      <c r="D47" s="46">
        <f t="shared" si="23"/>
        <v>0</v>
      </c>
      <c r="E47" s="12"/>
      <c r="F47" s="47">
        <f t="shared" si="30"/>
        <v>0</v>
      </c>
      <c r="G47" s="374"/>
      <c r="H47" s="13"/>
      <c r="I47" s="48">
        <f t="shared" si="24"/>
        <v>0</v>
      </c>
      <c r="J47" s="47">
        <f t="shared" si="31"/>
        <v>0</v>
      </c>
      <c r="K47" s="47">
        <f t="shared" si="32"/>
        <v>0</v>
      </c>
      <c r="L47" s="371"/>
      <c r="N47" s="66"/>
      <c r="O47" s="67"/>
      <c r="P47" s="68"/>
      <c r="Q47" s="68"/>
      <c r="R47" s="69"/>
      <c r="T47" s="70" t="str">
        <f>IFERROR(VLOOKUP(A47,VLOOKUPS!$A$3:$D$31,2,0),"Ander")</f>
        <v>Ander</v>
      </c>
      <c r="U47" s="71">
        <f t="shared" si="28"/>
        <v>0</v>
      </c>
      <c r="V47" s="71">
        <f t="shared" si="29"/>
        <v>0</v>
      </c>
    </row>
    <row r="48" spans="1:22" x14ac:dyDescent="0.25">
      <c r="A48" s="9"/>
      <c r="B48" s="10"/>
      <c r="C48" s="11"/>
      <c r="D48" s="46">
        <f t="shared" si="23"/>
        <v>0</v>
      </c>
      <c r="E48" s="12"/>
      <c r="F48" s="47">
        <f t="shared" si="30"/>
        <v>0</v>
      </c>
      <c r="G48" s="374"/>
      <c r="H48" s="13"/>
      <c r="I48" s="48">
        <f t="shared" si="24"/>
        <v>0</v>
      </c>
      <c r="J48" s="47">
        <f t="shared" si="31"/>
        <v>0</v>
      </c>
      <c r="K48" s="47">
        <f t="shared" si="32"/>
        <v>0</v>
      </c>
      <c r="L48" s="371"/>
      <c r="N48" s="66"/>
      <c r="O48" s="67"/>
      <c r="P48" s="68"/>
      <c r="Q48" s="68"/>
      <c r="R48" s="69"/>
      <c r="T48" s="70" t="str">
        <f>IFERROR(VLOOKUP(A48,VLOOKUPS!$A$3:$D$31,2,0),"Ander")</f>
        <v>Ander</v>
      </c>
      <c r="U48" s="71">
        <f t="shared" si="28"/>
        <v>0</v>
      </c>
      <c r="V48" s="71">
        <f t="shared" si="29"/>
        <v>0</v>
      </c>
    </row>
    <row r="49" spans="1:22" x14ac:dyDescent="0.25">
      <c r="A49" s="9"/>
      <c r="B49" s="10"/>
      <c r="C49" s="11"/>
      <c r="D49" s="46">
        <f t="shared" si="23"/>
        <v>0</v>
      </c>
      <c r="E49" s="12"/>
      <c r="F49" s="47">
        <f t="shared" si="30"/>
        <v>0</v>
      </c>
      <c r="G49" s="374"/>
      <c r="H49" s="13"/>
      <c r="I49" s="48">
        <f t="shared" si="24"/>
        <v>0</v>
      </c>
      <c r="J49" s="47">
        <f t="shared" si="31"/>
        <v>0</v>
      </c>
      <c r="K49" s="47">
        <f t="shared" si="32"/>
        <v>0</v>
      </c>
      <c r="L49" s="371"/>
      <c r="N49" s="66">
        <f t="shared" si="19"/>
        <v>0</v>
      </c>
      <c r="O49" s="67">
        <f t="shared" si="20"/>
        <v>0</v>
      </c>
      <c r="P49" s="68">
        <f t="shared" si="25"/>
        <v>0</v>
      </c>
      <c r="Q49" s="68">
        <f t="shared" si="26"/>
        <v>0</v>
      </c>
      <c r="R49" s="69">
        <f t="shared" si="27"/>
        <v>0</v>
      </c>
      <c r="T49" s="70" t="str">
        <f>IFERROR(VLOOKUP(A49,VLOOKUPS!$A$3:$D$31,2,0),"Ander")</f>
        <v>Ander</v>
      </c>
      <c r="U49" s="71">
        <f t="shared" si="28"/>
        <v>0</v>
      </c>
      <c r="V49" s="71">
        <f t="shared" si="29"/>
        <v>0</v>
      </c>
    </row>
    <row r="50" spans="1:22" x14ac:dyDescent="0.25">
      <c r="A50" s="9"/>
      <c r="B50" s="10"/>
      <c r="C50" s="11"/>
      <c r="D50" s="46">
        <f t="shared" si="23"/>
        <v>0</v>
      </c>
      <c r="E50" s="12"/>
      <c r="F50" s="47">
        <f t="shared" si="30"/>
        <v>0</v>
      </c>
      <c r="G50" s="374"/>
      <c r="H50" s="13"/>
      <c r="I50" s="48">
        <f t="shared" si="24"/>
        <v>0</v>
      </c>
      <c r="J50" s="47">
        <f t="shared" si="31"/>
        <v>0</v>
      </c>
      <c r="K50" s="47">
        <f t="shared" si="32"/>
        <v>0</v>
      </c>
      <c r="L50" s="371"/>
      <c r="N50" s="66">
        <f t="shared" si="19"/>
        <v>0</v>
      </c>
      <c r="O50" s="67">
        <f t="shared" si="20"/>
        <v>0</v>
      </c>
      <c r="P50" s="68">
        <f t="shared" si="25"/>
        <v>0</v>
      </c>
      <c r="Q50" s="68">
        <f t="shared" si="26"/>
        <v>0</v>
      </c>
      <c r="R50" s="69">
        <f t="shared" si="27"/>
        <v>0</v>
      </c>
      <c r="T50" s="70" t="str">
        <f>IFERROR(VLOOKUP(A50,VLOOKUPS!$A$3:$D$31,2,0),"Ander")</f>
        <v>Ander</v>
      </c>
      <c r="U50" s="71">
        <f t="shared" si="28"/>
        <v>0</v>
      </c>
      <c r="V50" s="71">
        <f t="shared" si="29"/>
        <v>0</v>
      </c>
    </row>
    <row r="51" spans="1:22" ht="15.75" thickBot="1" x14ac:dyDescent="0.3">
      <c r="A51" s="14"/>
      <c r="B51" s="15"/>
      <c r="C51" s="16"/>
      <c r="D51" s="49">
        <f t="shared" si="23"/>
        <v>0</v>
      </c>
      <c r="E51" s="17"/>
      <c r="F51" s="50">
        <f t="shared" si="30"/>
        <v>0</v>
      </c>
      <c r="G51" s="375"/>
      <c r="H51" s="18"/>
      <c r="I51" s="51">
        <f t="shared" si="24"/>
        <v>0</v>
      </c>
      <c r="J51" s="50">
        <f t="shared" si="31"/>
        <v>0</v>
      </c>
      <c r="K51" s="50">
        <f t="shared" si="32"/>
        <v>0</v>
      </c>
      <c r="L51" s="372"/>
      <c r="N51" s="66">
        <f t="shared" si="19"/>
        <v>0</v>
      </c>
      <c r="O51" s="67">
        <f t="shared" si="20"/>
        <v>0</v>
      </c>
      <c r="P51" s="68">
        <f t="shared" si="25"/>
        <v>0</v>
      </c>
      <c r="Q51" s="68">
        <f t="shared" si="26"/>
        <v>0</v>
      </c>
      <c r="R51" s="69">
        <f t="shared" si="27"/>
        <v>0</v>
      </c>
      <c r="T51" s="70" t="str">
        <f>IFERROR(VLOOKUP(A51,VLOOKUPS!$A$3:$D$31,2,0),"Ander")</f>
        <v>Ander</v>
      </c>
      <c r="U51" s="71">
        <f t="shared" si="28"/>
        <v>0</v>
      </c>
      <c r="V51" s="71">
        <f t="shared" si="29"/>
        <v>0</v>
      </c>
    </row>
    <row r="52" spans="1:22" ht="15.75" thickBot="1" x14ac:dyDescent="0.3">
      <c r="N52" s="66"/>
      <c r="O52" s="67"/>
      <c r="P52" s="68"/>
      <c r="Q52" s="68"/>
      <c r="R52" s="69"/>
      <c r="U52" s="72">
        <f>SUM(U44:U51)</f>
        <v>0</v>
      </c>
      <c r="V52" s="72">
        <f>SUM(V44:V51)</f>
        <v>18384</v>
      </c>
    </row>
    <row r="53" spans="1:22" ht="18.75" thickTop="1" thickBot="1" x14ac:dyDescent="0.3">
      <c r="A53" s="412" t="s">
        <v>64</v>
      </c>
      <c r="B53" s="413"/>
      <c r="C53" s="413"/>
      <c r="D53" s="413"/>
      <c r="E53" s="413"/>
      <c r="F53" s="413"/>
      <c r="G53" s="413"/>
      <c r="H53" s="413"/>
      <c r="I53" s="413"/>
      <c r="J53" s="413"/>
      <c r="K53" s="413"/>
      <c r="L53" s="414"/>
      <c r="N53" s="66"/>
      <c r="O53" s="67"/>
      <c r="P53" s="68"/>
      <c r="Q53" s="68"/>
      <c r="R53" s="69"/>
      <c r="U53" s="71"/>
      <c r="V53" s="71"/>
    </row>
    <row r="54" spans="1:22" ht="43.5" thickBot="1" x14ac:dyDescent="0.3">
      <c r="A54" s="37" t="s">
        <v>1</v>
      </c>
      <c r="B54" s="38" t="s">
        <v>62</v>
      </c>
      <c r="C54" s="39" t="s">
        <v>2</v>
      </c>
      <c r="D54" s="40" t="s">
        <v>93</v>
      </c>
      <c r="E54" s="39" t="s">
        <v>61</v>
      </c>
      <c r="F54" s="40" t="s">
        <v>94</v>
      </c>
      <c r="G54" s="41" t="s">
        <v>60</v>
      </c>
      <c r="H54" s="39" t="s">
        <v>59</v>
      </c>
      <c r="I54" s="103" t="s">
        <v>56</v>
      </c>
      <c r="J54" s="40" t="s">
        <v>57</v>
      </c>
      <c r="K54" s="40" t="s">
        <v>58</v>
      </c>
      <c r="L54" s="42" t="s">
        <v>0</v>
      </c>
      <c r="N54" s="66"/>
      <c r="O54" s="67"/>
      <c r="P54" s="68"/>
      <c r="Q54" s="68"/>
      <c r="R54" s="69"/>
      <c r="U54" s="71"/>
      <c r="V54" s="71"/>
    </row>
    <row r="55" spans="1:22" x14ac:dyDescent="0.25">
      <c r="A55" s="4" t="s">
        <v>1</v>
      </c>
      <c r="B55" s="5">
        <v>2</v>
      </c>
      <c r="C55" s="6">
        <v>1</v>
      </c>
      <c r="D55" s="43">
        <f>+L18*B55*C55</f>
        <v>100</v>
      </c>
      <c r="E55" s="7">
        <v>69</v>
      </c>
      <c r="F55" s="44">
        <f>+B55*C55*E55</f>
        <v>138</v>
      </c>
      <c r="G55" s="373">
        <f>SUM(F55:F64)</f>
        <v>313.20000000000005</v>
      </c>
      <c r="H55" s="8">
        <v>20</v>
      </c>
      <c r="I55" s="45">
        <f t="shared" ref="I55:I64" si="33">+IFERROR(ROUNDUP(D55/H55,0),0)</f>
        <v>5</v>
      </c>
      <c r="J55" s="44">
        <f>+E55*H55</f>
        <v>1380</v>
      </c>
      <c r="K55" s="44">
        <f>+I55*J55</f>
        <v>6900</v>
      </c>
      <c r="L55" s="370">
        <f>SUM(K55:K64)</f>
        <v>17620</v>
      </c>
      <c r="N55" s="66">
        <f t="shared" si="19"/>
        <v>50</v>
      </c>
      <c r="O55" s="67">
        <f t="shared" si="20"/>
        <v>50</v>
      </c>
      <c r="P55" s="68">
        <f t="shared" ref="P55:P64" si="34">+IFERROR(K55/N55,0)</f>
        <v>138</v>
      </c>
      <c r="Q55" s="68">
        <f t="shared" ref="Q55:Q64" si="35">+IFERROR(K55/O55,0)</f>
        <v>138</v>
      </c>
      <c r="R55" s="69">
        <f t="shared" ref="R55:R64" si="36">+B55*C55*E55</f>
        <v>138</v>
      </c>
      <c r="T55" s="70" t="str">
        <f>IFERROR(VLOOKUP(A55,VLOOKUPS!$A$3:$D$31,2,0),"Ander")</f>
        <v>Ander</v>
      </c>
      <c r="U55" s="71">
        <f t="shared" ref="U55:U64" si="37">IF(T55="Syngenta",K55,0)</f>
        <v>0</v>
      </c>
      <c r="V55" s="71">
        <f t="shared" ref="V55:V64" si="38">IF(T55="Ander",K55,0)</f>
        <v>6900</v>
      </c>
    </row>
    <row r="56" spans="1:22" x14ac:dyDescent="0.25">
      <c r="A56" s="9" t="s">
        <v>1</v>
      </c>
      <c r="B56" s="10">
        <v>0.6</v>
      </c>
      <c r="C56" s="11">
        <f>+C55</f>
        <v>1</v>
      </c>
      <c r="D56" s="46">
        <f>+L18*B56*C56</f>
        <v>30</v>
      </c>
      <c r="E56" s="12">
        <v>148</v>
      </c>
      <c r="F56" s="47">
        <f t="shared" ref="F56:F64" si="39">+B56*C56*E56</f>
        <v>88.8</v>
      </c>
      <c r="G56" s="374"/>
      <c r="H56" s="13">
        <v>20</v>
      </c>
      <c r="I56" s="48">
        <f t="shared" si="33"/>
        <v>2</v>
      </c>
      <c r="J56" s="47">
        <f t="shared" ref="J56:J64" si="40">+E56*H56</f>
        <v>2960</v>
      </c>
      <c r="K56" s="47">
        <f t="shared" ref="K56:K64" si="41">+I56*J56</f>
        <v>5920</v>
      </c>
      <c r="L56" s="371"/>
      <c r="N56" s="66">
        <f t="shared" si="19"/>
        <v>66.666666666666671</v>
      </c>
      <c r="O56" s="67">
        <f t="shared" si="20"/>
        <v>50</v>
      </c>
      <c r="P56" s="68">
        <f t="shared" si="34"/>
        <v>88.8</v>
      </c>
      <c r="Q56" s="68">
        <f t="shared" si="35"/>
        <v>118.4</v>
      </c>
      <c r="R56" s="69">
        <f t="shared" si="36"/>
        <v>88.8</v>
      </c>
      <c r="T56" s="70" t="str">
        <f>IFERROR(VLOOKUP(A56,VLOOKUPS!$A$3:$D$31,2,0),"Ander")</f>
        <v>Ander</v>
      </c>
      <c r="U56" s="71">
        <f t="shared" si="37"/>
        <v>0</v>
      </c>
      <c r="V56" s="71">
        <f t="shared" si="38"/>
        <v>5920</v>
      </c>
    </row>
    <row r="57" spans="1:22" x14ac:dyDescent="0.25">
      <c r="A57" s="9" t="s">
        <v>1</v>
      </c>
      <c r="B57" s="10">
        <v>1.8</v>
      </c>
      <c r="C57" s="11">
        <v>1</v>
      </c>
      <c r="D57" s="46">
        <f>L18*B57*C57</f>
        <v>90</v>
      </c>
      <c r="E57" s="12">
        <v>48</v>
      </c>
      <c r="F57" s="47">
        <f t="shared" si="39"/>
        <v>86.4</v>
      </c>
      <c r="G57" s="374"/>
      <c r="H57" s="13">
        <v>25</v>
      </c>
      <c r="I57" s="48">
        <f t="shared" si="33"/>
        <v>4</v>
      </c>
      <c r="J57" s="47">
        <f t="shared" si="40"/>
        <v>1200</v>
      </c>
      <c r="K57" s="47">
        <f t="shared" si="41"/>
        <v>4800</v>
      </c>
      <c r="L57" s="371"/>
      <c r="N57" s="66">
        <f t="shared" si="19"/>
        <v>55.555555555555557</v>
      </c>
      <c r="O57" s="67">
        <f t="shared" si="20"/>
        <v>50</v>
      </c>
      <c r="P57" s="68">
        <f t="shared" si="34"/>
        <v>86.399999999999991</v>
      </c>
      <c r="Q57" s="68">
        <f t="shared" si="35"/>
        <v>96</v>
      </c>
      <c r="R57" s="69">
        <f t="shared" si="36"/>
        <v>86.4</v>
      </c>
      <c r="T57" s="70" t="str">
        <f>IFERROR(VLOOKUP(A57,VLOOKUPS!$A$3:$D$31,2,0),"Ander")</f>
        <v>Ander</v>
      </c>
      <c r="U57" s="71">
        <f t="shared" si="37"/>
        <v>0</v>
      </c>
      <c r="V57" s="71">
        <f t="shared" si="38"/>
        <v>4800</v>
      </c>
    </row>
    <row r="58" spans="1:22" x14ac:dyDescent="0.25">
      <c r="A58" s="9"/>
      <c r="B58" s="10"/>
      <c r="C58" s="11"/>
      <c r="D58" s="46">
        <f>L18*B58*C58</f>
        <v>0</v>
      </c>
      <c r="E58" s="12"/>
      <c r="F58" s="47">
        <f t="shared" si="39"/>
        <v>0</v>
      </c>
      <c r="G58" s="374"/>
      <c r="H58" s="13"/>
      <c r="I58" s="48">
        <f t="shared" si="33"/>
        <v>0</v>
      </c>
      <c r="J58" s="47">
        <f t="shared" si="40"/>
        <v>0</v>
      </c>
      <c r="K58" s="47">
        <f t="shared" si="41"/>
        <v>0</v>
      </c>
      <c r="L58" s="371"/>
      <c r="N58" s="66"/>
      <c r="O58" s="67"/>
      <c r="P58" s="68"/>
      <c r="Q58" s="68"/>
      <c r="R58" s="69"/>
      <c r="T58" s="70" t="str">
        <f>IFERROR(VLOOKUP(A58,VLOOKUPS!$A$3:$D$31,2,0),"Ander")</f>
        <v>Ander</v>
      </c>
      <c r="U58" s="71">
        <f t="shared" si="37"/>
        <v>0</v>
      </c>
      <c r="V58" s="71">
        <f t="shared" si="38"/>
        <v>0</v>
      </c>
    </row>
    <row r="59" spans="1:22" x14ac:dyDescent="0.25">
      <c r="A59" s="9"/>
      <c r="B59" s="10"/>
      <c r="C59" s="11"/>
      <c r="D59" s="46">
        <f>L18*B59*C59</f>
        <v>0</v>
      </c>
      <c r="E59" s="12"/>
      <c r="F59" s="47">
        <f t="shared" si="39"/>
        <v>0</v>
      </c>
      <c r="G59" s="374"/>
      <c r="H59" s="13"/>
      <c r="I59" s="48">
        <f t="shared" si="33"/>
        <v>0</v>
      </c>
      <c r="J59" s="47">
        <f t="shared" si="40"/>
        <v>0</v>
      </c>
      <c r="K59" s="47">
        <f t="shared" si="41"/>
        <v>0</v>
      </c>
      <c r="L59" s="371"/>
      <c r="N59" s="66"/>
      <c r="O59" s="67"/>
      <c r="P59" s="68"/>
      <c r="Q59" s="68"/>
      <c r="R59" s="69"/>
      <c r="T59" s="70" t="str">
        <f>IFERROR(VLOOKUP(A59,VLOOKUPS!$A$3:$D$31,2,0),"Ander")</f>
        <v>Ander</v>
      </c>
      <c r="U59" s="71">
        <f t="shared" si="37"/>
        <v>0</v>
      </c>
      <c r="V59" s="71">
        <f t="shared" si="38"/>
        <v>0</v>
      </c>
    </row>
    <row r="60" spans="1:22" x14ac:dyDescent="0.25">
      <c r="A60" s="9"/>
      <c r="B60" s="10"/>
      <c r="C60" s="11"/>
      <c r="D60" s="46">
        <f t="shared" ref="D60:D61" si="42">L19*B60*C60</f>
        <v>0</v>
      </c>
      <c r="E60" s="12"/>
      <c r="F60" s="47">
        <f t="shared" si="39"/>
        <v>0</v>
      </c>
      <c r="G60" s="374"/>
      <c r="H60" s="13"/>
      <c r="I60" s="48">
        <f t="shared" si="33"/>
        <v>0</v>
      </c>
      <c r="J60" s="47">
        <f t="shared" si="40"/>
        <v>0</v>
      </c>
      <c r="K60" s="47">
        <f t="shared" si="41"/>
        <v>0</v>
      </c>
      <c r="L60" s="371"/>
      <c r="N60" s="66"/>
      <c r="O60" s="67"/>
      <c r="P60" s="68"/>
      <c r="Q60" s="68"/>
      <c r="R60" s="69"/>
      <c r="T60" s="70" t="str">
        <f>IFERROR(VLOOKUP(A60,VLOOKUPS!$A$3:$D$31,2,0),"Ander")</f>
        <v>Ander</v>
      </c>
      <c r="U60" s="71">
        <f t="shared" si="37"/>
        <v>0</v>
      </c>
      <c r="V60" s="71">
        <f t="shared" si="38"/>
        <v>0</v>
      </c>
    </row>
    <row r="61" spans="1:22" x14ac:dyDescent="0.25">
      <c r="A61" s="9"/>
      <c r="B61" s="10"/>
      <c r="C61" s="11"/>
      <c r="D61" s="46">
        <f t="shared" si="42"/>
        <v>0</v>
      </c>
      <c r="E61" s="12"/>
      <c r="F61" s="47">
        <f t="shared" si="39"/>
        <v>0</v>
      </c>
      <c r="G61" s="374"/>
      <c r="H61" s="13"/>
      <c r="I61" s="48">
        <f t="shared" si="33"/>
        <v>0</v>
      </c>
      <c r="J61" s="47">
        <f t="shared" si="40"/>
        <v>0</v>
      </c>
      <c r="K61" s="47">
        <f t="shared" si="41"/>
        <v>0</v>
      </c>
      <c r="L61" s="371"/>
      <c r="N61" s="66"/>
      <c r="O61" s="67"/>
      <c r="P61" s="68"/>
      <c r="Q61" s="68"/>
      <c r="R61" s="69"/>
      <c r="T61" s="70" t="str">
        <f>IFERROR(VLOOKUP(A61,VLOOKUPS!$A$3:$D$31,2,0),"Ander")</f>
        <v>Ander</v>
      </c>
      <c r="U61" s="71">
        <f t="shared" si="37"/>
        <v>0</v>
      </c>
      <c r="V61" s="71">
        <f t="shared" si="38"/>
        <v>0</v>
      </c>
    </row>
    <row r="62" spans="1:22" x14ac:dyDescent="0.25">
      <c r="A62" s="9"/>
      <c r="B62" s="10"/>
      <c r="C62" s="11"/>
      <c r="D62" s="46">
        <f>L18*B62*C62</f>
        <v>0</v>
      </c>
      <c r="E62" s="12"/>
      <c r="F62" s="47">
        <f t="shared" si="39"/>
        <v>0</v>
      </c>
      <c r="G62" s="374"/>
      <c r="H62" s="13"/>
      <c r="I62" s="48">
        <f t="shared" si="33"/>
        <v>0</v>
      </c>
      <c r="J62" s="47">
        <f t="shared" si="40"/>
        <v>0</v>
      </c>
      <c r="K62" s="47">
        <f t="shared" si="41"/>
        <v>0</v>
      </c>
      <c r="L62" s="371"/>
      <c r="N62" s="66">
        <f t="shared" si="19"/>
        <v>0</v>
      </c>
      <c r="O62" s="67">
        <f t="shared" si="20"/>
        <v>0</v>
      </c>
      <c r="P62" s="68">
        <f t="shared" si="34"/>
        <v>0</v>
      </c>
      <c r="Q62" s="68">
        <f t="shared" si="35"/>
        <v>0</v>
      </c>
      <c r="R62" s="69">
        <f t="shared" si="36"/>
        <v>0</v>
      </c>
      <c r="T62" s="70" t="str">
        <f>IFERROR(VLOOKUP(A62,VLOOKUPS!$A$3:$D$31,2,0),"Ander")</f>
        <v>Ander</v>
      </c>
      <c r="U62" s="71">
        <f t="shared" si="37"/>
        <v>0</v>
      </c>
      <c r="V62" s="71">
        <f t="shared" si="38"/>
        <v>0</v>
      </c>
    </row>
    <row r="63" spans="1:22" x14ac:dyDescent="0.25">
      <c r="A63" s="9"/>
      <c r="B63" s="10"/>
      <c r="C63" s="11"/>
      <c r="D63" s="46">
        <f>L18*B63*C63</f>
        <v>0</v>
      </c>
      <c r="E63" s="12"/>
      <c r="F63" s="47">
        <f t="shared" si="39"/>
        <v>0</v>
      </c>
      <c r="G63" s="374"/>
      <c r="H63" s="13"/>
      <c r="I63" s="48">
        <f t="shared" si="33"/>
        <v>0</v>
      </c>
      <c r="J63" s="47">
        <f t="shared" si="40"/>
        <v>0</v>
      </c>
      <c r="K63" s="47">
        <f t="shared" si="41"/>
        <v>0</v>
      </c>
      <c r="L63" s="371"/>
      <c r="N63" s="66">
        <f t="shared" si="19"/>
        <v>0</v>
      </c>
      <c r="O63" s="67">
        <f t="shared" si="20"/>
        <v>0</v>
      </c>
      <c r="P63" s="68">
        <f t="shared" si="34"/>
        <v>0</v>
      </c>
      <c r="Q63" s="68">
        <f t="shared" si="35"/>
        <v>0</v>
      </c>
      <c r="R63" s="69">
        <f t="shared" si="36"/>
        <v>0</v>
      </c>
      <c r="T63" s="70" t="str">
        <f>IFERROR(VLOOKUP(A63,VLOOKUPS!$A$3:$D$31,2,0),"Ander")</f>
        <v>Ander</v>
      </c>
      <c r="U63" s="71">
        <f t="shared" si="37"/>
        <v>0</v>
      </c>
      <c r="V63" s="71">
        <f t="shared" si="38"/>
        <v>0</v>
      </c>
    </row>
    <row r="64" spans="1:22" ht="15.75" thickBot="1" x14ac:dyDescent="0.3">
      <c r="A64" s="14"/>
      <c r="B64" s="15"/>
      <c r="C64" s="16"/>
      <c r="D64" s="49">
        <f>L18*B64*C64</f>
        <v>0</v>
      </c>
      <c r="E64" s="17"/>
      <c r="F64" s="50">
        <f t="shared" si="39"/>
        <v>0</v>
      </c>
      <c r="G64" s="375"/>
      <c r="H64" s="18"/>
      <c r="I64" s="51">
        <f t="shared" si="33"/>
        <v>0</v>
      </c>
      <c r="J64" s="50">
        <f t="shared" si="40"/>
        <v>0</v>
      </c>
      <c r="K64" s="50">
        <f t="shared" si="41"/>
        <v>0</v>
      </c>
      <c r="L64" s="372"/>
      <c r="N64" s="66">
        <f t="shared" si="19"/>
        <v>0</v>
      </c>
      <c r="O64" s="67">
        <f t="shared" si="20"/>
        <v>0</v>
      </c>
      <c r="P64" s="68">
        <f t="shared" si="34"/>
        <v>0</v>
      </c>
      <c r="Q64" s="68">
        <f t="shared" si="35"/>
        <v>0</v>
      </c>
      <c r="R64" s="69">
        <f t="shared" si="36"/>
        <v>0</v>
      </c>
      <c r="T64" s="70" t="str">
        <f>IFERROR(VLOOKUP(A64,VLOOKUPS!$A$3:$D$31,2,0),"Ander")</f>
        <v>Ander</v>
      </c>
      <c r="U64" s="71">
        <f t="shared" si="37"/>
        <v>0</v>
      </c>
      <c r="V64" s="71">
        <f t="shared" si="38"/>
        <v>0</v>
      </c>
    </row>
    <row r="65" spans="1:22" ht="15.75" thickBot="1" x14ac:dyDescent="0.3">
      <c r="N65" s="66"/>
      <c r="O65" s="67"/>
      <c r="P65" s="68"/>
      <c r="Q65" s="68"/>
      <c r="R65" s="69"/>
      <c r="U65" s="72">
        <f>SUM(U55:U64)</f>
        <v>0</v>
      </c>
      <c r="V65" s="72">
        <f>SUM(V55:V64)</f>
        <v>17620</v>
      </c>
    </row>
    <row r="66" spans="1:22" ht="18.75" thickTop="1" thickBot="1" x14ac:dyDescent="0.35">
      <c r="A66" s="409" t="s">
        <v>67</v>
      </c>
      <c r="B66" s="410"/>
      <c r="C66" s="410"/>
      <c r="D66" s="410"/>
      <c r="E66" s="410"/>
      <c r="F66" s="410"/>
      <c r="G66" s="410"/>
      <c r="H66" s="410"/>
      <c r="I66" s="410"/>
      <c r="J66" s="410"/>
      <c r="K66" s="410"/>
      <c r="L66" s="411"/>
      <c r="N66" s="66"/>
      <c r="O66" s="67"/>
      <c r="P66" s="68"/>
      <c r="Q66" s="68"/>
      <c r="R66" s="69"/>
      <c r="U66" s="71"/>
      <c r="V66" s="71"/>
    </row>
    <row r="67" spans="1:22" ht="43.5" thickBot="1" x14ac:dyDescent="0.3">
      <c r="A67" s="37" t="s">
        <v>1</v>
      </c>
      <c r="B67" s="38" t="s">
        <v>62</v>
      </c>
      <c r="C67" s="39" t="s">
        <v>2</v>
      </c>
      <c r="D67" s="40" t="s">
        <v>93</v>
      </c>
      <c r="E67" s="39" t="s">
        <v>61</v>
      </c>
      <c r="F67" s="40" t="s">
        <v>94</v>
      </c>
      <c r="G67" s="41" t="s">
        <v>60</v>
      </c>
      <c r="H67" s="39" t="s">
        <v>59</v>
      </c>
      <c r="I67" s="103" t="s">
        <v>56</v>
      </c>
      <c r="J67" s="40" t="s">
        <v>57</v>
      </c>
      <c r="K67" s="40" t="s">
        <v>58</v>
      </c>
      <c r="L67" s="42" t="s">
        <v>0</v>
      </c>
      <c r="N67" s="66"/>
      <c r="O67" s="67"/>
      <c r="P67" s="68"/>
      <c r="Q67" s="68"/>
      <c r="R67" s="69"/>
      <c r="U67" s="71"/>
      <c r="V67" s="71"/>
    </row>
    <row r="68" spans="1:22" x14ac:dyDescent="0.25">
      <c r="A68" s="4" t="s">
        <v>1</v>
      </c>
      <c r="B68" s="5">
        <v>0.5</v>
      </c>
      <c r="C68" s="6">
        <v>1</v>
      </c>
      <c r="D68" s="43">
        <f>+L18*B68*C68</f>
        <v>25</v>
      </c>
      <c r="E68" s="7">
        <v>250</v>
      </c>
      <c r="F68" s="44">
        <f>+B68*C68*E68</f>
        <v>125</v>
      </c>
      <c r="G68" s="373">
        <f>SUM(F68:F71)</f>
        <v>125</v>
      </c>
      <c r="H68" s="8">
        <v>5</v>
      </c>
      <c r="I68" s="45">
        <f t="shared" ref="I68:I71" si="43">+IFERROR(ROUNDUP(D68/H68,0),0)</f>
        <v>5</v>
      </c>
      <c r="J68" s="44">
        <f>+E68*H68</f>
        <v>1250</v>
      </c>
      <c r="K68" s="44">
        <f>+I68*J68</f>
        <v>6250</v>
      </c>
      <c r="L68" s="370">
        <f>SUM(K68:K71)</f>
        <v>6250</v>
      </c>
      <c r="N68" s="66">
        <f t="shared" si="19"/>
        <v>50</v>
      </c>
      <c r="O68" s="67">
        <f t="shared" si="20"/>
        <v>50</v>
      </c>
      <c r="P68" s="68">
        <f t="shared" ref="P68:P71" si="44">+IFERROR(K68/N68,0)</f>
        <v>125</v>
      </c>
      <c r="Q68" s="68">
        <f t="shared" ref="Q68:Q71" si="45">+IFERROR(K68/O68,0)</f>
        <v>125</v>
      </c>
      <c r="R68" s="69">
        <f t="shared" ref="R68:R71" si="46">+B68*C68*E68</f>
        <v>125</v>
      </c>
      <c r="T68" s="70" t="str">
        <f>IFERROR(VLOOKUP(A68,VLOOKUPS!$A$3:$D$31,2,0),"Ander")</f>
        <v>Ander</v>
      </c>
      <c r="U68" s="71">
        <f t="shared" ref="U68:U71" si="47">IF(T68="Syngenta",K68,0)</f>
        <v>0</v>
      </c>
      <c r="V68" s="71">
        <f t="shared" ref="V68:V71" si="48">IF(T68="Ander",K68,0)</f>
        <v>6250</v>
      </c>
    </row>
    <row r="69" spans="1:22" x14ac:dyDescent="0.25">
      <c r="A69" s="9"/>
      <c r="B69" s="10"/>
      <c r="C69" s="11"/>
      <c r="D69" s="46">
        <f>+L18*B69*C69</f>
        <v>0</v>
      </c>
      <c r="E69" s="12"/>
      <c r="F69" s="47">
        <f t="shared" ref="F69:F71" si="49">+B69*C69*E69</f>
        <v>0</v>
      </c>
      <c r="G69" s="374"/>
      <c r="H69" s="13"/>
      <c r="I69" s="48">
        <f t="shared" si="43"/>
        <v>0</v>
      </c>
      <c r="J69" s="47">
        <f t="shared" ref="J69:J71" si="50">+E69*H69</f>
        <v>0</v>
      </c>
      <c r="K69" s="47">
        <f t="shared" ref="K69:K71" si="51">+I69*J69</f>
        <v>0</v>
      </c>
      <c r="L69" s="371"/>
      <c r="N69" s="66">
        <f t="shared" si="19"/>
        <v>0</v>
      </c>
      <c r="O69" s="67">
        <f t="shared" si="20"/>
        <v>0</v>
      </c>
      <c r="P69" s="68">
        <f t="shared" si="44"/>
        <v>0</v>
      </c>
      <c r="Q69" s="68">
        <f t="shared" si="45"/>
        <v>0</v>
      </c>
      <c r="R69" s="69">
        <f t="shared" si="46"/>
        <v>0</v>
      </c>
      <c r="T69" s="70" t="str">
        <f>IFERROR(VLOOKUP(A69,VLOOKUPS!$A$3:$D$31,2,0),"Ander")</f>
        <v>Ander</v>
      </c>
      <c r="U69" s="71">
        <f t="shared" si="47"/>
        <v>0</v>
      </c>
      <c r="V69" s="71">
        <f t="shared" si="48"/>
        <v>0</v>
      </c>
    </row>
    <row r="70" spans="1:22" x14ac:dyDescent="0.25">
      <c r="A70" s="9"/>
      <c r="B70" s="10"/>
      <c r="C70" s="11"/>
      <c r="D70" s="46">
        <f>L18*B70*C70</f>
        <v>0</v>
      </c>
      <c r="E70" s="12"/>
      <c r="F70" s="47">
        <f t="shared" si="49"/>
        <v>0</v>
      </c>
      <c r="G70" s="374"/>
      <c r="H70" s="13"/>
      <c r="I70" s="48">
        <f t="shared" si="43"/>
        <v>0</v>
      </c>
      <c r="J70" s="47">
        <f t="shared" si="50"/>
        <v>0</v>
      </c>
      <c r="K70" s="47">
        <f t="shared" si="51"/>
        <v>0</v>
      </c>
      <c r="L70" s="371"/>
      <c r="N70" s="66">
        <f t="shared" si="19"/>
        <v>0</v>
      </c>
      <c r="O70" s="67">
        <f t="shared" si="20"/>
        <v>0</v>
      </c>
      <c r="P70" s="68">
        <f t="shared" si="44"/>
        <v>0</v>
      </c>
      <c r="Q70" s="68">
        <f t="shared" si="45"/>
        <v>0</v>
      </c>
      <c r="R70" s="69">
        <f t="shared" si="46"/>
        <v>0</v>
      </c>
      <c r="T70" s="70" t="str">
        <f>IFERROR(VLOOKUP(A70,VLOOKUPS!$A$3:$D$31,2,0),"Ander")</f>
        <v>Ander</v>
      </c>
      <c r="U70" s="71">
        <f t="shared" si="47"/>
        <v>0</v>
      </c>
      <c r="V70" s="71">
        <f t="shared" si="48"/>
        <v>0</v>
      </c>
    </row>
    <row r="71" spans="1:22" ht="15.75" thickBot="1" x14ac:dyDescent="0.3">
      <c r="A71" s="14"/>
      <c r="B71" s="15"/>
      <c r="C71" s="16"/>
      <c r="D71" s="49">
        <f>+L18*B71*C71</f>
        <v>0</v>
      </c>
      <c r="E71" s="17"/>
      <c r="F71" s="50">
        <f t="shared" si="49"/>
        <v>0</v>
      </c>
      <c r="G71" s="375"/>
      <c r="H71" s="18"/>
      <c r="I71" s="51">
        <f t="shared" si="43"/>
        <v>0</v>
      </c>
      <c r="J71" s="50">
        <f t="shared" si="50"/>
        <v>0</v>
      </c>
      <c r="K71" s="50">
        <f t="shared" si="51"/>
        <v>0</v>
      </c>
      <c r="L71" s="372"/>
      <c r="N71" s="66">
        <f t="shared" si="19"/>
        <v>0</v>
      </c>
      <c r="O71" s="67">
        <f t="shared" si="20"/>
        <v>0</v>
      </c>
      <c r="P71" s="68">
        <f t="shared" si="44"/>
        <v>0</v>
      </c>
      <c r="Q71" s="68">
        <f t="shared" si="45"/>
        <v>0</v>
      </c>
      <c r="R71" s="69">
        <f t="shared" si="46"/>
        <v>0</v>
      </c>
      <c r="T71" s="70" t="str">
        <f>IFERROR(VLOOKUP(A71,VLOOKUPS!$A$3:$D$31,2,0),"Ander")</f>
        <v>Ander</v>
      </c>
      <c r="U71" s="71">
        <f t="shared" si="47"/>
        <v>0</v>
      </c>
      <c r="V71" s="71">
        <f t="shared" si="48"/>
        <v>0</v>
      </c>
    </row>
    <row r="72" spans="1:22" ht="15.75" thickBot="1" x14ac:dyDescent="0.3">
      <c r="U72" s="72">
        <f>SUM(U68:U71)</f>
        <v>0</v>
      </c>
      <c r="V72" s="72">
        <f>SUM(V68:V71)</f>
        <v>6250</v>
      </c>
    </row>
    <row r="73" spans="1:22" ht="15.75" thickTop="1" x14ac:dyDescent="0.25">
      <c r="U73" s="73"/>
      <c r="V73" s="73"/>
    </row>
    <row r="74" spans="1:22" ht="15" customHeight="1" thickBot="1" x14ac:dyDescent="0.3">
      <c r="B74" s="395" t="s">
        <v>89</v>
      </c>
      <c r="C74" s="396"/>
      <c r="D74" s="396"/>
      <c r="E74" s="396"/>
      <c r="F74" s="396"/>
      <c r="G74" s="396"/>
      <c r="H74" s="396"/>
      <c r="I74" s="396"/>
      <c r="J74" s="396"/>
      <c r="K74" s="397"/>
    </row>
    <row r="75" spans="1:22" ht="15.75" thickBot="1" x14ac:dyDescent="0.3">
      <c r="B75" s="398"/>
      <c r="C75" s="399"/>
      <c r="D75" s="399"/>
      <c r="E75" s="399"/>
      <c r="F75" s="399"/>
      <c r="G75" s="399"/>
      <c r="H75" s="399"/>
      <c r="I75" s="399"/>
      <c r="J75" s="399"/>
      <c r="K75" s="400"/>
      <c r="T75" s="74" t="s">
        <v>76</v>
      </c>
      <c r="U75" s="105">
        <f>U72+U65+U52+U41+U30</f>
        <v>0</v>
      </c>
      <c r="V75" s="106">
        <f>V72+V65+V52+V41+V30</f>
        <v>56574</v>
      </c>
    </row>
    <row r="76" spans="1:22" x14ac:dyDescent="0.25">
      <c r="B76" s="36"/>
      <c r="C76" s="111"/>
      <c r="D76" s="111"/>
      <c r="E76" s="111"/>
      <c r="F76" s="111"/>
      <c r="T76" s="27" t="s">
        <v>77</v>
      </c>
      <c r="U76" s="75">
        <f>V75+U75-L14</f>
        <v>0</v>
      </c>
    </row>
    <row r="77" spans="1:22" x14ac:dyDescent="0.25">
      <c r="B77" s="36"/>
      <c r="C77" s="111"/>
      <c r="D77" s="111"/>
      <c r="E77" s="111"/>
      <c r="F77" s="111"/>
    </row>
    <row r="78" spans="1:22" x14ac:dyDescent="0.25">
      <c r="B78" s="36"/>
      <c r="C78" s="111"/>
      <c r="D78" s="111"/>
      <c r="E78" s="111"/>
      <c r="F78" s="111"/>
    </row>
  </sheetData>
  <sheetProtection selectLockedCells="1"/>
  <mergeCells count="48">
    <mergeCell ref="B74:K75"/>
    <mergeCell ref="G33:G40"/>
    <mergeCell ref="L33:L40"/>
    <mergeCell ref="A42:L42"/>
    <mergeCell ref="G44:G51"/>
    <mergeCell ref="L44:L51"/>
    <mergeCell ref="A53:L53"/>
    <mergeCell ref="G55:G64"/>
    <mergeCell ref="L55:L64"/>
    <mergeCell ref="A66:L66"/>
    <mergeCell ref="G68:G71"/>
    <mergeCell ref="L68:L71"/>
    <mergeCell ref="A31:L31"/>
    <mergeCell ref="B16:C16"/>
    <mergeCell ref="G16:H16"/>
    <mergeCell ref="J16:K16"/>
    <mergeCell ref="B18:C18"/>
    <mergeCell ref="G18:H18"/>
    <mergeCell ref="J18:K18"/>
    <mergeCell ref="A20:L20"/>
    <mergeCell ref="G21:H22"/>
    <mergeCell ref="I21:I22"/>
    <mergeCell ref="G24:G29"/>
    <mergeCell ref="L24:L29"/>
    <mergeCell ref="B14:C14"/>
    <mergeCell ref="G14:H14"/>
    <mergeCell ref="J14:K14"/>
    <mergeCell ref="B15:C15"/>
    <mergeCell ref="G15:H15"/>
    <mergeCell ref="J15:K15"/>
    <mergeCell ref="B12:C12"/>
    <mergeCell ref="G12:H12"/>
    <mergeCell ref="J12:K12"/>
    <mergeCell ref="B13:C13"/>
    <mergeCell ref="G13:H13"/>
    <mergeCell ref="J13:K13"/>
    <mergeCell ref="B10:C10"/>
    <mergeCell ref="G10:H10"/>
    <mergeCell ref="J10:K10"/>
    <mergeCell ref="B11:C11"/>
    <mergeCell ref="G11:H11"/>
    <mergeCell ref="J11:K11"/>
    <mergeCell ref="A8:C8"/>
    <mergeCell ref="F8:H8"/>
    <mergeCell ref="J8:L8"/>
    <mergeCell ref="B9:C9"/>
    <mergeCell ref="G9:H9"/>
    <mergeCell ref="J9:K9"/>
  </mergeCells>
  <dataValidations count="1">
    <dataValidation allowBlank="1" showInputMessage="1" sqref="A24:A29 A33:A40 A44:A51 A55:A64 A68:A71"/>
  </dataValidations>
  <printOptions horizontalCentered="1" verticalCentered="1"/>
  <pageMargins left="0.26" right="0.28999999999999998" top="0.19" bottom="0.18" header="0" footer="0"/>
  <pageSetup paperSize="9" scale="64"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pageSetUpPr fitToPage="1"/>
  </sheetPr>
  <dimension ref="A1:V78"/>
  <sheetViews>
    <sheetView zoomScaleNormal="100" workbookViewId="0">
      <selection activeCell="J24" sqref="J24"/>
    </sheetView>
  </sheetViews>
  <sheetFormatPr defaultRowHeight="15" x14ac:dyDescent="0.25"/>
  <cols>
    <col min="1" max="1" width="21.140625" style="27" customWidth="1"/>
    <col min="2" max="2" width="9.140625" style="27" customWidth="1"/>
    <col min="3" max="3" width="10.85546875" style="27" customWidth="1"/>
    <col min="4" max="4" width="9.140625" style="27"/>
    <col min="5" max="5" width="11.5703125" style="27" bestFit="1" customWidth="1"/>
    <col min="6" max="7" width="11.5703125" style="27" customWidth="1"/>
    <col min="8" max="8" width="11.28515625" style="27" customWidth="1"/>
    <col min="9" max="9" width="11.140625" style="27" customWidth="1"/>
    <col min="10" max="10" width="12.5703125" style="27" bestFit="1" customWidth="1"/>
    <col min="11" max="11" width="14.140625" style="27" customWidth="1"/>
    <col min="12" max="12" width="14.85546875" style="27" customWidth="1"/>
    <col min="13" max="13" width="9.140625" style="27" customWidth="1"/>
    <col min="14" max="14" width="12.28515625" style="27" hidden="1" customWidth="1"/>
    <col min="15" max="15" width="10.5703125" style="27" hidden="1" customWidth="1"/>
    <col min="16" max="16" width="14.140625" style="27" hidden="1" customWidth="1"/>
    <col min="17" max="17" width="13.42578125" style="27" hidden="1" customWidth="1"/>
    <col min="18" max="18" width="18.42578125" style="27" hidden="1" customWidth="1"/>
    <col min="19" max="19" width="9.140625" style="27" customWidth="1"/>
    <col min="20" max="20" width="12.28515625" style="27" hidden="1" customWidth="1"/>
    <col min="21" max="21" width="10.5703125" style="27" hidden="1" customWidth="1"/>
    <col min="22" max="22" width="9.140625" style="27" hidden="1" customWidth="1"/>
    <col min="23" max="23" width="9.140625" style="27" customWidth="1"/>
    <col min="24" max="16384" width="9.140625" style="27"/>
  </cols>
  <sheetData>
    <row r="1" spans="1:14" s="61" customFormat="1" ht="15" customHeight="1" x14ac:dyDescent="0.25"/>
    <row r="4" spans="1:14" ht="15.75" thickBot="1" x14ac:dyDescent="0.3"/>
    <row r="5" spans="1:14" ht="15.75" thickBot="1" x14ac:dyDescent="0.3">
      <c r="C5" s="76"/>
      <c r="F5" s="117" t="s">
        <v>134</v>
      </c>
      <c r="G5" s="118" t="s">
        <v>125</v>
      </c>
    </row>
    <row r="6" spans="1:14" x14ac:dyDescent="0.25">
      <c r="C6" s="76"/>
    </row>
    <row r="7" spans="1:14" ht="15.75" thickBot="1" x14ac:dyDescent="0.3"/>
    <row r="8" spans="1:14" ht="15.75" thickBot="1" x14ac:dyDescent="0.3">
      <c r="A8" s="404" t="s">
        <v>39</v>
      </c>
      <c r="B8" s="405"/>
      <c r="C8" s="406"/>
      <c r="F8" s="376" t="s">
        <v>48</v>
      </c>
      <c r="G8" s="377"/>
      <c r="H8" s="378"/>
      <c r="J8" s="376" t="s">
        <v>36</v>
      </c>
      <c r="K8" s="377"/>
      <c r="L8" s="378"/>
    </row>
    <row r="9" spans="1:14" x14ac:dyDescent="0.25">
      <c r="A9" s="28" t="s">
        <v>40</v>
      </c>
      <c r="B9" s="407" t="str">
        <f>+'Koring 1 (dont use)'!B9:C9</f>
        <v>Jaque Fourie</v>
      </c>
      <c r="C9" s="408"/>
      <c r="F9" s="28" t="s">
        <v>81</v>
      </c>
      <c r="G9" s="387" t="str">
        <f>+'Koring 1 (dont use)'!G9:H9</f>
        <v>Bakkies Botha</v>
      </c>
      <c r="H9" s="388"/>
      <c r="J9" s="420" t="str">
        <f>+A20</f>
        <v>Saadbehandeling</v>
      </c>
      <c r="K9" s="421"/>
      <c r="L9" s="23">
        <f>+L24</f>
        <v>8500</v>
      </c>
    </row>
    <row r="10" spans="1:14" x14ac:dyDescent="0.25">
      <c r="A10" s="29" t="s">
        <v>47</v>
      </c>
      <c r="B10" s="424" t="str">
        <f>+'Koring 1 (dont use)'!B10:C10</f>
        <v>Japan</v>
      </c>
      <c r="C10" s="425"/>
      <c r="F10" s="29" t="s">
        <v>82</v>
      </c>
      <c r="G10" s="424" t="str">
        <f>+'Koring 1 (dont use)'!G10:H10</f>
        <v xml:space="preserve">Bus 524 </v>
      </c>
      <c r="H10" s="425"/>
      <c r="J10" s="389" t="str">
        <f>+A31</f>
        <v>Voor plant</v>
      </c>
      <c r="K10" s="390"/>
      <c r="L10" s="24">
        <f>+L33</f>
        <v>4180</v>
      </c>
    </row>
    <row r="11" spans="1:14" x14ac:dyDescent="0.25">
      <c r="A11" s="30"/>
      <c r="B11" s="424">
        <f>+'Koring 1 (dont use)'!B11:C11</f>
        <v>0</v>
      </c>
      <c r="C11" s="425"/>
      <c r="F11" s="29" t="s">
        <v>83</v>
      </c>
      <c r="G11" s="424" t="str">
        <f>+'Koring 1 (dont use)'!G11:H11</f>
        <v>Brakfontein</v>
      </c>
      <c r="H11" s="425"/>
      <c r="J11" s="389" t="str">
        <f>+A42</f>
        <v>Voor-opkoms (met plant)</v>
      </c>
      <c r="K11" s="390"/>
      <c r="L11" s="24">
        <f>+L44</f>
        <v>10224</v>
      </c>
    </row>
    <row r="12" spans="1:14" x14ac:dyDescent="0.25">
      <c r="A12" s="29" t="s">
        <v>45</v>
      </c>
      <c r="B12" s="424" t="str">
        <f>+'Koring 1 (dont use)'!B12:C12</f>
        <v>0001</v>
      </c>
      <c r="C12" s="425"/>
      <c r="F12" s="29" t="s">
        <v>84</v>
      </c>
      <c r="G12" s="424" t="str">
        <f>+'Koring 1 (dont use)'!G12:H12</f>
        <v>Humansdorp</v>
      </c>
      <c r="H12" s="425"/>
      <c r="J12" s="389" t="str">
        <f>+A53</f>
        <v>Na-opkoms</v>
      </c>
      <c r="K12" s="390"/>
      <c r="L12" s="24">
        <f>+L55</f>
        <v>9500</v>
      </c>
    </row>
    <row r="13" spans="1:14" x14ac:dyDescent="0.25">
      <c r="A13" s="29" t="s">
        <v>41</v>
      </c>
      <c r="B13" s="424">
        <f>+'Koring 1 (dont use)'!B13:C13</f>
        <v>0</v>
      </c>
      <c r="C13" s="425"/>
      <c r="F13" s="29" t="s">
        <v>85</v>
      </c>
      <c r="G13" s="424" t="str">
        <f>+'Koring 1 (dont use)'!G13:H13</f>
        <v>2587</v>
      </c>
      <c r="H13" s="425"/>
      <c r="J13" s="389" t="str">
        <f>+A66</f>
        <v>Ander</v>
      </c>
      <c r="K13" s="390"/>
      <c r="L13" s="24">
        <f>+L68</f>
        <v>3750</v>
      </c>
    </row>
    <row r="14" spans="1:14" ht="15.75" thickBot="1" x14ac:dyDescent="0.3">
      <c r="A14" s="29" t="s">
        <v>42</v>
      </c>
      <c r="B14" s="424">
        <f>+'Koring 1 (dont use)'!B14:C14</f>
        <v>0</v>
      </c>
      <c r="C14" s="425"/>
      <c r="F14" s="29" t="s">
        <v>86</v>
      </c>
      <c r="G14" s="424" t="str">
        <f>+'Koring 1 (dont use)'!G14:H14</f>
        <v>0112548798</v>
      </c>
      <c r="H14" s="425"/>
      <c r="J14" s="391" t="s">
        <v>55</v>
      </c>
      <c r="K14" s="392"/>
      <c r="L14" s="26">
        <f>SUM(L9:L13)</f>
        <v>36154</v>
      </c>
    </row>
    <row r="15" spans="1:14" ht="16.5" thickTop="1" thickBot="1" x14ac:dyDescent="0.3">
      <c r="A15" s="29" t="s">
        <v>43</v>
      </c>
      <c r="B15" s="424" t="str">
        <f>+'Koring 1 (dont use)'!B15:C15</f>
        <v>0878522233</v>
      </c>
      <c r="C15" s="425"/>
      <c r="F15" s="29" t="s">
        <v>87</v>
      </c>
      <c r="G15" s="424" t="str">
        <f>+'Koring 1 (dont use)'!G15:H15</f>
        <v>0768543221</v>
      </c>
      <c r="H15" s="425"/>
      <c r="J15" s="426"/>
      <c r="K15" s="427"/>
      <c r="L15" s="25"/>
    </row>
    <row r="16" spans="1:14" ht="15.75" thickBot="1" x14ac:dyDescent="0.3">
      <c r="A16" s="31" t="s">
        <v>44</v>
      </c>
      <c r="B16" s="428" t="str">
        <f>+'Koring 1 (dont use)'!B16:C16</f>
        <v>jfourie@gmail.com</v>
      </c>
      <c r="C16" s="429"/>
      <c r="F16" s="31" t="s">
        <v>88</v>
      </c>
      <c r="G16" s="430" t="str">
        <f>+'Koring 1 (dont use)'!G16:H16</f>
        <v>bb@bok.co.za</v>
      </c>
      <c r="H16" s="431"/>
      <c r="J16" s="432" t="s">
        <v>70</v>
      </c>
      <c r="K16" s="433"/>
      <c r="L16" s="104">
        <f>+G24+G33+G44+G55+G68</f>
        <v>920.63333333333344</v>
      </c>
      <c r="N16" s="62">
        <f>+L14/L18</f>
        <v>1446.16</v>
      </c>
    </row>
    <row r="17" spans="1:22" ht="15.75" thickBot="1" x14ac:dyDescent="0.3">
      <c r="E17" s="32"/>
      <c r="J17" s="33"/>
      <c r="K17" s="33"/>
      <c r="L17" s="34"/>
    </row>
    <row r="18" spans="1:22" ht="15.75" thickBot="1" x14ac:dyDescent="0.3">
      <c r="A18" s="35" t="s">
        <v>106</v>
      </c>
      <c r="B18" s="434" t="str">
        <f>+'Koring 1 (dont use)'!B18:C18</f>
        <v>Co</v>
      </c>
      <c r="C18" s="435"/>
      <c r="E18" s="32"/>
      <c r="F18" s="35" t="s">
        <v>69</v>
      </c>
      <c r="G18" s="418" t="str">
        <f>+'Koring 1 (dont use)'!G18:H18</f>
        <v>2012/09/12</v>
      </c>
      <c r="H18" s="436"/>
      <c r="J18" s="404" t="s">
        <v>46</v>
      </c>
      <c r="K18" s="405"/>
      <c r="L18" s="3">
        <v>25</v>
      </c>
    </row>
    <row r="19" spans="1:22" s="77" customFormat="1" ht="15.75" thickBot="1" x14ac:dyDescent="0.3">
      <c r="A19" s="101"/>
      <c r="B19" s="109"/>
      <c r="C19" s="109"/>
      <c r="E19" s="102"/>
      <c r="F19" s="101"/>
      <c r="G19" s="109"/>
      <c r="H19" s="109"/>
      <c r="J19" s="100"/>
      <c r="K19" s="100"/>
      <c r="L19" s="110"/>
    </row>
    <row r="20" spans="1:22" s="77" customFormat="1" ht="18" thickBot="1" x14ac:dyDescent="0.35">
      <c r="A20" s="409" t="s">
        <v>38</v>
      </c>
      <c r="B20" s="410"/>
      <c r="C20" s="410"/>
      <c r="D20" s="410"/>
      <c r="E20" s="410"/>
      <c r="F20" s="410"/>
      <c r="G20" s="410"/>
      <c r="H20" s="410"/>
      <c r="I20" s="410"/>
      <c r="J20" s="410"/>
      <c r="K20" s="410"/>
      <c r="L20" s="411"/>
    </row>
    <row r="21" spans="1:22" s="77" customFormat="1" x14ac:dyDescent="0.25">
      <c r="A21" s="52"/>
      <c r="B21" s="53" t="s">
        <v>97</v>
      </c>
      <c r="C21" s="19">
        <v>26000</v>
      </c>
      <c r="D21" s="54"/>
      <c r="E21" s="55"/>
      <c r="F21" s="55"/>
      <c r="G21" s="437" t="s">
        <v>99</v>
      </c>
      <c r="H21" s="438"/>
      <c r="I21" s="441">
        <f>+C21/C22</f>
        <v>0.43333333333333335</v>
      </c>
      <c r="J21" s="54"/>
      <c r="K21" s="54"/>
      <c r="L21" s="56"/>
    </row>
    <row r="22" spans="1:22" s="77" customFormat="1" ht="15.75" thickBot="1" x14ac:dyDescent="0.3">
      <c r="A22" s="57"/>
      <c r="B22" s="58" t="s">
        <v>98</v>
      </c>
      <c r="C22" s="20">
        <v>60000</v>
      </c>
      <c r="D22" s="59"/>
      <c r="E22" s="55"/>
      <c r="F22" s="55"/>
      <c r="G22" s="439"/>
      <c r="H22" s="440"/>
      <c r="I22" s="442"/>
      <c r="J22" s="59"/>
      <c r="K22" s="59"/>
      <c r="L22" s="60"/>
      <c r="T22" s="107"/>
      <c r="U22" s="108" t="s">
        <v>113</v>
      </c>
      <c r="V22" s="107"/>
    </row>
    <row r="23" spans="1:22" s="77" customFormat="1" ht="43.5" thickBot="1" x14ac:dyDescent="0.3">
      <c r="A23" s="37" t="s">
        <v>1</v>
      </c>
      <c r="B23" s="38" t="s">
        <v>95</v>
      </c>
      <c r="C23" s="39" t="s">
        <v>96</v>
      </c>
      <c r="D23" s="40" t="s">
        <v>93</v>
      </c>
      <c r="E23" s="39" t="s">
        <v>61</v>
      </c>
      <c r="F23" s="40" t="s">
        <v>94</v>
      </c>
      <c r="G23" s="41" t="s">
        <v>60</v>
      </c>
      <c r="H23" s="39" t="s">
        <v>59</v>
      </c>
      <c r="I23" s="103" t="s">
        <v>56</v>
      </c>
      <c r="J23" s="40" t="s">
        <v>57</v>
      </c>
      <c r="K23" s="40" t="s">
        <v>58</v>
      </c>
      <c r="L23" s="42" t="s">
        <v>0</v>
      </c>
      <c r="N23" s="63" t="s">
        <v>101</v>
      </c>
      <c r="O23" s="63" t="s">
        <v>100</v>
      </c>
      <c r="P23" s="64" t="s">
        <v>102</v>
      </c>
      <c r="Q23" s="64" t="s">
        <v>103</v>
      </c>
      <c r="R23" s="64" t="s">
        <v>104</v>
      </c>
      <c r="S23" s="27"/>
      <c r="T23" s="65" t="s">
        <v>72</v>
      </c>
      <c r="U23" s="65" t="s">
        <v>74</v>
      </c>
      <c r="V23" s="65" t="s">
        <v>75</v>
      </c>
    </row>
    <row r="24" spans="1:22" s="77" customFormat="1" x14ac:dyDescent="0.25">
      <c r="A24" s="134" t="s">
        <v>1</v>
      </c>
      <c r="B24" s="135">
        <v>0.1</v>
      </c>
      <c r="C24" s="136">
        <v>100</v>
      </c>
      <c r="D24" s="43">
        <f t="shared" ref="D24" si="0">+B24*C24</f>
        <v>10</v>
      </c>
      <c r="E24" s="137">
        <v>850</v>
      </c>
      <c r="F24" s="44">
        <f t="shared" ref="F24" si="1">+IFERROR(K24/(C24/$I$21),0)</f>
        <v>36.833333333333336</v>
      </c>
      <c r="G24" s="373">
        <f>SUM(F24:F29)</f>
        <v>36.833333333333336</v>
      </c>
      <c r="H24" s="138">
        <v>1</v>
      </c>
      <c r="I24" s="45">
        <f t="shared" ref="I24" si="2">+IFERROR(ROUNDUP(D24/H24,0),0)</f>
        <v>10</v>
      </c>
      <c r="J24" s="44">
        <f>+E24*H24</f>
        <v>850</v>
      </c>
      <c r="K24" s="44">
        <f>+I24*J24</f>
        <v>8500</v>
      </c>
      <c r="L24" s="370">
        <f>SUM(K24:K29)</f>
        <v>8500</v>
      </c>
      <c r="T24" s="70" t="str">
        <f>IFERROR(VLOOKUP(A24,VLOOKUPS!$A$3:$D$31,2,0),"Ander")</f>
        <v>Ander</v>
      </c>
      <c r="U24" s="71">
        <f t="shared" ref="U24:U29" si="3">IF(T24="Syngenta",K24,0)</f>
        <v>0</v>
      </c>
      <c r="V24" s="71">
        <f t="shared" ref="V24:V29" si="4">IF(T24="Ander",K24,0)</f>
        <v>8500</v>
      </c>
    </row>
    <row r="25" spans="1:22" s="77" customFormat="1" x14ac:dyDescent="0.25">
      <c r="A25" s="9"/>
      <c r="B25" s="10"/>
      <c r="C25" s="21"/>
      <c r="D25" s="46">
        <f t="shared" ref="D25:D29" si="5">+B25*C25</f>
        <v>0</v>
      </c>
      <c r="E25" s="12"/>
      <c r="F25" s="47">
        <f t="shared" ref="F25:F29" si="6">+IFERROR(K25/(C25/$I$21),0)</f>
        <v>0</v>
      </c>
      <c r="G25" s="374"/>
      <c r="H25" s="13"/>
      <c r="I25" s="48">
        <f t="shared" ref="I25:I26" si="7">+IFERROR(ROUNDUP(D25/H25,0),0)</f>
        <v>0</v>
      </c>
      <c r="J25" s="47">
        <f>+E25*H25</f>
        <v>0</v>
      </c>
      <c r="K25" s="47">
        <f>+I25*J25</f>
        <v>0</v>
      </c>
      <c r="L25" s="371"/>
      <c r="T25" s="70" t="str">
        <f>IFERROR(VLOOKUP(A25,VLOOKUPS!$A$3:$D$31,2,0),"Ander")</f>
        <v>Ander</v>
      </c>
      <c r="U25" s="71">
        <f t="shared" si="3"/>
        <v>0</v>
      </c>
      <c r="V25" s="71">
        <f t="shared" si="4"/>
        <v>0</v>
      </c>
    </row>
    <row r="26" spans="1:22" s="77" customFormat="1" x14ac:dyDescent="0.25">
      <c r="A26" s="9"/>
      <c r="B26" s="10"/>
      <c r="C26" s="21"/>
      <c r="D26" s="46">
        <f t="shared" si="5"/>
        <v>0</v>
      </c>
      <c r="E26" s="12"/>
      <c r="F26" s="47">
        <f t="shared" si="6"/>
        <v>0</v>
      </c>
      <c r="G26" s="374"/>
      <c r="H26" s="13"/>
      <c r="I26" s="48">
        <f t="shared" si="7"/>
        <v>0</v>
      </c>
      <c r="J26" s="47">
        <f t="shared" ref="J26:J29" si="8">+E26*H26</f>
        <v>0</v>
      </c>
      <c r="K26" s="47">
        <f t="shared" ref="K26:K29" si="9">+I26*J26</f>
        <v>0</v>
      </c>
      <c r="L26" s="371"/>
      <c r="T26" s="70" t="str">
        <f>IFERROR(VLOOKUP(A26,VLOOKUPS!$A$3:$D$31,2,0),"Ander")</f>
        <v>Ander</v>
      </c>
      <c r="U26" s="71">
        <f t="shared" si="3"/>
        <v>0</v>
      </c>
      <c r="V26" s="71">
        <f t="shared" si="4"/>
        <v>0</v>
      </c>
    </row>
    <row r="27" spans="1:22" s="77" customFormat="1" x14ac:dyDescent="0.25">
      <c r="A27" s="9"/>
      <c r="B27" s="10"/>
      <c r="C27" s="21"/>
      <c r="D27" s="46">
        <f t="shared" si="5"/>
        <v>0</v>
      </c>
      <c r="E27" s="12"/>
      <c r="F27" s="47">
        <f t="shared" si="6"/>
        <v>0</v>
      </c>
      <c r="G27" s="374"/>
      <c r="H27" s="13"/>
      <c r="I27" s="48">
        <f>+IFERROR(ROUNDUP(D27/H27,0),0)</f>
        <v>0</v>
      </c>
      <c r="J27" s="47">
        <f t="shared" si="8"/>
        <v>0</v>
      </c>
      <c r="K27" s="47">
        <f t="shared" si="9"/>
        <v>0</v>
      </c>
      <c r="L27" s="371"/>
      <c r="T27" s="70" t="str">
        <f>IFERROR(VLOOKUP(A27,VLOOKUPS!$A$3:$D$31,2,0),"Ander")</f>
        <v>Ander</v>
      </c>
      <c r="U27" s="71">
        <f t="shared" si="3"/>
        <v>0</v>
      </c>
      <c r="V27" s="71">
        <f t="shared" si="4"/>
        <v>0</v>
      </c>
    </row>
    <row r="28" spans="1:22" s="77" customFormat="1" x14ac:dyDescent="0.25">
      <c r="A28" s="9"/>
      <c r="B28" s="10"/>
      <c r="C28" s="21"/>
      <c r="D28" s="46">
        <f t="shared" si="5"/>
        <v>0</v>
      </c>
      <c r="E28" s="12"/>
      <c r="F28" s="47">
        <f t="shared" si="6"/>
        <v>0</v>
      </c>
      <c r="G28" s="374"/>
      <c r="H28" s="13"/>
      <c r="I28" s="48">
        <f t="shared" ref="I28:I29" si="10">+IFERROR(ROUNDUP(D28/H28,0),0)</f>
        <v>0</v>
      </c>
      <c r="J28" s="47">
        <f t="shared" si="8"/>
        <v>0</v>
      </c>
      <c r="K28" s="47">
        <f t="shared" si="9"/>
        <v>0</v>
      </c>
      <c r="L28" s="371"/>
      <c r="T28" s="70" t="str">
        <f>IFERROR(VLOOKUP(A28,VLOOKUPS!$A$3:$D$31,2,0),"Ander")</f>
        <v>Ander</v>
      </c>
      <c r="U28" s="71">
        <f t="shared" si="3"/>
        <v>0</v>
      </c>
      <c r="V28" s="71">
        <f t="shared" si="4"/>
        <v>0</v>
      </c>
    </row>
    <row r="29" spans="1:22" s="77" customFormat="1" ht="15.75" thickBot="1" x14ac:dyDescent="0.3">
      <c r="A29" s="14"/>
      <c r="B29" s="15"/>
      <c r="C29" s="22"/>
      <c r="D29" s="49">
        <f t="shared" si="5"/>
        <v>0</v>
      </c>
      <c r="E29" s="17"/>
      <c r="F29" s="50">
        <f t="shared" si="6"/>
        <v>0</v>
      </c>
      <c r="G29" s="375"/>
      <c r="H29" s="18"/>
      <c r="I29" s="51">
        <f t="shared" si="10"/>
        <v>0</v>
      </c>
      <c r="J29" s="50">
        <f t="shared" si="8"/>
        <v>0</v>
      </c>
      <c r="K29" s="50">
        <f t="shared" si="9"/>
        <v>0</v>
      </c>
      <c r="L29" s="372"/>
      <c r="T29" s="70" t="str">
        <f>IFERROR(VLOOKUP(A29,VLOOKUPS!$A$3:$D$31,2,0),"Ander")</f>
        <v>Ander</v>
      </c>
      <c r="U29" s="71">
        <f t="shared" si="3"/>
        <v>0</v>
      </c>
      <c r="V29" s="71">
        <f t="shared" si="4"/>
        <v>0</v>
      </c>
    </row>
    <row r="30" spans="1:22" s="77" customFormat="1" ht="15.75" thickBot="1" x14ac:dyDescent="0.3">
      <c r="A30" s="101"/>
      <c r="B30" s="109"/>
      <c r="C30" s="109"/>
      <c r="E30" s="102"/>
      <c r="F30" s="101"/>
      <c r="G30" s="109"/>
      <c r="H30" s="109"/>
      <c r="J30" s="100"/>
      <c r="K30" s="100"/>
      <c r="L30" s="110"/>
      <c r="T30" s="27"/>
      <c r="U30" s="72">
        <f>SUM(U24:U29)</f>
        <v>0</v>
      </c>
      <c r="V30" s="72">
        <f>SUM(V24:V29)</f>
        <v>8500</v>
      </c>
    </row>
    <row r="31" spans="1:22" ht="18.75" thickTop="1" thickBot="1" x14ac:dyDescent="0.35">
      <c r="A31" s="415" t="s">
        <v>37</v>
      </c>
      <c r="B31" s="416"/>
      <c r="C31" s="416"/>
      <c r="D31" s="416"/>
      <c r="E31" s="416"/>
      <c r="F31" s="416"/>
      <c r="G31" s="416"/>
      <c r="H31" s="416"/>
      <c r="I31" s="416"/>
      <c r="J31" s="416"/>
      <c r="K31" s="416"/>
      <c r="L31" s="417"/>
    </row>
    <row r="32" spans="1:22" ht="33" customHeight="1" thickBot="1" x14ac:dyDescent="0.3">
      <c r="A32" s="37" t="s">
        <v>1</v>
      </c>
      <c r="B32" s="38" t="s">
        <v>62</v>
      </c>
      <c r="C32" s="39" t="s">
        <v>2</v>
      </c>
      <c r="D32" s="40" t="s">
        <v>93</v>
      </c>
      <c r="E32" s="39" t="s">
        <v>61</v>
      </c>
      <c r="F32" s="40" t="s">
        <v>94</v>
      </c>
      <c r="G32" s="41" t="s">
        <v>60</v>
      </c>
      <c r="H32" s="39" t="s">
        <v>59</v>
      </c>
      <c r="I32" s="103" t="s">
        <v>56</v>
      </c>
      <c r="J32" s="40" t="s">
        <v>57</v>
      </c>
      <c r="K32" s="40" t="s">
        <v>58</v>
      </c>
      <c r="L32" s="42" t="s">
        <v>0</v>
      </c>
    </row>
    <row r="33" spans="1:22" x14ac:dyDescent="0.25">
      <c r="A33" s="4" t="s">
        <v>1</v>
      </c>
      <c r="B33" s="5">
        <v>1.5</v>
      </c>
      <c r="C33" s="6">
        <v>1</v>
      </c>
      <c r="D33" s="43">
        <f>+L18*B33*C33</f>
        <v>37.5</v>
      </c>
      <c r="E33" s="7">
        <v>48</v>
      </c>
      <c r="F33" s="44">
        <f>+B33*C33*E33</f>
        <v>72</v>
      </c>
      <c r="G33" s="373">
        <f>SUM(F33:F40)</f>
        <v>108.6</v>
      </c>
      <c r="H33" s="8">
        <v>25</v>
      </c>
      <c r="I33" s="45">
        <f t="shared" ref="I33:I40" si="11">+IFERROR(ROUNDUP(D33/H33,0),0)</f>
        <v>2</v>
      </c>
      <c r="J33" s="44">
        <f>+E33*H33</f>
        <v>1200</v>
      </c>
      <c r="K33" s="44">
        <f t="shared" ref="K33:K40" si="12">+I33*J33</f>
        <v>2400</v>
      </c>
      <c r="L33" s="370">
        <f>SUM(K33:K40)</f>
        <v>4180</v>
      </c>
      <c r="N33" s="66">
        <f>+IFERROR((I33*H33)/B33,0)</f>
        <v>33.333333333333336</v>
      </c>
      <c r="O33" s="67">
        <f>+IFERROR(C33*$L$18,0)</f>
        <v>25</v>
      </c>
      <c r="P33" s="68">
        <f t="shared" ref="P33:P40" si="13">+IFERROR(K33/N33,0)</f>
        <v>72</v>
      </c>
      <c r="Q33" s="68">
        <f t="shared" ref="Q33:Q40" si="14">+IFERROR(K33/O33,0)</f>
        <v>96</v>
      </c>
      <c r="R33" s="69">
        <f t="shared" ref="R33:R40" si="15">+B33*C33*E33</f>
        <v>72</v>
      </c>
      <c r="T33" s="70" t="str">
        <f>IFERROR(VLOOKUP(A33,VLOOKUPS!$A$3:$D$31,2,0),"Ander")</f>
        <v>Ander</v>
      </c>
      <c r="U33" s="71">
        <f t="shared" ref="U33:U40" si="16">IF(T33="Syngenta",K33,0)</f>
        <v>0</v>
      </c>
      <c r="V33" s="71">
        <f t="shared" ref="V33:V40" si="17">IF(T33="Ander",K33,0)</f>
        <v>2400</v>
      </c>
    </row>
    <row r="34" spans="1:22" x14ac:dyDescent="0.25">
      <c r="A34" s="9" t="s">
        <v>1</v>
      </c>
      <c r="B34" s="10">
        <v>1.5</v>
      </c>
      <c r="C34" s="11">
        <v>1</v>
      </c>
      <c r="D34" s="46">
        <f>+L18*B34*C34</f>
        <v>37.5</v>
      </c>
      <c r="E34" s="12">
        <v>11</v>
      </c>
      <c r="F34" s="47">
        <f t="shared" ref="F34:F40" si="18">+B34*C34*E34</f>
        <v>16.5</v>
      </c>
      <c r="G34" s="374"/>
      <c r="H34" s="13">
        <v>20</v>
      </c>
      <c r="I34" s="48">
        <f t="shared" si="11"/>
        <v>2</v>
      </c>
      <c r="J34" s="47">
        <f>+E34*H34</f>
        <v>220</v>
      </c>
      <c r="K34" s="47">
        <f t="shared" si="12"/>
        <v>440</v>
      </c>
      <c r="L34" s="371"/>
      <c r="N34" s="66">
        <f t="shared" ref="N34:N71" si="19">+IFERROR((I34*H34)/B34,0)</f>
        <v>26.666666666666668</v>
      </c>
      <c r="O34" s="67">
        <f t="shared" ref="O34:O71" si="20">+IFERROR(C34*$L$18,0)</f>
        <v>25</v>
      </c>
      <c r="P34" s="68">
        <f t="shared" si="13"/>
        <v>16.5</v>
      </c>
      <c r="Q34" s="68">
        <f t="shared" si="14"/>
        <v>17.600000000000001</v>
      </c>
      <c r="R34" s="69">
        <f t="shared" si="15"/>
        <v>16.5</v>
      </c>
      <c r="T34" s="70" t="str">
        <f>IFERROR(VLOOKUP(A34,VLOOKUPS!$A$3:$D$31,2,0),"Ander")</f>
        <v>Ander</v>
      </c>
      <c r="U34" s="71">
        <f t="shared" si="16"/>
        <v>0</v>
      </c>
      <c r="V34" s="71">
        <f t="shared" si="17"/>
        <v>440</v>
      </c>
    </row>
    <row r="35" spans="1:22" x14ac:dyDescent="0.25">
      <c r="A35" s="9" t="s">
        <v>1</v>
      </c>
      <c r="B35" s="10">
        <v>0.3</v>
      </c>
      <c r="C35" s="11">
        <v>1</v>
      </c>
      <c r="D35" s="46">
        <f>+L18*B35*C35</f>
        <v>7.5</v>
      </c>
      <c r="E35" s="12">
        <v>67</v>
      </c>
      <c r="F35" s="47">
        <f t="shared" si="18"/>
        <v>20.099999999999998</v>
      </c>
      <c r="G35" s="374"/>
      <c r="H35" s="13">
        <v>20</v>
      </c>
      <c r="I35" s="48">
        <f t="shared" si="11"/>
        <v>1</v>
      </c>
      <c r="J35" s="47">
        <f>+E35*H35</f>
        <v>1340</v>
      </c>
      <c r="K35" s="47">
        <f t="shared" si="12"/>
        <v>1340</v>
      </c>
      <c r="L35" s="371"/>
      <c r="N35" s="66">
        <f t="shared" si="19"/>
        <v>66.666666666666671</v>
      </c>
      <c r="O35" s="67">
        <f t="shared" si="20"/>
        <v>25</v>
      </c>
      <c r="P35" s="68">
        <f t="shared" si="13"/>
        <v>20.099999999999998</v>
      </c>
      <c r="Q35" s="68">
        <f t="shared" si="14"/>
        <v>53.6</v>
      </c>
      <c r="R35" s="69">
        <f t="shared" si="15"/>
        <v>20.099999999999998</v>
      </c>
      <c r="T35" s="70" t="str">
        <f>IFERROR(VLOOKUP(A35,VLOOKUPS!$A$3:$D$31,2,0),"Ander")</f>
        <v>Ander</v>
      </c>
      <c r="U35" s="71">
        <f t="shared" si="16"/>
        <v>0</v>
      </c>
      <c r="V35" s="71">
        <f t="shared" si="17"/>
        <v>1340</v>
      </c>
    </row>
    <row r="36" spans="1:22" x14ac:dyDescent="0.25">
      <c r="A36" s="9"/>
      <c r="B36" s="10"/>
      <c r="C36" s="11"/>
      <c r="D36" s="46">
        <f t="shared" ref="D36:D37" si="21">+L19*B36*C36</f>
        <v>0</v>
      </c>
      <c r="E36" s="12"/>
      <c r="F36" s="47">
        <f t="shared" si="18"/>
        <v>0</v>
      </c>
      <c r="G36" s="374"/>
      <c r="H36" s="13"/>
      <c r="I36" s="48">
        <f t="shared" si="11"/>
        <v>0</v>
      </c>
      <c r="J36" s="47">
        <f t="shared" ref="J36:J38" si="22">+E36*H36</f>
        <v>0</v>
      </c>
      <c r="K36" s="47">
        <f t="shared" si="12"/>
        <v>0</v>
      </c>
      <c r="L36" s="371"/>
      <c r="N36" s="66">
        <f t="shared" si="19"/>
        <v>0</v>
      </c>
      <c r="O36" s="67">
        <f t="shared" si="20"/>
        <v>0</v>
      </c>
      <c r="P36" s="68">
        <f t="shared" si="13"/>
        <v>0</v>
      </c>
      <c r="Q36" s="68">
        <f t="shared" si="14"/>
        <v>0</v>
      </c>
      <c r="R36" s="69">
        <f t="shared" si="15"/>
        <v>0</v>
      </c>
      <c r="T36" s="70" t="str">
        <f>IFERROR(VLOOKUP(A36,VLOOKUPS!$A$3:$D$31,2,0),"Ander")</f>
        <v>Ander</v>
      </c>
      <c r="U36" s="71">
        <f t="shared" si="16"/>
        <v>0</v>
      </c>
      <c r="V36" s="71">
        <f t="shared" si="17"/>
        <v>0</v>
      </c>
    </row>
    <row r="37" spans="1:22" x14ac:dyDescent="0.25">
      <c r="A37" s="9"/>
      <c r="B37" s="10"/>
      <c r="C37" s="11"/>
      <c r="D37" s="46">
        <f t="shared" si="21"/>
        <v>0</v>
      </c>
      <c r="E37" s="12"/>
      <c r="F37" s="47">
        <f t="shared" si="18"/>
        <v>0</v>
      </c>
      <c r="G37" s="374"/>
      <c r="H37" s="13"/>
      <c r="I37" s="48">
        <f t="shared" si="11"/>
        <v>0</v>
      </c>
      <c r="J37" s="47">
        <f t="shared" si="22"/>
        <v>0</v>
      </c>
      <c r="K37" s="47">
        <f t="shared" si="12"/>
        <v>0</v>
      </c>
      <c r="L37" s="371"/>
      <c r="N37" s="66">
        <f t="shared" si="19"/>
        <v>0</v>
      </c>
      <c r="O37" s="67">
        <f t="shared" si="20"/>
        <v>0</v>
      </c>
      <c r="P37" s="68">
        <f t="shared" si="13"/>
        <v>0</v>
      </c>
      <c r="Q37" s="68">
        <f t="shared" si="14"/>
        <v>0</v>
      </c>
      <c r="R37" s="69">
        <f t="shared" si="15"/>
        <v>0</v>
      </c>
      <c r="T37" s="70" t="str">
        <f>IFERROR(VLOOKUP(A37,VLOOKUPS!$A$3:$D$31,2,0),"Ander")</f>
        <v>Ander</v>
      </c>
      <c r="U37" s="71">
        <f t="shared" si="16"/>
        <v>0</v>
      </c>
      <c r="V37" s="71">
        <f t="shared" si="17"/>
        <v>0</v>
      </c>
    </row>
    <row r="38" spans="1:22" x14ac:dyDescent="0.25">
      <c r="A38" s="9"/>
      <c r="B38" s="10"/>
      <c r="C38" s="11"/>
      <c r="D38" s="46">
        <f>+L18*B38*C38</f>
        <v>0</v>
      </c>
      <c r="E38" s="12"/>
      <c r="F38" s="47">
        <f t="shared" si="18"/>
        <v>0</v>
      </c>
      <c r="G38" s="374"/>
      <c r="H38" s="13"/>
      <c r="I38" s="48">
        <f t="shared" si="11"/>
        <v>0</v>
      </c>
      <c r="J38" s="47">
        <f t="shared" si="22"/>
        <v>0</v>
      </c>
      <c r="K38" s="47">
        <f t="shared" si="12"/>
        <v>0</v>
      </c>
      <c r="L38" s="371"/>
      <c r="N38" s="66">
        <f t="shared" si="19"/>
        <v>0</v>
      </c>
      <c r="O38" s="67">
        <f t="shared" si="20"/>
        <v>0</v>
      </c>
      <c r="P38" s="68">
        <f t="shared" si="13"/>
        <v>0</v>
      </c>
      <c r="Q38" s="68">
        <f t="shared" si="14"/>
        <v>0</v>
      </c>
      <c r="R38" s="69">
        <f t="shared" si="15"/>
        <v>0</v>
      </c>
      <c r="T38" s="70" t="str">
        <f>IFERROR(VLOOKUP(A38,VLOOKUPS!$A$3:$D$31,2,0),"Ander")</f>
        <v>Ander</v>
      </c>
      <c r="U38" s="71">
        <f t="shared" si="16"/>
        <v>0</v>
      </c>
      <c r="V38" s="71">
        <f t="shared" si="17"/>
        <v>0</v>
      </c>
    </row>
    <row r="39" spans="1:22" x14ac:dyDescent="0.25">
      <c r="A39" s="9"/>
      <c r="B39" s="10"/>
      <c r="C39" s="11"/>
      <c r="D39" s="46">
        <f>+L18*B39*C39</f>
        <v>0</v>
      </c>
      <c r="E39" s="12"/>
      <c r="F39" s="47">
        <f t="shared" si="18"/>
        <v>0</v>
      </c>
      <c r="G39" s="374"/>
      <c r="H39" s="13"/>
      <c r="I39" s="48">
        <f t="shared" si="11"/>
        <v>0</v>
      </c>
      <c r="J39" s="47">
        <f>+E39*H39</f>
        <v>0</v>
      </c>
      <c r="K39" s="47">
        <f t="shared" si="12"/>
        <v>0</v>
      </c>
      <c r="L39" s="371"/>
      <c r="N39" s="66">
        <f t="shared" si="19"/>
        <v>0</v>
      </c>
      <c r="O39" s="67">
        <f t="shared" si="20"/>
        <v>0</v>
      </c>
      <c r="P39" s="68">
        <f t="shared" si="13"/>
        <v>0</v>
      </c>
      <c r="Q39" s="68">
        <f t="shared" si="14"/>
        <v>0</v>
      </c>
      <c r="R39" s="69">
        <f t="shared" si="15"/>
        <v>0</v>
      </c>
      <c r="T39" s="70" t="str">
        <f>IFERROR(VLOOKUP(A39,VLOOKUPS!$A$3:$D$31,2,0),"Ander")</f>
        <v>Ander</v>
      </c>
      <c r="U39" s="71">
        <f t="shared" si="16"/>
        <v>0</v>
      </c>
      <c r="V39" s="71">
        <f t="shared" si="17"/>
        <v>0</v>
      </c>
    </row>
    <row r="40" spans="1:22" ht="15.75" thickBot="1" x14ac:dyDescent="0.3">
      <c r="A40" s="14"/>
      <c r="B40" s="15"/>
      <c r="C40" s="16"/>
      <c r="D40" s="49">
        <f>+L18*B40*C40</f>
        <v>0</v>
      </c>
      <c r="E40" s="17"/>
      <c r="F40" s="50">
        <f t="shared" si="18"/>
        <v>0</v>
      </c>
      <c r="G40" s="375"/>
      <c r="H40" s="18"/>
      <c r="I40" s="51">
        <f t="shared" si="11"/>
        <v>0</v>
      </c>
      <c r="J40" s="50">
        <f>+E40*H40</f>
        <v>0</v>
      </c>
      <c r="K40" s="50">
        <f t="shared" si="12"/>
        <v>0</v>
      </c>
      <c r="L40" s="372"/>
      <c r="N40" s="66">
        <f t="shared" si="19"/>
        <v>0</v>
      </c>
      <c r="O40" s="67">
        <f t="shared" si="20"/>
        <v>0</v>
      </c>
      <c r="P40" s="68">
        <f t="shared" si="13"/>
        <v>0</v>
      </c>
      <c r="Q40" s="68">
        <f t="shared" si="14"/>
        <v>0</v>
      </c>
      <c r="R40" s="69">
        <f t="shared" si="15"/>
        <v>0</v>
      </c>
      <c r="T40" s="70" t="str">
        <f>IFERROR(VLOOKUP(A40,VLOOKUPS!$A$3:$D$31,2,0),"Ander")</f>
        <v>Ander</v>
      </c>
      <c r="U40" s="71">
        <f t="shared" si="16"/>
        <v>0</v>
      </c>
      <c r="V40" s="71">
        <f t="shared" si="17"/>
        <v>0</v>
      </c>
    </row>
    <row r="41" spans="1:22" ht="15.75" thickBot="1" x14ac:dyDescent="0.3">
      <c r="N41" s="66"/>
      <c r="O41" s="67"/>
      <c r="P41" s="68"/>
      <c r="Q41" s="68"/>
      <c r="R41" s="69"/>
      <c r="U41" s="72">
        <f>SUM(U33:U40)</f>
        <v>0</v>
      </c>
      <c r="V41" s="72">
        <f>SUM(V33:V40)</f>
        <v>4180</v>
      </c>
    </row>
    <row r="42" spans="1:22" ht="18.75" thickTop="1" thickBot="1" x14ac:dyDescent="0.3">
      <c r="A42" s="412" t="s">
        <v>107</v>
      </c>
      <c r="B42" s="413"/>
      <c r="C42" s="413"/>
      <c r="D42" s="413"/>
      <c r="E42" s="413"/>
      <c r="F42" s="413"/>
      <c r="G42" s="413"/>
      <c r="H42" s="413"/>
      <c r="I42" s="413"/>
      <c r="J42" s="413"/>
      <c r="K42" s="413"/>
      <c r="L42" s="414"/>
      <c r="N42" s="66"/>
      <c r="O42" s="67"/>
      <c r="P42" s="68"/>
      <c r="Q42" s="68"/>
      <c r="R42" s="69"/>
      <c r="U42" s="71"/>
      <c r="V42" s="71"/>
    </row>
    <row r="43" spans="1:22" ht="43.5" thickBot="1" x14ac:dyDescent="0.3">
      <c r="A43" s="37" t="s">
        <v>1</v>
      </c>
      <c r="B43" s="38" t="s">
        <v>62</v>
      </c>
      <c r="C43" s="39" t="s">
        <v>2</v>
      </c>
      <c r="D43" s="40" t="s">
        <v>93</v>
      </c>
      <c r="E43" s="39" t="s">
        <v>61</v>
      </c>
      <c r="F43" s="40" t="s">
        <v>94</v>
      </c>
      <c r="G43" s="41" t="s">
        <v>60</v>
      </c>
      <c r="H43" s="39" t="s">
        <v>59</v>
      </c>
      <c r="I43" s="103" t="s">
        <v>56</v>
      </c>
      <c r="J43" s="40" t="s">
        <v>57</v>
      </c>
      <c r="K43" s="40" t="s">
        <v>58</v>
      </c>
      <c r="L43" s="42" t="s">
        <v>0</v>
      </c>
      <c r="N43" s="66"/>
      <c r="O43" s="67"/>
      <c r="P43" s="68"/>
      <c r="Q43" s="68"/>
      <c r="R43" s="69"/>
      <c r="U43" s="71"/>
      <c r="V43" s="71"/>
    </row>
    <row r="44" spans="1:22" x14ac:dyDescent="0.25">
      <c r="A44" s="4" t="s">
        <v>1</v>
      </c>
      <c r="B44" s="5">
        <v>1.7</v>
      </c>
      <c r="C44" s="6">
        <v>1</v>
      </c>
      <c r="D44" s="43">
        <f t="shared" ref="D44:D51" si="23">+$L$18*B44*C44</f>
        <v>42.5</v>
      </c>
      <c r="E44" s="7">
        <v>78</v>
      </c>
      <c r="F44" s="44">
        <f>+B44*C44*E44</f>
        <v>132.6</v>
      </c>
      <c r="G44" s="373">
        <f>SUM(F44:F51)</f>
        <v>337</v>
      </c>
      <c r="H44" s="8">
        <v>20</v>
      </c>
      <c r="I44" s="45">
        <f t="shared" ref="I44:I51" si="24">+IFERROR(ROUNDUP(D44/H44,0),0)</f>
        <v>3</v>
      </c>
      <c r="J44" s="44">
        <f>+E44*H44</f>
        <v>1560</v>
      </c>
      <c r="K44" s="44">
        <f>+I44*J44</f>
        <v>4680</v>
      </c>
      <c r="L44" s="370">
        <f>SUM(K44:K51)</f>
        <v>10224</v>
      </c>
      <c r="N44" s="66">
        <f t="shared" si="19"/>
        <v>35.294117647058826</v>
      </c>
      <c r="O44" s="67">
        <f t="shared" si="20"/>
        <v>25</v>
      </c>
      <c r="P44" s="68">
        <f t="shared" ref="P44:P51" si="25">+IFERROR(K44/N44,0)</f>
        <v>132.6</v>
      </c>
      <c r="Q44" s="68">
        <f t="shared" ref="Q44:Q51" si="26">+IFERROR(K44/O44,0)</f>
        <v>187.2</v>
      </c>
      <c r="R44" s="69">
        <f t="shared" ref="R44:R51" si="27">+B44*C44*E44</f>
        <v>132.6</v>
      </c>
      <c r="T44" s="70" t="str">
        <f>IFERROR(VLOOKUP(A44,VLOOKUPS!$A$3:$D$31,2,0),"Ander")</f>
        <v>Ander</v>
      </c>
      <c r="U44" s="71">
        <f t="shared" ref="U44:U51" si="28">IF(T44="Syngenta",K44,0)</f>
        <v>0</v>
      </c>
      <c r="V44" s="71">
        <f t="shared" ref="V44:V51" si="29">IF(T44="Ander",K44,0)</f>
        <v>4680</v>
      </c>
    </row>
    <row r="45" spans="1:22" x14ac:dyDescent="0.25">
      <c r="A45" s="9" t="s">
        <v>1</v>
      </c>
      <c r="B45" s="10">
        <v>7.3</v>
      </c>
      <c r="C45" s="11">
        <f>+C44</f>
        <v>1</v>
      </c>
      <c r="D45" s="46">
        <f t="shared" si="23"/>
        <v>182.5</v>
      </c>
      <c r="E45" s="12">
        <v>28</v>
      </c>
      <c r="F45" s="47">
        <f t="shared" ref="F45:F51" si="30">+B45*C45*E45</f>
        <v>204.4</v>
      </c>
      <c r="G45" s="374"/>
      <c r="H45" s="13">
        <v>18</v>
      </c>
      <c r="I45" s="48">
        <f t="shared" si="24"/>
        <v>11</v>
      </c>
      <c r="J45" s="47">
        <f t="shared" ref="J45:J51" si="31">+E45*H45</f>
        <v>504</v>
      </c>
      <c r="K45" s="47">
        <f t="shared" ref="K45:K51" si="32">+I45*J45</f>
        <v>5544</v>
      </c>
      <c r="L45" s="371"/>
      <c r="N45" s="66">
        <f t="shared" si="19"/>
        <v>27.123287671232877</v>
      </c>
      <c r="O45" s="67">
        <f t="shared" si="20"/>
        <v>25</v>
      </c>
      <c r="P45" s="68">
        <f t="shared" si="25"/>
        <v>204.4</v>
      </c>
      <c r="Q45" s="68">
        <f t="shared" si="26"/>
        <v>221.76</v>
      </c>
      <c r="R45" s="69">
        <f t="shared" si="27"/>
        <v>204.4</v>
      </c>
      <c r="T45" s="70" t="str">
        <f>IFERROR(VLOOKUP(A45,VLOOKUPS!$A$3:$D$31,2,0),"Ander")</f>
        <v>Ander</v>
      </c>
      <c r="U45" s="71">
        <f t="shared" si="28"/>
        <v>0</v>
      </c>
      <c r="V45" s="71">
        <f t="shared" si="29"/>
        <v>5544</v>
      </c>
    </row>
    <row r="46" spans="1:22" x14ac:dyDescent="0.25">
      <c r="A46" s="9"/>
      <c r="B46" s="10"/>
      <c r="C46" s="11"/>
      <c r="D46" s="46">
        <f t="shared" si="23"/>
        <v>0</v>
      </c>
      <c r="E46" s="12"/>
      <c r="F46" s="47">
        <f t="shared" si="30"/>
        <v>0</v>
      </c>
      <c r="G46" s="374"/>
      <c r="H46" s="13"/>
      <c r="I46" s="48">
        <f t="shared" si="24"/>
        <v>0</v>
      </c>
      <c r="J46" s="47">
        <f t="shared" si="31"/>
        <v>0</v>
      </c>
      <c r="K46" s="47">
        <f t="shared" si="32"/>
        <v>0</v>
      </c>
      <c r="L46" s="371"/>
      <c r="N46" s="66">
        <f t="shared" si="19"/>
        <v>0</v>
      </c>
      <c r="O46" s="67">
        <f t="shared" si="20"/>
        <v>0</v>
      </c>
      <c r="P46" s="68">
        <f t="shared" si="25"/>
        <v>0</v>
      </c>
      <c r="Q46" s="68">
        <f t="shared" si="26"/>
        <v>0</v>
      </c>
      <c r="R46" s="69">
        <f t="shared" si="27"/>
        <v>0</v>
      </c>
      <c r="T46" s="70" t="str">
        <f>IFERROR(VLOOKUP(A46,VLOOKUPS!$A$3:$D$31,2,0),"Ander")</f>
        <v>Ander</v>
      </c>
      <c r="U46" s="71">
        <f t="shared" si="28"/>
        <v>0</v>
      </c>
      <c r="V46" s="71">
        <f t="shared" si="29"/>
        <v>0</v>
      </c>
    </row>
    <row r="47" spans="1:22" x14ac:dyDescent="0.25">
      <c r="A47" s="9"/>
      <c r="B47" s="10"/>
      <c r="C47" s="11"/>
      <c r="D47" s="46">
        <f t="shared" si="23"/>
        <v>0</v>
      </c>
      <c r="E47" s="12"/>
      <c r="F47" s="47">
        <f t="shared" si="30"/>
        <v>0</v>
      </c>
      <c r="G47" s="374"/>
      <c r="H47" s="13"/>
      <c r="I47" s="48">
        <f t="shared" si="24"/>
        <v>0</v>
      </c>
      <c r="J47" s="47">
        <f t="shared" si="31"/>
        <v>0</v>
      </c>
      <c r="K47" s="47">
        <f t="shared" si="32"/>
        <v>0</v>
      </c>
      <c r="L47" s="371"/>
      <c r="N47" s="66"/>
      <c r="O47" s="67"/>
      <c r="P47" s="68"/>
      <c r="Q47" s="68"/>
      <c r="R47" s="69"/>
      <c r="T47" s="70" t="str">
        <f>IFERROR(VLOOKUP(A47,VLOOKUPS!$A$3:$D$31,2,0),"Ander")</f>
        <v>Ander</v>
      </c>
      <c r="U47" s="71">
        <f t="shared" si="28"/>
        <v>0</v>
      </c>
      <c r="V47" s="71">
        <f t="shared" si="29"/>
        <v>0</v>
      </c>
    </row>
    <row r="48" spans="1:22" x14ac:dyDescent="0.25">
      <c r="A48" s="9"/>
      <c r="B48" s="10"/>
      <c r="C48" s="11"/>
      <c r="D48" s="46">
        <f t="shared" si="23"/>
        <v>0</v>
      </c>
      <c r="E48" s="12"/>
      <c r="F48" s="47">
        <f t="shared" si="30"/>
        <v>0</v>
      </c>
      <c r="G48" s="374"/>
      <c r="H48" s="13"/>
      <c r="I48" s="48">
        <f t="shared" si="24"/>
        <v>0</v>
      </c>
      <c r="J48" s="47">
        <f t="shared" si="31"/>
        <v>0</v>
      </c>
      <c r="K48" s="47">
        <f t="shared" si="32"/>
        <v>0</v>
      </c>
      <c r="L48" s="371"/>
      <c r="N48" s="66"/>
      <c r="O48" s="67"/>
      <c r="P48" s="68"/>
      <c r="Q48" s="68"/>
      <c r="R48" s="69"/>
      <c r="T48" s="70" t="str">
        <f>IFERROR(VLOOKUP(A48,VLOOKUPS!$A$3:$D$31,2,0),"Ander")</f>
        <v>Ander</v>
      </c>
      <c r="U48" s="71">
        <f t="shared" si="28"/>
        <v>0</v>
      </c>
      <c r="V48" s="71">
        <f t="shared" si="29"/>
        <v>0</v>
      </c>
    </row>
    <row r="49" spans="1:22" x14ac:dyDescent="0.25">
      <c r="A49" s="9"/>
      <c r="B49" s="10"/>
      <c r="C49" s="11"/>
      <c r="D49" s="46">
        <f t="shared" si="23"/>
        <v>0</v>
      </c>
      <c r="E49" s="12"/>
      <c r="F49" s="47">
        <f t="shared" si="30"/>
        <v>0</v>
      </c>
      <c r="G49" s="374"/>
      <c r="H49" s="13"/>
      <c r="I49" s="48">
        <f t="shared" si="24"/>
        <v>0</v>
      </c>
      <c r="J49" s="47">
        <f t="shared" si="31"/>
        <v>0</v>
      </c>
      <c r="K49" s="47">
        <f t="shared" si="32"/>
        <v>0</v>
      </c>
      <c r="L49" s="371"/>
      <c r="N49" s="66">
        <f t="shared" si="19"/>
        <v>0</v>
      </c>
      <c r="O49" s="67">
        <f t="shared" si="20"/>
        <v>0</v>
      </c>
      <c r="P49" s="68">
        <f t="shared" si="25"/>
        <v>0</v>
      </c>
      <c r="Q49" s="68">
        <f t="shared" si="26"/>
        <v>0</v>
      </c>
      <c r="R49" s="69">
        <f t="shared" si="27"/>
        <v>0</v>
      </c>
      <c r="T49" s="70" t="str">
        <f>IFERROR(VLOOKUP(A49,VLOOKUPS!$A$3:$D$31,2,0),"Ander")</f>
        <v>Ander</v>
      </c>
      <c r="U49" s="71">
        <f t="shared" si="28"/>
        <v>0</v>
      </c>
      <c r="V49" s="71">
        <f t="shared" si="29"/>
        <v>0</v>
      </c>
    </row>
    <row r="50" spans="1:22" x14ac:dyDescent="0.25">
      <c r="A50" s="9"/>
      <c r="B50" s="10"/>
      <c r="C50" s="11"/>
      <c r="D50" s="46">
        <f t="shared" si="23"/>
        <v>0</v>
      </c>
      <c r="E50" s="12"/>
      <c r="F50" s="47">
        <f t="shared" si="30"/>
        <v>0</v>
      </c>
      <c r="G50" s="374"/>
      <c r="H50" s="13"/>
      <c r="I50" s="48">
        <f t="shared" si="24"/>
        <v>0</v>
      </c>
      <c r="J50" s="47">
        <f t="shared" si="31"/>
        <v>0</v>
      </c>
      <c r="K50" s="47">
        <f t="shared" si="32"/>
        <v>0</v>
      </c>
      <c r="L50" s="371"/>
      <c r="N50" s="66">
        <f t="shared" si="19"/>
        <v>0</v>
      </c>
      <c r="O50" s="67">
        <f t="shared" si="20"/>
        <v>0</v>
      </c>
      <c r="P50" s="68">
        <f t="shared" si="25"/>
        <v>0</v>
      </c>
      <c r="Q50" s="68">
        <f t="shared" si="26"/>
        <v>0</v>
      </c>
      <c r="R50" s="69">
        <f t="shared" si="27"/>
        <v>0</v>
      </c>
      <c r="T50" s="70" t="str">
        <f>IFERROR(VLOOKUP(A50,VLOOKUPS!$A$3:$D$31,2,0),"Ander")</f>
        <v>Ander</v>
      </c>
      <c r="U50" s="71">
        <f t="shared" si="28"/>
        <v>0</v>
      </c>
      <c r="V50" s="71">
        <f t="shared" si="29"/>
        <v>0</v>
      </c>
    </row>
    <row r="51" spans="1:22" ht="15.75" thickBot="1" x14ac:dyDescent="0.3">
      <c r="A51" s="14"/>
      <c r="B51" s="15"/>
      <c r="C51" s="16"/>
      <c r="D51" s="49">
        <f t="shared" si="23"/>
        <v>0</v>
      </c>
      <c r="E51" s="17"/>
      <c r="F51" s="50">
        <f t="shared" si="30"/>
        <v>0</v>
      </c>
      <c r="G51" s="375"/>
      <c r="H51" s="18"/>
      <c r="I51" s="51">
        <f t="shared" si="24"/>
        <v>0</v>
      </c>
      <c r="J51" s="50">
        <f t="shared" si="31"/>
        <v>0</v>
      </c>
      <c r="K51" s="50">
        <f t="shared" si="32"/>
        <v>0</v>
      </c>
      <c r="L51" s="372"/>
      <c r="N51" s="66">
        <f t="shared" si="19"/>
        <v>0</v>
      </c>
      <c r="O51" s="67">
        <f t="shared" si="20"/>
        <v>0</v>
      </c>
      <c r="P51" s="68">
        <f t="shared" si="25"/>
        <v>0</v>
      </c>
      <c r="Q51" s="68">
        <f t="shared" si="26"/>
        <v>0</v>
      </c>
      <c r="R51" s="69">
        <f t="shared" si="27"/>
        <v>0</v>
      </c>
      <c r="T51" s="70" t="str">
        <f>IFERROR(VLOOKUP(A51,VLOOKUPS!$A$3:$D$31,2,0),"Ander")</f>
        <v>Ander</v>
      </c>
      <c r="U51" s="71">
        <f t="shared" si="28"/>
        <v>0</v>
      </c>
      <c r="V51" s="71">
        <f t="shared" si="29"/>
        <v>0</v>
      </c>
    </row>
    <row r="52" spans="1:22" ht="15.75" thickBot="1" x14ac:dyDescent="0.3">
      <c r="N52" s="66"/>
      <c r="O52" s="67"/>
      <c r="P52" s="68"/>
      <c r="Q52" s="68"/>
      <c r="R52" s="69"/>
      <c r="U52" s="72">
        <f>SUM(U44:U51)</f>
        <v>0</v>
      </c>
      <c r="V52" s="72">
        <f>SUM(V44:V51)</f>
        <v>10224</v>
      </c>
    </row>
    <row r="53" spans="1:22" ht="18.75" thickTop="1" thickBot="1" x14ac:dyDescent="0.3">
      <c r="A53" s="412" t="s">
        <v>64</v>
      </c>
      <c r="B53" s="413"/>
      <c r="C53" s="413"/>
      <c r="D53" s="413"/>
      <c r="E53" s="413"/>
      <c r="F53" s="413"/>
      <c r="G53" s="413"/>
      <c r="H53" s="413"/>
      <c r="I53" s="413"/>
      <c r="J53" s="413"/>
      <c r="K53" s="413"/>
      <c r="L53" s="414"/>
      <c r="N53" s="66"/>
      <c r="O53" s="67"/>
      <c r="P53" s="68"/>
      <c r="Q53" s="68"/>
      <c r="R53" s="69"/>
      <c r="U53" s="71"/>
      <c r="V53" s="71"/>
    </row>
    <row r="54" spans="1:22" ht="43.5" thickBot="1" x14ac:dyDescent="0.3">
      <c r="A54" s="37" t="s">
        <v>1</v>
      </c>
      <c r="B54" s="38" t="s">
        <v>62</v>
      </c>
      <c r="C54" s="39" t="s">
        <v>2</v>
      </c>
      <c r="D54" s="40" t="s">
        <v>93</v>
      </c>
      <c r="E54" s="39" t="s">
        <v>61</v>
      </c>
      <c r="F54" s="40" t="s">
        <v>94</v>
      </c>
      <c r="G54" s="41" t="s">
        <v>60</v>
      </c>
      <c r="H54" s="39" t="s">
        <v>59</v>
      </c>
      <c r="I54" s="103" t="s">
        <v>56</v>
      </c>
      <c r="J54" s="40" t="s">
        <v>57</v>
      </c>
      <c r="K54" s="40" t="s">
        <v>58</v>
      </c>
      <c r="L54" s="42" t="s">
        <v>0</v>
      </c>
      <c r="N54" s="66"/>
      <c r="O54" s="67"/>
      <c r="P54" s="68"/>
      <c r="Q54" s="68"/>
      <c r="R54" s="69"/>
      <c r="U54" s="71"/>
      <c r="V54" s="71"/>
    </row>
    <row r="55" spans="1:22" x14ac:dyDescent="0.25">
      <c r="A55" s="4" t="s">
        <v>1</v>
      </c>
      <c r="B55" s="5">
        <v>2</v>
      </c>
      <c r="C55" s="6">
        <v>1</v>
      </c>
      <c r="D55" s="43">
        <f>+L18*B55*C55</f>
        <v>50</v>
      </c>
      <c r="E55" s="7">
        <v>69</v>
      </c>
      <c r="F55" s="44">
        <f>+B55*C55*E55</f>
        <v>138</v>
      </c>
      <c r="G55" s="373">
        <f>SUM(F55:F64)</f>
        <v>313.20000000000005</v>
      </c>
      <c r="H55" s="8">
        <v>20</v>
      </c>
      <c r="I55" s="45">
        <f t="shared" ref="I55:I64" si="33">+IFERROR(ROUNDUP(D55/H55,0),0)</f>
        <v>3</v>
      </c>
      <c r="J55" s="44">
        <f>+E55*H55</f>
        <v>1380</v>
      </c>
      <c r="K55" s="44">
        <f>+I55*J55</f>
        <v>4140</v>
      </c>
      <c r="L55" s="370">
        <f>SUM(K55:K64)</f>
        <v>9500</v>
      </c>
      <c r="N55" s="66">
        <f t="shared" si="19"/>
        <v>30</v>
      </c>
      <c r="O55" s="67">
        <f t="shared" si="20"/>
        <v>25</v>
      </c>
      <c r="P55" s="68">
        <f t="shared" ref="P55:P64" si="34">+IFERROR(K55/N55,0)</f>
        <v>138</v>
      </c>
      <c r="Q55" s="68">
        <f t="shared" ref="Q55:Q64" si="35">+IFERROR(K55/O55,0)</f>
        <v>165.6</v>
      </c>
      <c r="R55" s="69">
        <f t="shared" ref="R55:R64" si="36">+B55*C55*E55</f>
        <v>138</v>
      </c>
      <c r="T55" s="70" t="str">
        <f>IFERROR(VLOOKUP(A55,VLOOKUPS!$A$3:$D$31,2,0),"Ander")</f>
        <v>Ander</v>
      </c>
      <c r="U55" s="71">
        <f t="shared" ref="U55:U64" si="37">IF(T55="Syngenta",K55,0)</f>
        <v>0</v>
      </c>
      <c r="V55" s="71">
        <f t="shared" ref="V55:V64" si="38">IF(T55="Ander",K55,0)</f>
        <v>4140</v>
      </c>
    </row>
    <row r="56" spans="1:22" x14ac:dyDescent="0.25">
      <c r="A56" s="9" t="s">
        <v>1</v>
      </c>
      <c r="B56" s="10">
        <v>0.6</v>
      </c>
      <c r="C56" s="11">
        <f>+C55</f>
        <v>1</v>
      </c>
      <c r="D56" s="46">
        <f>+L18*B56*C56</f>
        <v>15</v>
      </c>
      <c r="E56" s="12">
        <v>148</v>
      </c>
      <c r="F56" s="47">
        <f t="shared" ref="F56:F64" si="39">+B56*C56*E56</f>
        <v>88.8</v>
      </c>
      <c r="G56" s="374"/>
      <c r="H56" s="13">
        <v>20</v>
      </c>
      <c r="I56" s="48">
        <f t="shared" si="33"/>
        <v>1</v>
      </c>
      <c r="J56" s="47">
        <f t="shared" ref="J56:J64" si="40">+E56*H56</f>
        <v>2960</v>
      </c>
      <c r="K56" s="47">
        <f t="shared" ref="K56:K64" si="41">+I56*J56</f>
        <v>2960</v>
      </c>
      <c r="L56" s="371"/>
      <c r="N56" s="66">
        <f t="shared" si="19"/>
        <v>33.333333333333336</v>
      </c>
      <c r="O56" s="67">
        <f t="shared" si="20"/>
        <v>25</v>
      </c>
      <c r="P56" s="68">
        <f t="shared" si="34"/>
        <v>88.8</v>
      </c>
      <c r="Q56" s="68">
        <f t="shared" si="35"/>
        <v>118.4</v>
      </c>
      <c r="R56" s="69">
        <f t="shared" si="36"/>
        <v>88.8</v>
      </c>
      <c r="T56" s="70" t="str">
        <f>IFERROR(VLOOKUP(A56,VLOOKUPS!$A$3:$D$31,2,0),"Ander")</f>
        <v>Ander</v>
      </c>
      <c r="U56" s="71">
        <f t="shared" si="37"/>
        <v>0</v>
      </c>
      <c r="V56" s="71">
        <f t="shared" si="38"/>
        <v>2960</v>
      </c>
    </row>
    <row r="57" spans="1:22" x14ac:dyDescent="0.25">
      <c r="A57" s="9" t="s">
        <v>1</v>
      </c>
      <c r="B57" s="10">
        <v>1.8</v>
      </c>
      <c r="C57" s="11">
        <v>1</v>
      </c>
      <c r="D57" s="46">
        <f>L18*B57*C57</f>
        <v>45</v>
      </c>
      <c r="E57" s="12">
        <v>48</v>
      </c>
      <c r="F57" s="47">
        <f t="shared" si="39"/>
        <v>86.4</v>
      </c>
      <c r="G57" s="374"/>
      <c r="H57" s="13">
        <v>25</v>
      </c>
      <c r="I57" s="48">
        <f t="shared" si="33"/>
        <v>2</v>
      </c>
      <c r="J57" s="47">
        <f t="shared" si="40"/>
        <v>1200</v>
      </c>
      <c r="K57" s="47">
        <f t="shared" si="41"/>
        <v>2400</v>
      </c>
      <c r="L57" s="371"/>
      <c r="N57" s="66">
        <f t="shared" si="19"/>
        <v>27.777777777777779</v>
      </c>
      <c r="O57" s="67">
        <f t="shared" si="20"/>
        <v>25</v>
      </c>
      <c r="P57" s="68">
        <f t="shared" si="34"/>
        <v>86.399999999999991</v>
      </c>
      <c r="Q57" s="68">
        <f t="shared" si="35"/>
        <v>96</v>
      </c>
      <c r="R57" s="69">
        <f t="shared" si="36"/>
        <v>86.4</v>
      </c>
      <c r="T57" s="70" t="str">
        <f>IFERROR(VLOOKUP(A57,VLOOKUPS!$A$3:$D$31,2,0),"Ander")</f>
        <v>Ander</v>
      </c>
      <c r="U57" s="71">
        <f t="shared" si="37"/>
        <v>0</v>
      </c>
      <c r="V57" s="71">
        <f t="shared" si="38"/>
        <v>2400</v>
      </c>
    </row>
    <row r="58" spans="1:22" x14ac:dyDescent="0.25">
      <c r="A58" s="9"/>
      <c r="B58" s="10"/>
      <c r="C58" s="11"/>
      <c r="D58" s="46">
        <f>L18*B58*C58</f>
        <v>0</v>
      </c>
      <c r="E58" s="12"/>
      <c r="F58" s="47">
        <f t="shared" si="39"/>
        <v>0</v>
      </c>
      <c r="G58" s="374"/>
      <c r="H58" s="13"/>
      <c r="I58" s="48">
        <f t="shared" si="33"/>
        <v>0</v>
      </c>
      <c r="J58" s="47">
        <f t="shared" si="40"/>
        <v>0</v>
      </c>
      <c r="K58" s="47">
        <f t="shared" si="41"/>
        <v>0</v>
      </c>
      <c r="L58" s="371"/>
      <c r="N58" s="66"/>
      <c r="O58" s="67"/>
      <c r="P58" s="68"/>
      <c r="Q58" s="68"/>
      <c r="R58" s="69"/>
      <c r="T58" s="70" t="str">
        <f>IFERROR(VLOOKUP(A58,VLOOKUPS!$A$3:$D$31,2,0),"Ander")</f>
        <v>Ander</v>
      </c>
      <c r="U58" s="71">
        <f t="shared" si="37"/>
        <v>0</v>
      </c>
      <c r="V58" s="71">
        <f t="shared" si="38"/>
        <v>0</v>
      </c>
    </row>
    <row r="59" spans="1:22" x14ac:dyDescent="0.25">
      <c r="A59" s="9"/>
      <c r="B59" s="10"/>
      <c r="C59" s="11"/>
      <c r="D59" s="46">
        <f>L18*B59*C59</f>
        <v>0</v>
      </c>
      <c r="E59" s="12"/>
      <c r="F59" s="47">
        <f t="shared" si="39"/>
        <v>0</v>
      </c>
      <c r="G59" s="374"/>
      <c r="H59" s="13"/>
      <c r="I59" s="48">
        <f t="shared" si="33"/>
        <v>0</v>
      </c>
      <c r="J59" s="47">
        <f t="shared" si="40"/>
        <v>0</v>
      </c>
      <c r="K59" s="47">
        <f t="shared" si="41"/>
        <v>0</v>
      </c>
      <c r="L59" s="371"/>
      <c r="N59" s="66"/>
      <c r="O59" s="67"/>
      <c r="P59" s="68"/>
      <c r="Q59" s="68"/>
      <c r="R59" s="69"/>
      <c r="T59" s="70" t="str">
        <f>IFERROR(VLOOKUP(A59,VLOOKUPS!$A$3:$D$31,2,0),"Ander")</f>
        <v>Ander</v>
      </c>
      <c r="U59" s="71">
        <f t="shared" si="37"/>
        <v>0</v>
      </c>
      <c r="V59" s="71">
        <f t="shared" si="38"/>
        <v>0</v>
      </c>
    </row>
    <row r="60" spans="1:22" x14ac:dyDescent="0.25">
      <c r="A60" s="9"/>
      <c r="B60" s="10"/>
      <c r="C60" s="11"/>
      <c r="D60" s="46">
        <f t="shared" ref="D60:D61" si="42">L19*B60*C60</f>
        <v>0</v>
      </c>
      <c r="E60" s="12"/>
      <c r="F60" s="47">
        <f t="shared" si="39"/>
        <v>0</v>
      </c>
      <c r="G60" s="374"/>
      <c r="H60" s="13"/>
      <c r="I60" s="48">
        <f t="shared" si="33"/>
        <v>0</v>
      </c>
      <c r="J60" s="47">
        <f t="shared" si="40"/>
        <v>0</v>
      </c>
      <c r="K60" s="47">
        <f t="shared" si="41"/>
        <v>0</v>
      </c>
      <c r="L60" s="371"/>
      <c r="N60" s="66"/>
      <c r="O60" s="67"/>
      <c r="P60" s="68"/>
      <c r="Q60" s="68"/>
      <c r="R60" s="69"/>
      <c r="T60" s="70" t="str">
        <f>IFERROR(VLOOKUP(A60,VLOOKUPS!$A$3:$D$31,2,0),"Ander")</f>
        <v>Ander</v>
      </c>
      <c r="U60" s="71">
        <f t="shared" si="37"/>
        <v>0</v>
      </c>
      <c r="V60" s="71">
        <f t="shared" si="38"/>
        <v>0</v>
      </c>
    </row>
    <row r="61" spans="1:22" x14ac:dyDescent="0.25">
      <c r="A61" s="9"/>
      <c r="B61" s="10"/>
      <c r="C61" s="11"/>
      <c r="D61" s="46">
        <f t="shared" si="42"/>
        <v>0</v>
      </c>
      <c r="E61" s="12"/>
      <c r="F61" s="47">
        <f t="shared" si="39"/>
        <v>0</v>
      </c>
      <c r="G61" s="374"/>
      <c r="H61" s="13"/>
      <c r="I61" s="48">
        <f t="shared" si="33"/>
        <v>0</v>
      </c>
      <c r="J61" s="47">
        <f t="shared" si="40"/>
        <v>0</v>
      </c>
      <c r="K61" s="47">
        <f t="shared" si="41"/>
        <v>0</v>
      </c>
      <c r="L61" s="371"/>
      <c r="N61" s="66"/>
      <c r="O61" s="67"/>
      <c r="P61" s="68"/>
      <c r="Q61" s="68"/>
      <c r="R61" s="69"/>
      <c r="T61" s="70" t="str">
        <f>IFERROR(VLOOKUP(A61,VLOOKUPS!$A$3:$D$31,2,0),"Ander")</f>
        <v>Ander</v>
      </c>
      <c r="U61" s="71">
        <f t="shared" si="37"/>
        <v>0</v>
      </c>
      <c r="V61" s="71">
        <f t="shared" si="38"/>
        <v>0</v>
      </c>
    </row>
    <row r="62" spans="1:22" x14ac:dyDescent="0.25">
      <c r="A62" s="9"/>
      <c r="B62" s="10"/>
      <c r="C62" s="11"/>
      <c r="D62" s="46">
        <f>L18*B62*C62</f>
        <v>0</v>
      </c>
      <c r="E62" s="12"/>
      <c r="F62" s="47">
        <f t="shared" si="39"/>
        <v>0</v>
      </c>
      <c r="G62" s="374"/>
      <c r="H62" s="13"/>
      <c r="I62" s="48">
        <f t="shared" si="33"/>
        <v>0</v>
      </c>
      <c r="J62" s="47">
        <f t="shared" si="40"/>
        <v>0</v>
      </c>
      <c r="K62" s="47">
        <f t="shared" si="41"/>
        <v>0</v>
      </c>
      <c r="L62" s="371"/>
      <c r="N62" s="66">
        <f t="shared" si="19"/>
        <v>0</v>
      </c>
      <c r="O62" s="67">
        <f t="shared" si="20"/>
        <v>0</v>
      </c>
      <c r="P62" s="68">
        <f t="shared" si="34"/>
        <v>0</v>
      </c>
      <c r="Q62" s="68">
        <f t="shared" si="35"/>
        <v>0</v>
      </c>
      <c r="R62" s="69">
        <f t="shared" si="36"/>
        <v>0</v>
      </c>
      <c r="T62" s="70" t="str">
        <f>IFERROR(VLOOKUP(A62,VLOOKUPS!$A$3:$D$31,2,0),"Ander")</f>
        <v>Ander</v>
      </c>
      <c r="U62" s="71">
        <f t="shared" si="37"/>
        <v>0</v>
      </c>
      <c r="V62" s="71">
        <f t="shared" si="38"/>
        <v>0</v>
      </c>
    </row>
    <row r="63" spans="1:22" x14ac:dyDescent="0.25">
      <c r="A63" s="9"/>
      <c r="B63" s="10"/>
      <c r="C63" s="11"/>
      <c r="D63" s="46">
        <f>L18*B63*C63</f>
        <v>0</v>
      </c>
      <c r="E63" s="12"/>
      <c r="F63" s="47">
        <f t="shared" si="39"/>
        <v>0</v>
      </c>
      <c r="G63" s="374"/>
      <c r="H63" s="13"/>
      <c r="I63" s="48">
        <f t="shared" si="33"/>
        <v>0</v>
      </c>
      <c r="J63" s="47">
        <f t="shared" si="40"/>
        <v>0</v>
      </c>
      <c r="K63" s="47">
        <f t="shared" si="41"/>
        <v>0</v>
      </c>
      <c r="L63" s="371"/>
      <c r="N63" s="66">
        <f t="shared" si="19"/>
        <v>0</v>
      </c>
      <c r="O63" s="67">
        <f t="shared" si="20"/>
        <v>0</v>
      </c>
      <c r="P63" s="68">
        <f t="shared" si="34"/>
        <v>0</v>
      </c>
      <c r="Q63" s="68">
        <f t="shared" si="35"/>
        <v>0</v>
      </c>
      <c r="R63" s="69">
        <f t="shared" si="36"/>
        <v>0</v>
      </c>
      <c r="T63" s="70" t="str">
        <f>IFERROR(VLOOKUP(A63,VLOOKUPS!$A$3:$D$31,2,0),"Ander")</f>
        <v>Ander</v>
      </c>
      <c r="U63" s="71">
        <f t="shared" si="37"/>
        <v>0</v>
      </c>
      <c r="V63" s="71">
        <f t="shared" si="38"/>
        <v>0</v>
      </c>
    </row>
    <row r="64" spans="1:22" ht="15.75" thickBot="1" x14ac:dyDescent="0.3">
      <c r="A64" s="14"/>
      <c r="B64" s="15"/>
      <c r="C64" s="16"/>
      <c r="D64" s="49">
        <f>L18*B64*C64</f>
        <v>0</v>
      </c>
      <c r="E64" s="17"/>
      <c r="F64" s="50">
        <f t="shared" si="39"/>
        <v>0</v>
      </c>
      <c r="G64" s="375"/>
      <c r="H64" s="18"/>
      <c r="I64" s="51">
        <f t="shared" si="33"/>
        <v>0</v>
      </c>
      <c r="J64" s="50">
        <f t="shared" si="40"/>
        <v>0</v>
      </c>
      <c r="K64" s="50">
        <f t="shared" si="41"/>
        <v>0</v>
      </c>
      <c r="L64" s="372"/>
      <c r="N64" s="66">
        <f t="shared" si="19"/>
        <v>0</v>
      </c>
      <c r="O64" s="67">
        <f t="shared" si="20"/>
        <v>0</v>
      </c>
      <c r="P64" s="68">
        <f t="shared" si="34"/>
        <v>0</v>
      </c>
      <c r="Q64" s="68">
        <f t="shared" si="35"/>
        <v>0</v>
      </c>
      <c r="R64" s="69">
        <f t="shared" si="36"/>
        <v>0</v>
      </c>
      <c r="T64" s="70" t="str">
        <f>IFERROR(VLOOKUP(A64,VLOOKUPS!$A$3:$D$31,2,0),"Ander")</f>
        <v>Ander</v>
      </c>
      <c r="U64" s="71">
        <f t="shared" si="37"/>
        <v>0</v>
      </c>
      <c r="V64" s="71">
        <f t="shared" si="38"/>
        <v>0</v>
      </c>
    </row>
    <row r="65" spans="1:22" ht="15.75" thickBot="1" x14ac:dyDescent="0.3">
      <c r="N65" s="66"/>
      <c r="O65" s="67"/>
      <c r="P65" s="68"/>
      <c r="Q65" s="68"/>
      <c r="R65" s="69"/>
      <c r="U65" s="72">
        <f>SUM(U55:U64)</f>
        <v>0</v>
      </c>
      <c r="V65" s="72">
        <f>SUM(V55:V64)</f>
        <v>9500</v>
      </c>
    </row>
    <row r="66" spans="1:22" ht="18.75" thickTop="1" thickBot="1" x14ac:dyDescent="0.35">
      <c r="A66" s="409" t="s">
        <v>67</v>
      </c>
      <c r="B66" s="410"/>
      <c r="C66" s="410"/>
      <c r="D66" s="410"/>
      <c r="E66" s="410"/>
      <c r="F66" s="410"/>
      <c r="G66" s="410"/>
      <c r="H66" s="410"/>
      <c r="I66" s="410"/>
      <c r="J66" s="410"/>
      <c r="K66" s="410"/>
      <c r="L66" s="411"/>
      <c r="N66" s="66"/>
      <c r="O66" s="67"/>
      <c r="P66" s="68"/>
      <c r="Q66" s="68"/>
      <c r="R66" s="69"/>
      <c r="U66" s="71"/>
      <c r="V66" s="71"/>
    </row>
    <row r="67" spans="1:22" ht="43.5" thickBot="1" x14ac:dyDescent="0.3">
      <c r="A67" s="37" t="s">
        <v>1</v>
      </c>
      <c r="B67" s="38" t="s">
        <v>62</v>
      </c>
      <c r="C67" s="39" t="s">
        <v>2</v>
      </c>
      <c r="D67" s="40" t="s">
        <v>93</v>
      </c>
      <c r="E67" s="39" t="s">
        <v>61</v>
      </c>
      <c r="F67" s="40" t="s">
        <v>94</v>
      </c>
      <c r="G67" s="41" t="s">
        <v>60</v>
      </c>
      <c r="H67" s="39" t="s">
        <v>59</v>
      </c>
      <c r="I67" s="103" t="s">
        <v>56</v>
      </c>
      <c r="J67" s="40" t="s">
        <v>57</v>
      </c>
      <c r="K67" s="40" t="s">
        <v>58</v>
      </c>
      <c r="L67" s="42" t="s">
        <v>0</v>
      </c>
      <c r="N67" s="66"/>
      <c r="O67" s="67"/>
      <c r="P67" s="68"/>
      <c r="Q67" s="68"/>
      <c r="R67" s="69"/>
      <c r="U67" s="71"/>
      <c r="V67" s="71"/>
    </row>
    <row r="68" spans="1:22" x14ac:dyDescent="0.25">
      <c r="A68" s="4" t="s">
        <v>1</v>
      </c>
      <c r="B68" s="5">
        <v>0.5</v>
      </c>
      <c r="C68" s="6">
        <v>1</v>
      </c>
      <c r="D68" s="43">
        <f>+L18*B68*C68</f>
        <v>12.5</v>
      </c>
      <c r="E68" s="7">
        <v>250</v>
      </c>
      <c r="F68" s="44">
        <f>+B68*C68*E68</f>
        <v>125</v>
      </c>
      <c r="G68" s="373">
        <f>SUM(F68:F71)</f>
        <v>125</v>
      </c>
      <c r="H68" s="8">
        <v>5</v>
      </c>
      <c r="I68" s="45">
        <f t="shared" ref="I68:I71" si="43">+IFERROR(ROUNDUP(D68/H68,0),0)</f>
        <v>3</v>
      </c>
      <c r="J68" s="44">
        <f>+E68*H68</f>
        <v>1250</v>
      </c>
      <c r="K68" s="44">
        <f>+I68*J68</f>
        <v>3750</v>
      </c>
      <c r="L68" s="370">
        <f>SUM(K68:K71)</f>
        <v>3750</v>
      </c>
      <c r="N68" s="66">
        <f t="shared" si="19"/>
        <v>30</v>
      </c>
      <c r="O68" s="67">
        <f t="shared" si="20"/>
        <v>25</v>
      </c>
      <c r="P68" s="68">
        <f t="shared" ref="P68:P71" si="44">+IFERROR(K68/N68,0)</f>
        <v>125</v>
      </c>
      <c r="Q68" s="68">
        <f t="shared" ref="Q68:Q71" si="45">+IFERROR(K68/O68,0)</f>
        <v>150</v>
      </c>
      <c r="R68" s="69">
        <f t="shared" ref="R68:R71" si="46">+B68*C68*E68</f>
        <v>125</v>
      </c>
      <c r="T68" s="70" t="str">
        <f>IFERROR(VLOOKUP(A68,VLOOKUPS!$A$3:$D$31,2,0),"Ander")</f>
        <v>Ander</v>
      </c>
      <c r="U68" s="71">
        <f t="shared" ref="U68:U71" si="47">IF(T68="Syngenta",K68,0)</f>
        <v>0</v>
      </c>
      <c r="V68" s="71">
        <f t="shared" ref="V68:V71" si="48">IF(T68="Ander",K68,0)</f>
        <v>3750</v>
      </c>
    </row>
    <row r="69" spans="1:22" x14ac:dyDescent="0.25">
      <c r="A69" s="9"/>
      <c r="B69" s="10"/>
      <c r="C69" s="11"/>
      <c r="D69" s="46">
        <f>+L18*B69*C69</f>
        <v>0</v>
      </c>
      <c r="E69" s="12"/>
      <c r="F69" s="47">
        <f t="shared" ref="F69:F71" si="49">+B69*C69*E69</f>
        <v>0</v>
      </c>
      <c r="G69" s="374"/>
      <c r="H69" s="13"/>
      <c r="I69" s="48">
        <f t="shared" si="43"/>
        <v>0</v>
      </c>
      <c r="J69" s="47">
        <f t="shared" ref="J69:J71" si="50">+E69*H69</f>
        <v>0</v>
      </c>
      <c r="K69" s="47">
        <f t="shared" ref="K69:K71" si="51">+I69*J69</f>
        <v>0</v>
      </c>
      <c r="L69" s="371"/>
      <c r="N69" s="66">
        <f t="shared" si="19"/>
        <v>0</v>
      </c>
      <c r="O69" s="67">
        <f t="shared" si="20"/>
        <v>0</v>
      </c>
      <c r="P69" s="68">
        <f t="shared" si="44"/>
        <v>0</v>
      </c>
      <c r="Q69" s="68">
        <f t="shared" si="45"/>
        <v>0</v>
      </c>
      <c r="R69" s="69">
        <f t="shared" si="46"/>
        <v>0</v>
      </c>
      <c r="T69" s="70" t="str">
        <f>IFERROR(VLOOKUP(A69,VLOOKUPS!$A$3:$D$31,2,0),"Ander")</f>
        <v>Ander</v>
      </c>
      <c r="U69" s="71">
        <f t="shared" si="47"/>
        <v>0</v>
      </c>
      <c r="V69" s="71">
        <f t="shared" si="48"/>
        <v>0</v>
      </c>
    </row>
    <row r="70" spans="1:22" x14ac:dyDescent="0.25">
      <c r="A70" s="9"/>
      <c r="B70" s="10"/>
      <c r="C70" s="11"/>
      <c r="D70" s="46">
        <f>L18*B70*C70</f>
        <v>0</v>
      </c>
      <c r="E70" s="12"/>
      <c r="F70" s="47">
        <f t="shared" si="49"/>
        <v>0</v>
      </c>
      <c r="G70" s="374"/>
      <c r="H70" s="13"/>
      <c r="I70" s="48">
        <f t="shared" si="43"/>
        <v>0</v>
      </c>
      <c r="J70" s="47">
        <f t="shared" si="50"/>
        <v>0</v>
      </c>
      <c r="K70" s="47">
        <f t="shared" si="51"/>
        <v>0</v>
      </c>
      <c r="L70" s="371"/>
      <c r="N70" s="66">
        <f t="shared" si="19"/>
        <v>0</v>
      </c>
      <c r="O70" s="67">
        <f t="shared" si="20"/>
        <v>0</v>
      </c>
      <c r="P70" s="68">
        <f t="shared" si="44"/>
        <v>0</v>
      </c>
      <c r="Q70" s="68">
        <f t="shared" si="45"/>
        <v>0</v>
      </c>
      <c r="R70" s="69">
        <f t="shared" si="46"/>
        <v>0</v>
      </c>
      <c r="T70" s="70" t="str">
        <f>IFERROR(VLOOKUP(A70,VLOOKUPS!$A$3:$D$31,2,0),"Ander")</f>
        <v>Ander</v>
      </c>
      <c r="U70" s="71">
        <f t="shared" si="47"/>
        <v>0</v>
      </c>
      <c r="V70" s="71">
        <f t="shared" si="48"/>
        <v>0</v>
      </c>
    </row>
    <row r="71" spans="1:22" ht="15.75" thickBot="1" x14ac:dyDescent="0.3">
      <c r="A71" s="14"/>
      <c r="B71" s="15"/>
      <c r="C71" s="16"/>
      <c r="D71" s="49">
        <f>+L18*B71*C71</f>
        <v>0</v>
      </c>
      <c r="E71" s="17"/>
      <c r="F71" s="50">
        <f t="shared" si="49"/>
        <v>0</v>
      </c>
      <c r="G71" s="375"/>
      <c r="H71" s="18"/>
      <c r="I71" s="51">
        <f t="shared" si="43"/>
        <v>0</v>
      </c>
      <c r="J71" s="50">
        <f t="shared" si="50"/>
        <v>0</v>
      </c>
      <c r="K71" s="50">
        <f t="shared" si="51"/>
        <v>0</v>
      </c>
      <c r="L71" s="372"/>
      <c r="N71" s="66">
        <f t="shared" si="19"/>
        <v>0</v>
      </c>
      <c r="O71" s="67">
        <f t="shared" si="20"/>
        <v>0</v>
      </c>
      <c r="P71" s="68">
        <f t="shared" si="44"/>
        <v>0</v>
      </c>
      <c r="Q71" s="68">
        <f t="shared" si="45"/>
        <v>0</v>
      </c>
      <c r="R71" s="69">
        <f t="shared" si="46"/>
        <v>0</v>
      </c>
      <c r="T71" s="70" t="str">
        <f>IFERROR(VLOOKUP(A71,VLOOKUPS!$A$3:$D$31,2,0),"Ander")</f>
        <v>Ander</v>
      </c>
      <c r="U71" s="71">
        <f t="shared" si="47"/>
        <v>0</v>
      </c>
      <c r="V71" s="71">
        <f t="shared" si="48"/>
        <v>0</v>
      </c>
    </row>
    <row r="72" spans="1:22" ht="15.75" thickBot="1" x14ac:dyDescent="0.3">
      <c r="U72" s="72">
        <f>SUM(U68:U71)</f>
        <v>0</v>
      </c>
      <c r="V72" s="72">
        <f>SUM(V68:V71)</f>
        <v>3750</v>
      </c>
    </row>
    <row r="73" spans="1:22" ht="15.75" thickTop="1" x14ac:dyDescent="0.25">
      <c r="U73" s="73"/>
      <c r="V73" s="73"/>
    </row>
    <row r="74" spans="1:22" ht="15" customHeight="1" thickBot="1" x14ac:dyDescent="0.3">
      <c r="B74" s="395" t="s">
        <v>89</v>
      </c>
      <c r="C74" s="396"/>
      <c r="D74" s="396"/>
      <c r="E74" s="396"/>
      <c r="F74" s="396"/>
      <c r="G74" s="396"/>
      <c r="H74" s="396"/>
      <c r="I74" s="396"/>
      <c r="J74" s="396"/>
      <c r="K74" s="397"/>
    </row>
    <row r="75" spans="1:22" ht="15.75" thickBot="1" x14ac:dyDescent="0.3">
      <c r="B75" s="398"/>
      <c r="C75" s="399"/>
      <c r="D75" s="399"/>
      <c r="E75" s="399"/>
      <c r="F75" s="399"/>
      <c r="G75" s="399"/>
      <c r="H75" s="399"/>
      <c r="I75" s="399"/>
      <c r="J75" s="399"/>
      <c r="K75" s="400"/>
      <c r="T75" s="74" t="s">
        <v>76</v>
      </c>
      <c r="U75" s="105">
        <f>U72+U65+U52+U41+U30</f>
        <v>0</v>
      </c>
      <c r="V75" s="106">
        <f>V72+V65+V52+V41+V30</f>
        <v>36154</v>
      </c>
    </row>
    <row r="76" spans="1:22" x14ac:dyDescent="0.25">
      <c r="B76" s="36"/>
      <c r="C76" s="111"/>
      <c r="D76" s="111"/>
      <c r="E76" s="111"/>
      <c r="F76" s="111"/>
      <c r="T76" s="27" t="s">
        <v>77</v>
      </c>
      <c r="U76" s="75">
        <f>V75+U75-L14</f>
        <v>0</v>
      </c>
    </row>
    <row r="77" spans="1:22" x14ac:dyDescent="0.25">
      <c r="B77" s="36"/>
      <c r="C77" s="111"/>
      <c r="D77" s="111"/>
      <c r="E77" s="111"/>
      <c r="F77" s="111"/>
    </row>
    <row r="78" spans="1:22" x14ac:dyDescent="0.25">
      <c r="B78" s="36"/>
      <c r="C78" s="111"/>
      <c r="D78" s="111"/>
      <c r="E78" s="111"/>
      <c r="F78" s="111"/>
    </row>
  </sheetData>
  <sheetProtection selectLockedCells="1"/>
  <mergeCells count="48">
    <mergeCell ref="B74:K75"/>
    <mergeCell ref="G33:G40"/>
    <mergeCell ref="L33:L40"/>
    <mergeCell ref="A42:L42"/>
    <mergeCell ref="G44:G51"/>
    <mergeCell ref="L44:L51"/>
    <mergeCell ref="A53:L53"/>
    <mergeCell ref="G55:G64"/>
    <mergeCell ref="L55:L64"/>
    <mergeCell ref="A66:L66"/>
    <mergeCell ref="G68:G71"/>
    <mergeCell ref="L68:L71"/>
    <mergeCell ref="A31:L31"/>
    <mergeCell ref="B16:C16"/>
    <mergeCell ref="G16:H16"/>
    <mergeCell ref="J16:K16"/>
    <mergeCell ref="B18:C18"/>
    <mergeCell ref="G18:H18"/>
    <mergeCell ref="J18:K18"/>
    <mergeCell ref="A20:L20"/>
    <mergeCell ref="G21:H22"/>
    <mergeCell ref="I21:I22"/>
    <mergeCell ref="G24:G29"/>
    <mergeCell ref="L24:L29"/>
    <mergeCell ref="B14:C14"/>
    <mergeCell ref="G14:H14"/>
    <mergeCell ref="J14:K14"/>
    <mergeCell ref="B15:C15"/>
    <mergeCell ref="G15:H15"/>
    <mergeCell ref="J15:K15"/>
    <mergeCell ref="B12:C12"/>
    <mergeCell ref="G12:H12"/>
    <mergeCell ref="J12:K12"/>
    <mergeCell ref="B13:C13"/>
    <mergeCell ref="G13:H13"/>
    <mergeCell ref="J13:K13"/>
    <mergeCell ref="B10:C10"/>
    <mergeCell ref="G10:H10"/>
    <mergeCell ref="J10:K10"/>
    <mergeCell ref="B11:C11"/>
    <mergeCell ref="G11:H11"/>
    <mergeCell ref="J11:K11"/>
    <mergeCell ref="A8:C8"/>
    <mergeCell ref="F8:H8"/>
    <mergeCell ref="J8:L8"/>
    <mergeCell ref="B9:C9"/>
    <mergeCell ref="G9:H9"/>
    <mergeCell ref="J9:K9"/>
  </mergeCells>
  <printOptions horizontalCentered="1" verticalCentered="1"/>
  <pageMargins left="0.26" right="0.28999999999999998" top="0.19" bottom="0.18" header="0" footer="0"/>
  <pageSetup paperSize="9" scale="64"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pageSetUpPr fitToPage="1"/>
  </sheetPr>
  <dimension ref="A1:V78"/>
  <sheetViews>
    <sheetView zoomScaleNormal="100" workbookViewId="0">
      <selection activeCell="J24" sqref="J24"/>
    </sheetView>
  </sheetViews>
  <sheetFormatPr defaultRowHeight="15" x14ac:dyDescent="0.25"/>
  <cols>
    <col min="1" max="1" width="21.140625" style="27" customWidth="1"/>
    <col min="2" max="2" width="9.140625" style="27" customWidth="1"/>
    <col min="3" max="3" width="10.85546875" style="27" customWidth="1"/>
    <col min="4" max="4" width="9.140625" style="27"/>
    <col min="5" max="5" width="11.5703125" style="27" bestFit="1" customWidth="1"/>
    <col min="6" max="7" width="11.5703125" style="27" customWidth="1"/>
    <col min="8" max="8" width="11.28515625" style="27" customWidth="1"/>
    <col min="9" max="9" width="11.140625" style="27" customWidth="1"/>
    <col min="10" max="10" width="12.5703125" style="27" bestFit="1" customWidth="1"/>
    <col min="11" max="11" width="14.140625" style="27" customWidth="1"/>
    <col min="12" max="12" width="14.85546875" style="27" customWidth="1"/>
    <col min="13" max="13" width="9.140625" style="27" customWidth="1"/>
    <col min="14" max="14" width="12.28515625" style="27" hidden="1" customWidth="1"/>
    <col min="15" max="15" width="10.5703125" style="27" hidden="1" customWidth="1"/>
    <col min="16" max="16" width="14.140625" style="27" hidden="1" customWidth="1"/>
    <col min="17" max="17" width="13.42578125" style="27" hidden="1" customWidth="1"/>
    <col min="18" max="18" width="18.42578125" style="27" hidden="1" customWidth="1"/>
    <col min="19" max="19" width="9.140625" style="27" customWidth="1"/>
    <col min="20" max="20" width="12.28515625" style="27" hidden="1" customWidth="1"/>
    <col min="21" max="21" width="10.5703125" style="27" hidden="1" customWidth="1"/>
    <col min="22" max="22" width="9.140625" style="27" hidden="1" customWidth="1"/>
    <col min="23" max="23" width="9.140625" style="27" customWidth="1"/>
    <col min="24" max="16384" width="9.140625" style="27"/>
  </cols>
  <sheetData>
    <row r="1" spans="1:14" s="61" customFormat="1" ht="15" customHeight="1" x14ac:dyDescent="0.25"/>
    <row r="4" spans="1:14" ht="15.75" thickBot="1" x14ac:dyDescent="0.3"/>
    <row r="5" spans="1:14" ht="15.75" thickBot="1" x14ac:dyDescent="0.3">
      <c r="C5" s="76"/>
      <c r="F5" s="117" t="s">
        <v>134</v>
      </c>
      <c r="G5" s="118" t="s">
        <v>126</v>
      </c>
    </row>
    <row r="6" spans="1:14" x14ac:dyDescent="0.25">
      <c r="C6" s="76"/>
    </row>
    <row r="7" spans="1:14" ht="15.75" thickBot="1" x14ac:dyDescent="0.3"/>
    <row r="8" spans="1:14" ht="15.75" thickBot="1" x14ac:dyDescent="0.3">
      <c r="A8" s="404" t="s">
        <v>39</v>
      </c>
      <c r="B8" s="405"/>
      <c r="C8" s="406"/>
      <c r="F8" s="376" t="s">
        <v>48</v>
      </c>
      <c r="G8" s="377"/>
      <c r="H8" s="378"/>
      <c r="J8" s="376" t="s">
        <v>36</v>
      </c>
      <c r="K8" s="377"/>
      <c r="L8" s="378"/>
    </row>
    <row r="9" spans="1:14" x14ac:dyDescent="0.25">
      <c r="A9" s="28" t="s">
        <v>40</v>
      </c>
      <c r="B9" s="407" t="str">
        <f>+'Koring 1 (dont use)'!B9:C9</f>
        <v>Jaque Fourie</v>
      </c>
      <c r="C9" s="408"/>
      <c r="F9" s="28" t="s">
        <v>81</v>
      </c>
      <c r="G9" s="387" t="str">
        <f>+'Koring 1 (dont use)'!G9:H9</f>
        <v>Bakkies Botha</v>
      </c>
      <c r="H9" s="388"/>
      <c r="J9" s="420" t="str">
        <f>+A20</f>
        <v>Saadbehandeling</v>
      </c>
      <c r="K9" s="421"/>
      <c r="L9" s="23">
        <f>+L24</f>
        <v>8500</v>
      </c>
    </row>
    <row r="10" spans="1:14" x14ac:dyDescent="0.25">
      <c r="A10" s="29" t="s">
        <v>47</v>
      </c>
      <c r="B10" s="424" t="str">
        <f>+'Koring 1 (dont use)'!B10:C10</f>
        <v>Japan</v>
      </c>
      <c r="C10" s="425"/>
      <c r="F10" s="29" t="s">
        <v>82</v>
      </c>
      <c r="G10" s="424" t="str">
        <f>+'Koring 1 (dont use)'!G10:H10</f>
        <v xml:space="preserve">Bus 524 </v>
      </c>
      <c r="H10" s="425"/>
      <c r="J10" s="389" t="str">
        <f>+A31</f>
        <v>Voor plant</v>
      </c>
      <c r="K10" s="390"/>
      <c r="L10" s="24">
        <f>+L33</f>
        <v>2980</v>
      </c>
    </row>
    <row r="11" spans="1:14" x14ac:dyDescent="0.25">
      <c r="A11" s="30"/>
      <c r="B11" s="424">
        <f>+'Koring 1 (dont use)'!B11:C11</f>
        <v>0</v>
      </c>
      <c r="C11" s="425"/>
      <c r="F11" s="29" t="s">
        <v>83</v>
      </c>
      <c r="G11" s="424" t="str">
        <f>+'Koring 1 (dont use)'!G11:H11</f>
        <v>Brakfontein</v>
      </c>
      <c r="H11" s="425"/>
      <c r="J11" s="389" t="str">
        <f>+A42</f>
        <v>Voor-opkoms (met plant)</v>
      </c>
      <c r="K11" s="390"/>
      <c r="L11" s="24">
        <f>+L44</f>
        <v>6648</v>
      </c>
    </row>
    <row r="12" spans="1:14" x14ac:dyDescent="0.25">
      <c r="A12" s="29" t="s">
        <v>45</v>
      </c>
      <c r="B12" s="424" t="str">
        <f>+'Koring 1 (dont use)'!B12:C12</f>
        <v>0001</v>
      </c>
      <c r="C12" s="425"/>
      <c r="F12" s="29" t="s">
        <v>84</v>
      </c>
      <c r="G12" s="424" t="str">
        <f>+'Koring 1 (dont use)'!G12:H12</f>
        <v>Humansdorp</v>
      </c>
      <c r="H12" s="425"/>
      <c r="J12" s="389" t="str">
        <f>+A53</f>
        <v>Na-opkoms</v>
      </c>
      <c r="K12" s="390"/>
      <c r="L12" s="24">
        <f>+L55</f>
        <v>8120</v>
      </c>
    </row>
    <row r="13" spans="1:14" x14ac:dyDescent="0.25">
      <c r="A13" s="29" t="s">
        <v>41</v>
      </c>
      <c r="B13" s="424">
        <f>+'Koring 1 (dont use)'!B13:C13</f>
        <v>0</v>
      </c>
      <c r="C13" s="425"/>
      <c r="F13" s="29" t="s">
        <v>85</v>
      </c>
      <c r="G13" s="424" t="str">
        <f>+'Koring 1 (dont use)'!G13:H13</f>
        <v>2587</v>
      </c>
      <c r="H13" s="425"/>
      <c r="J13" s="389" t="str">
        <f>+A66</f>
        <v>Ander</v>
      </c>
      <c r="K13" s="390"/>
      <c r="L13" s="24">
        <f>+L68</f>
        <v>2500</v>
      </c>
    </row>
    <row r="14" spans="1:14" ht="15.75" thickBot="1" x14ac:dyDescent="0.3">
      <c r="A14" s="29" t="s">
        <v>42</v>
      </c>
      <c r="B14" s="424">
        <f>+'Koring 1 (dont use)'!B14:C14</f>
        <v>0</v>
      </c>
      <c r="C14" s="425"/>
      <c r="F14" s="29" t="s">
        <v>86</v>
      </c>
      <c r="G14" s="424" t="str">
        <f>+'Koring 1 (dont use)'!G14:H14</f>
        <v>0112548798</v>
      </c>
      <c r="H14" s="425"/>
      <c r="J14" s="391" t="s">
        <v>55</v>
      </c>
      <c r="K14" s="392"/>
      <c r="L14" s="26">
        <f>SUM(L9:L13)</f>
        <v>28748</v>
      </c>
    </row>
    <row r="15" spans="1:14" ht="16.5" thickTop="1" thickBot="1" x14ac:dyDescent="0.3">
      <c r="A15" s="29" t="s">
        <v>43</v>
      </c>
      <c r="B15" s="424" t="str">
        <f>+'Koring 1 (dont use)'!B15:C15</f>
        <v>0878522233</v>
      </c>
      <c r="C15" s="425"/>
      <c r="F15" s="29" t="s">
        <v>87</v>
      </c>
      <c r="G15" s="424" t="str">
        <f>+'Koring 1 (dont use)'!G15:H15</f>
        <v>0768543221</v>
      </c>
      <c r="H15" s="425"/>
      <c r="J15" s="426"/>
      <c r="K15" s="427"/>
      <c r="L15" s="25"/>
    </row>
    <row r="16" spans="1:14" ht="15.75" thickBot="1" x14ac:dyDescent="0.3">
      <c r="A16" s="31" t="s">
        <v>44</v>
      </c>
      <c r="B16" s="428" t="str">
        <f>+'Koring 1 (dont use)'!B16:C16</f>
        <v>jfourie@gmail.com</v>
      </c>
      <c r="C16" s="429"/>
      <c r="F16" s="31" t="s">
        <v>88</v>
      </c>
      <c r="G16" s="430" t="str">
        <f>+'Koring 1 (dont use)'!G16:H16</f>
        <v>bb@bok.co.za</v>
      </c>
      <c r="H16" s="431"/>
      <c r="J16" s="432" t="s">
        <v>70</v>
      </c>
      <c r="K16" s="433"/>
      <c r="L16" s="104">
        <f>+G24+G33+G44+G55+G68</f>
        <v>920.63333333333344</v>
      </c>
      <c r="N16" s="62">
        <f>+L14/L18</f>
        <v>1916.5333333333333</v>
      </c>
    </row>
    <row r="17" spans="1:22" ht="15.75" thickBot="1" x14ac:dyDescent="0.3">
      <c r="E17" s="32"/>
      <c r="J17" s="33"/>
      <c r="K17" s="33"/>
      <c r="L17" s="34"/>
    </row>
    <row r="18" spans="1:22" ht="15.75" thickBot="1" x14ac:dyDescent="0.3">
      <c r="A18" s="35" t="s">
        <v>106</v>
      </c>
      <c r="B18" s="434" t="str">
        <f>+'Koring 1 (dont use)'!B18:C18</f>
        <v>Co</v>
      </c>
      <c r="C18" s="435"/>
      <c r="E18" s="32"/>
      <c r="F18" s="35" t="s">
        <v>69</v>
      </c>
      <c r="G18" s="418" t="str">
        <f>+'Koring 1 (dont use)'!G18:H18</f>
        <v>2012/09/12</v>
      </c>
      <c r="H18" s="436"/>
      <c r="J18" s="404" t="s">
        <v>46</v>
      </c>
      <c r="K18" s="405"/>
      <c r="L18" s="3">
        <v>15</v>
      </c>
    </row>
    <row r="19" spans="1:22" s="77" customFormat="1" ht="15.75" thickBot="1" x14ac:dyDescent="0.3">
      <c r="A19" s="101"/>
      <c r="B19" s="109"/>
      <c r="C19" s="109"/>
      <c r="E19" s="102"/>
      <c r="F19" s="101"/>
      <c r="G19" s="109"/>
      <c r="H19" s="109"/>
      <c r="J19" s="100"/>
      <c r="K19" s="100"/>
      <c r="L19" s="110"/>
    </row>
    <row r="20" spans="1:22" s="77" customFormat="1" ht="18" thickBot="1" x14ac:dyDescent="0.35">
      <c r="A20" s="409" t="s">
        <v>38</v>
      </c>
      <c r="B20" s="410"/>
      <c r="C20" s="410"/>
      <c r="D20" s="410"/>
      <c r="E20" s="410"/>
      <c r="F20" s="410"/>
      <c r="G20" s="410"/>
      <c r="H20" s="410"/>
      <c r="I20" s="410"/>
      <c r="J20" s="410"/>
      <c r="K20" s="410"/>
      <c r="L20" s="411"/>
    </row>
    <row r="21" spans="1:22" s="77" customFormat="1" x14ac:dyDescent="0.25">
      <c r="A21" s="52"/>
      <c r="B21" s="53" t="s">
        <v>97</v>
      </c>
      <c r="C21" s="19">
        <v>26000</v>
      </c>
      <c r="D21" s="54"/>
      <c r="E21" s="55"/>
      <c r="F21" s="55"/>
      <c r="G21" s="437" t="s">
        <v>99</v>
      </c>
      <c r="H21" s="438"/>
      <c r="I21" s="441">
        <f>+C21/C22</f>
        <v>0.43333333333333335</v>
      </c>
      <c r="J21" s="54"/>
      <c r="K21" s="54"/>
      <c r="L21" s="56"/>
    </row>
    <row r="22" spans="1:22" s="77" customFormat="1" ht="15.75" thickBot="1" x14ac:dyDescent="0.3">
      <c r="A22" s="57"/>
      <c r="B22" s="58" t="s">
        <v>98</v>
      </c>
      <c r="C22" s="20">
        <v>60000</v>
      </c>
      <c r="D22" s="59"/>
      <c r="E22" s="55"/>
      <c r="F22" s="55"/>
      <c r="G22" s="439"/>
      <c r="H22" s="440"/>
      <c r="I22" s="442"/>
      <c r="J22" s="59"/>
      <c r="K22" s="59"/>
      <c r="L22" s="60"/>
      <c r="T22" s="107"/>
      <c r="U22" s="108" t="s">
        <v>113</v>
      </c>
      <c r="V22" s="107"/>
    </row>
    <row r="23" spans="1:22" s="77" customFormat="1" ht="43.5" thickBot="1" x14ac:dyDescent="0.3">
      <c r="A23" s="37" t="s">
        <v>1</v>
      </c>
      <c r="B23" s="38" t="s">
        <v>95</v>
      </c>
      <c r="C23" s="39" t="s">
        <v>96</v>
      </c>
      <c r="D23" s="40" t="s">
        <v>93</v>
      </c>
      <c r="E23" s="39" t="s">
        <v>61</v>
      </c>
      <c r="F23" s="40" t="s">
        <v>94</v>
      </c>
      <c r="G23" s="41" t="s">
        <v>60</v>
      </c>
      <c r="H23" s="39" t="s">
        <v>59</v>
      </c>
      <c r="I23" s="103" t="s">
        <v>56</v>
      </c>
      <c r="J23" s="40" t="s">
        <v>57</v>
      </c>
      <c r="K23" s="40" t="s">
        <v>58</v>
      </c>
      <c r="L23" s="42" t="s">
        <v>0</v>
      </c>
      <c r="N23" s="63" t="s">
        <v>101</v>
      </c>
      <c r="O23" s="63" t="s">
        <v>100</v>
      </c>
      <c r="P23" s="64" t="s">
        <v>102</v>
      </c>
      <c r="Q23" s="64" t="s">
        <v>103</v>
      </c>
      <c r="R23" s="64" t="s">
        <v>104</v>
      </c>
      <c r="S23" s="27"/>
      <c r="T23" s="65" t="s">
        <v>72</v>
      </c>
      <c r="U23" s="65" t="s">
        <v>74</v>
      </c>
      <c r="V23" s="65" t="s">
        <v>75</v>
      </c>
    </row>
    <row r="24" spans="1:22" s="77" customFormat="1" x14ac:dyDescent="0.25">
      <c r="A24" s="134" t="s">
        <v>1</v>
      </c>
      <c r="B24" s="135">
        <v>0.1</v>
      </c>
      <c r="C24" s="136">
        <v>100</v>
      </c>
      <c r="D24" s="43">
        <f t="shared" ref="D24" si="0">+B24*C24</f>
        <v>10</v>
      </c>
      <c r="E24" s="137">
        <v>850</v>
      </c>
      <c r="F24" s="44">
        <f t="shared" ref="F24" si="1">+IFERROR(K24/(C24/$I$21),0)</f>
        <v>36.833333333333336</v>
      </c>
      <c r="G24" s="373">
        <f>SUM(F24:F29)</f>
        <v>36.833333333333336</v>
      </c>
      <c r="H24" s="138">
        <v>1</v>
      </c>
      <c r="I24" s="45">
        <f t="shared" ref="I24" si="2">+IFERROR(ROUNDUP(D24/H24,0),0)</f>
        <v>10</v>
      </c>
      <c r="J24" s="44">
        <f>+E24*H24</f>
        <v>850</v>
      </c>
      <c r="K24" s="44">
        <f>+I24*J24</f>
        <v>8500</v>
      </c>
      <c r="L24" s="370">
        <f>SUM(K24:K29)</f>
        <v>8500</v>
      </c>
      <c r="T24" s="70" t="str">
        <f>IFERROR(VLOOKUP(A24,VLOOKUPS!$A$3:$D$31,2,0),"Ander")</f>
        <v>Ander</v>
      </c>
      <c r="U24" s="71">
        <f t="shared" ref="U24:U29" si="3">IF(T24="Syngenta",K24,0)</f>
        <v>0</v>
      </c>
      <c r="V24" s="71">
        <f t="shared" ref="V24:V29" si="4">IF(T24="Ander",K24,0)</f>
        <v>8500</v>
      </c>
    </row>
    <row r="25" spans="1:22" s="77" customFormat="1" x14ac:dyDescent="0.25">
      <c r="A25" s="9"/>
      <c r="B25" s="10"/>
      <c r="C25" s="21"/>
      <c r="D25" s="46">
        <f t="shared" ref="D25:D29" si="5">+B25*C25</f>
        <v>0</v>
      </c>
      <c r="E25" s="12"/>
      <c r="F25" s="47">
        <f t="shared" ref="F25:F29" si="6">+IFERROR(K25/(C25/$I$21),0)</f>
        <v>0</v>
      </c>
      <c r="G25" s="374"/>
      <c r="H25" s="13"/>
      <c r="I25" s="48">
        <f t="shared" ref="I25:I26" si="7">+IFERROR(ROUNDUP(D25/H25,0),0)</f>
        <v>0</v>
      </c>
      <c r="J25" s="47">
        <f>+E25*H25</f>
        <v>0</v>
      </c>
      <c r="K25" s="47">
        <f>+I25*J25</f>
        <v>0</v>
      </c>
      <c r="L25" s="371"/>
      <c r="T25" s="70" t="str">
        <f>IFERROR(VLOOKUP(A25,VLOOKUPS!$A$3:$D$31,2,0),"Ander")</f>
        <v>Ander</v>
      </c>
      <c r="U25" s="71">
        <f t="shared" si="3"/>
        <v>0</v>
      </c>
      <c r="V25" s="71">
        <f t="shared" si="4"/>
        <v>0</v>
      </c>
    </row>
    <row r="26" spans="1:22" s="77" customFormat="1" x14ac:dyDescent="0.25">
      <c r="A26" s="9"/>
      <c r="B26" s="10"/>
      <c r="C26" s="21"/>
      <c r="D26" s="46">
        <f t="shared" si="5"/>
        <v>0</v>
      </c>
      <c r="E26" s="12"/>
      <c r="F26" s="47">
        <f t="shared" si="6"/>
        <v>0</v>
      </c>
      <c r="G26" s="374"/>
      <c r="H26" s="13"/>
      <c r="I26" s="48">
        <f t="shared" si="7"/>
        <v>0</v>
      </c>
      <c r="J26" s="47">
        <f t="shared" ref="J26:J29" si="8">+E26*H26</f>
        <v>0</v>
      </c>
      <c r="K26" s="47">
        <f t="shared" ref="K26:K29" si="9">+I26*J26</f>
        <v>0</v>
      </c>
      <c r="L26" s="371"/>
      <c r="T26" s="70" t="str">
        <f>IFERROR(VLOOKUP(A26,VLOOKUPS!$A$3:$D$31,2,0),"Ander")</f>
        <v>Ander</v>
      </c>
      <c r="U26" s="71">
        <f t="shared" si="3"/>
        <v>0</v>
      </c>
      <c r="V26" s="71">
        <f t="shared" si="4"/>
        <v>0</v>
      </c>
    </row>
    <row r="27" spans="1:22" s="77" customFormat="1" x14ac:dyDescent="0.25">
      <c r="A27" s="9"/>
      <c r="B27" s="10"/>
      <c r="C27" s="21"/>
      <c r="D27" s="46">
        <f t="shared" si="5"/>
        <v>0</v>
      </c>
      <c r="E27" s="12"/>
      <c r="F27" s="47">
        <f t="shared" si="6"/>
        <v>0</v>
      </c>
      <c r="G27" s="374"/>
      <c r="H27" s="13"/>
      <c r="I27" s="48">
        <f>+IFERROR(ROUNDUP(D27/H27,0),0)</f>
        <v>0</v>
      </c>
      <c r="J27" s="47">
        <f t="shared" si="8"/>
        <v>0</v>
      </c>
      <c r="K27" s="47">
        <f t="shared" si="9"/>
        <v>0</v>
      </c>
      <c r="L27" s="371"/>
      <c r="T27" s="70" t="str">
        <f>IFERROR(VLOOKUP(A27,VLOOKUPS!$A$3:$D$31,2,0),"Ander")</f>
        <v>Ander</v>
      </c>
      <c r="U27" s="71">
        <f t="shared" si="3"/>
        <v>0</v>
      </c>
      <c r="V27" s="71">
        <f t="shared" si="4"/>
        <v>0</v>
      </c>
    </row>
    <row r="28" spans="1:22" s="77" customFormat="1" x14ac:dyDescent="0.25">
      <c r="A28" s="9"/>
      <c r="B28" s="10"/>
      <c r="C28" s="21"/>
      <c r="D28" s="46">
        <f t="shared" si="5"/>
        <v>0</v>
      </c>
      <c r="E28" s="12"/>
      <c r="F28" s="47">
        <f t="shared" si="6"/>
        <v>0</v>
      </c>
      <c r="G28" s="374"/>
      <c r="H28" s="13"/>
      <c r="I28" s="48">
        <f t="shared" ref="I28:I29" si="10">+IFERROR(ROUNDUP(D28/H28,0),0)</f>
        <v>0</v>
      </c>
      <c r="J28" s="47">
        <f t="shared" si="8"/>
        <v>0</v>
      </c>
      <c r="K28" s="47">
        <f t="shared" si="9"/>
        <v>0</v>
      </c>
      <c r="L28" s="371"/>
      <c r="T28" s="70" t="str">
        <f>IFERROR(VLOOKUP(A28,VLOOKUPS!$A$3:$D$31,2,0),"Ander")</f>
        <v>Ander</v>
      </c>
      <c r="U28" s="71">
        <f t="shared" si="3"/>
        <v>0</v>
      </c>
      <c r="V28" s="71">
        <f t="shared" si="4"/>
        <v>0</v>
      </c>
    </row>
    <row r="29" spans="1:22" s="77" customFormat="1" ht="15.75" thickBot="1" x14ac:dyDescent="0.3">
      <c r="A29" s="14"/>
      <c r="B29" s="15"/>
      <c r="C29" s="22"/>
      <c r="D29" s="49">
        <f t="shared" si="5"/>
        <v>0</v>
      </c>
      <c r="E29" s="17"/>
      <c r="F29" s="50">
        <f t="shared" si="6"/>
        <v>0</v>
      </c>
      <c r="G29" s="375"/>
      <c r="H29" s="18"/>
      <c r="I29" s="51">
        <f t="shared" si="10"/>
        <v>0</v>
      </c>
      <c r="J29" s="50">
        <f t="shared" si="8"/>
        <v>0</v>
      </c>
      <c r="K29" s="50">
        <f t="shared" si="9"/>
        <v>0</v>
      </c>
      <c r="L29" s="372"/>
      <c r="T29" s="70" t="str">
        <f>IFERROR(VLOOKUP(A29,VLOOKUPS!$A$3:$D$31,2,0),"Ander")</f>
        <v>Ander</v>
      </c>
      <c r="U29" s="71">
        <f t="shared" si="3"/>
        <v>0</v>
      </c>
      <c r="V29" s="71">
        <f t="shared" si="4"/>
        <v>0</v>
      </c>
    </row>
    <row r="30" spans="1:22" s="77" customFormat="1" ht="15.75" thickBot="1" x14ac:dyDescent="0.3">
      <c r="A30" s="101"/>
      <c r="B30" s="109"/>
      <c r="C30" s="109"/>
      <c r="E30" s="102"/>
      <c r="F30" s="101"/>
      <c r="G30" s="109"/>
      <c r="H30" s="109"/>
      <c r="J30" s="100"/>
      <c r="K30" s="100"/>
      <c r="L30" s="110"/>
      <c r="T30" s="27"/>
      <c r="U30" s="72">
        <f>SUM(U24:U29)</f>
        <v>0</v>
      </c>
      <c r="V30" s="72">
        <f>SUM(V24:V29)</f>
        <v>8500</v>
      </c>
    </row>
    <row r="31" spans="1:22" ht="18.75" thickTop="1" thickBot="1" x14ac:dyDescent="0.35">
      <c r="A31" s="415" t="s">
        <v>37</v>
      </c>
      <c r="B31" s="416"/>
      <c r="C31" s="416"/>
      <c r="D31" s="416"/>
      <c r="E31" s="416"/>
      <c r="F31" s="416"/>
      <c r="G31" s="416"/>
      <c r="H31" s="416"/>
      <c r="I31" s="416"/>
      <c r="J31" s="416"/>
      <c r="K31" s="416"/>
      <c r="L31" s="417"/>
    </row>
    <row r="32" spans="1:22" ht="33" customHeight="1" thickBot="1" x14ac:dyDescent="0.3">
      <c r="A32" s="37" t="s">
        <v>1</v>
      </c>
      <c r="B32" s="38" t="s">
        <v>62</v>
      </c>
      <c r="C32" s="39" t="s">
        <v>2</v>
      </c>
      <c r="D32" s="40" t="s">
        <v>93</v>
      </c>
      <c r="E32" s="39" t="s">
        <v>61</v>
      </c>
      <c r="F32" s="40" t="s">
        <v>94</v>
      </c>
      <c r="G32" s="41" t="s">
        <v>60</v>
      </c>
      <c r="H32" s="39" t="s">
        <v>59</v>
      </c>
      <c r="I32" s="103" t="s">
        <v>56</v>
      </c>
      <c r="J32" s="40" t="s">
        <v>57</v>
      </c>
      <c r="K32" s="40" t="s">
        <v>58</v>
      </c>
      <c r="L32" s="42" t="s">
        <v>0</v>
      </c>
    </row>
    <row r="33" spans="1:22" x14ac:dyDescent="0.25">
      <c r="A33" s="4" t="s">
        <v>1</v>
      </c>
      <c r="B33" s="5">
        <v>1.5</v>
      </c>
      <c r="C33" s="6">
        <v>1</v>
      </c>
      <c r="D33" s="43">
        <f>+L18*B33*C33</f>
        <v>22.5</v>
      </c>
      <c r="E33" s="7">
        <v>48</v>
      </c>
      <c r="F33" s="44">
        <f>+B33*C33*E33</f>
        <v>72</v>
      </c>
      <c r="G33" s="373">
        <f>SUM(F33:F40)</f>
        <v>108.6</v>
      </c>
      <c r="H33" s="8">
        <v>25</v>
      </c>
      <c r="I33" s="45">
        <f t="shared" ref="I33:I40" si="11">+IFERROR(ROUNDUP(D33/H33,0),0)</f>
        <v>1</v>
      </c>
      <c r="J33" s="44">
        <f>+E33*H33</f>
        <v>1200</v>
      </c>
      <c r="K33" s="44">
        <f t="shared" ref="K33:K40" si="12">+I33*J33</f>
        <v>1200</v>
      </c>
      <c r="L33" s="370">
        <f>SUM(K33:K40)</f>
        <v>2980</v>
      </c>
      <c r="N33" s="66">
        <f>+IFERROR((I33*H33)/B33,0)</f>
        <v>16.666666666666668</v>
      </c>
      <c r="O33" s="67">
        <f>+IFERROR(C33*$L$18,0)</f>
        <v>15</v>
      </c>
      <c r="P33" s="68">
        <f t="shared" ref="P33:P40" si="13">+IFERROR(K33/N33,0)</f>
        <v>72</v>
      </c>
      <c r="Q33" s="68">
        <f t="shared" ref="Q33:Q40" si="14">+IFERROR(K33/O33,0)</f>
        <v>80</v>
      </c>
      <c r="R33" s="69">
        <f t="shared" ref="R33:R40" si="15">+B33*C33*E33</f>
        <v>72</v>
      </c>
      <c r="T33" s="70" t="str">
        <f>IFERROR(VLOOKUP(A33,VLOOKUPS!$A$3:$D$31,2,0),"Ander")</f>
        <v>Ander</v>
      </c>
      <c r="U33" s="71">
        <f t="shared" ref="U33:U40" si="16">IF(T33="Syngenta",K33,0)</f>
        <v>0</v>
      </c>
      <c r="V33" s="71">
        <f t="shared" ref="V33:V40" si="17">IF(T33="Ander",K33,0)</f>
        <v>1200</v>
      </c>
    </row>
    <row r="34" spans="1:22" x14ac:dyDescent="0.25">
      <c r="A34" s="9" t="s">
        <v>1</v>
      </c>
      <c r="B34" s="10">
        <v>1.5</v>
      </c>
      <c r="C34" s="11">
        <v>1</v>
      </c>
      <c r="D34" s="46">
        <f>+L18*B34*C34</f>
        <v>22.5</v>
      </c>
      <c r="E34" s="12">
        <v>11</v>
      </c>
      <c r="F34" s="47">
        <f t="shared" ref="F34:F40" si="18">+B34*C34*E34</f>
        <v>16.5</v>
      </c>
      <c r="G34" s="374"/>
      <c r="H34" s="13">
        <v>20</v>
      </c>
      <c r="I34" s="48">
        <f t="shared" si="11"/>
        <v>2</v>
      </c>
      <c r="J34" s="47">
        <f>+E34*H34</f>
        <v>220</v>
      </c>
      <c r="K34" s="47">
        <f t="shared" si="12"/>
        <v>440</v>
      </c>
      <c r="L34" s="371"/>
      <c r="N34" s="66">
        <f t="shared" ref="N34:N71" si="19">+IFERROR((I34*H34)/B34,0)</f>
        <v>26.666666666666668</v>
      </c>
      <c r="O34" s="67">
        <f t="shared" ref="O34:O71" si="20">+IFERROR(C34*$L$18,0)</f>
        <v>15</v>
      </c>
      <c r="P34" s="68">
        <f t="shared" si="13"/>
        <v>16.5</v>
      </c>
      <c r="Q34" s="68">
        <f t="shared" si="14"/>
        <v>29.333333333333332</v>
      </c>
      <c r="R34" s="69">
        <f t="shared" si="15"/>
        <v>16.5</v>
      </c>
      <c r="T34" s="70" t="str">
        <f>IFERROR(VLOOKUP(A34,VLOOKUPS!$A$3:$D$31,2,0),"Ander")</f>
        <v>Ander</v>
      </c>
      <c r="U34" s="71">
        <f t="shared" si="16"/>
        <v>0</v>
      </c>
      <c r="V34" s="71">
        <f t="shared" si="17"/>
        <v>440</v>
      </c>
    </row>
    <row r="35" spans="1:22" x14ac:dyDescent="0.25">
      <c r="A35" s="9" t="s">
        <v>1</v>
      </c>
      <c r="B35" s="10">
        <v>0.3</v>
      </c>
      <c r="C35" s="11">
        <v>1</v>
      </c>
      <c r="D35" s="46">
        <f>+L18*B35*C35</f>
        <v>4.5</v>
      </c>
      <c r="E35" s="12">
        <v>67</v>
      </c>
      <c r="F35" s="47">
        <f t="shared" si="18"/>
        <v>20.099999999999998</v>
      </c>
      <c r="G35" s="374"/>
      <c r="H35" s="13">
        <v>20</v>
      </c>
      <c r="I35" s="48">
        <f t="shared" si="11"/>
        <v>1</v>
      </c>
      <c r="J35" s="47">
        <f>+E35*H35</f>
        <v>1340</v>
      </c>
      <c r="K35" s="47">
        <f t="shared" si="12"/>
        <v>1340</v>
      </c>
      <c r="L35" s="371"/>
      <c r="N35" s="66">
        <f t="shared" si="19"/>
        <v>66.666666666666671</v>
      </c>
      <c r="O35" s="67">
        <f t="shared" si="20"/>
        <v>15</v>
      </c>
      <c r="P35" s="68">
        <f t="shared" si="13"/>
        <v>20.099999999999998</v>
      </c>
      <c r="Q35" s="68">
        <f t="shared" si="14"/>
        <v>89.333333333333329</v>
      </c>
      <c r="R35" s="69">
        <f t="shared" si="15"/>
        <v>20.099999999999998</v>
      </c>
      <c r="T35" s="70" t="str">
        <f>IFERROR(VLOOKUP(A35,VLOOKUPS!$A$3:$D$31,2,0),"Ander")</f>
        <v>Ander</v>
      </c>
      <c r="U35" s="71">
        <f t="shared" si="16"/>
        <v>0</v>
      </c>
      <c r="V35" s="71">
        <f t="shared" si="17"/>
        <v>1340</v>
      </c>
    </row>
    <row r="36" spans="1:22" x14ac:dyDescent="0.25">
      <c r="A36" s="9"/>
      <c r="B36" s="10"/>
      <c r="C36" s="11"/>
      <c r="D36" s="46">
        <f t="shared" ref="D36:D37" si="21">+L19*B36*C36</f>
        <v>0</v>
      </c>
      <c r="E36" s="12"/>
      <c r="F36" s="47">
        <f t="shared" si="18"/>
        <v>0</v>
      </c>
      <c r="G36" s="374"/>
      <c r="H36" s="13"/>
      <c r="I36" s="48">
        <f t="shared" si="11"/>
        <v>0</v>
      </c>
      <c r="J36" s="47">
        <f t="shared" ref="J36:J38" si="22">+E36*H36</f>
        <v>0</v>
      </c>
      <c r="K36" s="47">
        <f t="shared" si="12"/>
        <v>0</v>
      </c>
      <c r="L36" s="371"/>
      <c r="N36" s="66">
        <f t="shared" si="19"/>
        <v>0</v>
      </c>
      <c r="O36" s="67">
        <f t="shared" si="20"/>
        <v>0</v>
      </c>
      <c r="P36" s="68">
        <f t="shared" si="13"/>
        <v>0</v>
      </c>
      <c r="Q36" s="68">
        <f t="shared" si="14"/>
        <v>0</v>
      </c>
      <c r="R36" s="69">
        <f t="shared" si="15"/>
        <v>0</v>
      </c>
      <c r="T36" s="70" t="str">
        <f>IFERROR(VLOOKUP(A36,VLOOKUPS!$A$3:$D$31,2,0),"Ander")</f>
        <v>Ander</v>
      </c>
      <c r="U36" s="71">
        <f t="shared" si="16"/>
        <v>0</v>
      </c>
      <c r="V36" s="71">
        <f t="shared" si="17"/>
        <v>0</v>
      </c>
    </row>
    <row r="37" spans="1:22" x14ac:dyDescent="0.25">
      <c r="A37" s="9"/>
      <c r="B37" s="10"/>
      <c r="C37" s="11"/>
      <c r="D37" s="46">
        <f t="shared" si="21"/>
        <v>0</v>
      </c>
      <c r="E37" s="12"/>
      <c r="F37" s="47">
        <f t="shared" si="18"/>
        <v>0</v>
      </c>
      <c r="G37" s="374"/>
      <c r="H37" s="13"/>
      <c r="I37" s="48">
        <f t="shared" si="11"/>
        <v>0</v>
      </c>
      <c r="J37" s="47">
        <f t="shared" si="22"/>
        <v>0</v>
      </c>
      <c r="K37" s="47">
        <f t="shared" si="12"/>
        <v>0</v>
      </c>
      <c r="L37" s="371"/>
      <c r="N37" s="66">
        <f t="shared" si="19"/>
        <v>0</v>
      </c>
      <c r="O37" s="67">
        <f t="shared" si="20"/>
        <v>0</v>
      </c>
      <c r="P37" s="68">
        <f t="shared" si="13"/>
        <v>0</v>
      </c>
      <c r="Q37" s="68">
        <f t="shared" si="14"/>
        <v>0</v>
      </c>
      <c r="R37" s="69">
        <f t="shared" si="15"/>
        <v>0</v>
      </c>
      <c r="T37" s="70" t="str">
        <f>IFERROR(VLOOKUP(A37,VLOOKUPS!$A$3:$D$31,2,0),"Ander")</f>
        <v>Ander</v>
      </c>
      <c r="U37" s="71">
        <f t="shared" si="16"/>
        <v>0</v>
      </c>
      <c r="V37" s="71">
        <f t="shared" si="17"/>
        <v>0</v>
      </c>
    </row>
    <row r="38" spans="1:22" x14ac:dyDescent="0.25">
      <c r="A38" s="9"/>
      <c r="B38" s="10"/>
      <c r="C38" s="11"/>
      <c r="D38" s="46">
        <f>+L18*B38*C38</f>
        <v>0</v>
      </c>
      <c r="E38" s="12"/>
      <c r="F38" s="47">
        <f t="shared" si="18"/>
        <v>0</v>
      </c>
      <c r="G38" s="374"/>
      <c r="H38" s="13"/>
      <c r="I38" s="48">
        <f t="shared" si="11"/>
        <v>0</v>
      </c>
      <c r="J38" s="47">
        <f t="shared" si="22"/>
        <v>0</v>
      </c>
      <c r="K38" s="47">
        <f t="shared" si="12"/>
        <v>0</v>
      </c>
      <c r="L38" s="371"/>
      <c r="N38" s="66">
        <f t="shared" si="19"/>
        <v>0</v>
      </c>
      <c r="O38" s="67">
        <f t="shared" si="20"/>
        <v>0</v>
      </c>
      <c r="P38" s="68">
        <f t="shared" si="13"/>
        <v>0</v>
      </c>
      <c r="Q38" s="68">
        <f t="shared" si="14"/>
        <v>0</v>
      </c>
      <c r="R38" s="69">
        <f t="shared" si="15"/>
        <v>0</v>
      </c>
      <c r="T38" s="70" t="str">
        <f>IFERROR(VLOOKUP(A38,VLOOKUPS!$A$3:$D$31,2,0),"Ander")</f>
        <v>Ander</v>
      </c>
      <c r="U38" s="71">
        <f t="shared" si="16"/>
        <v>0</v>
      </c>
      <c r="V38" s="71">
        <f t="shared" si="17"/>
        <v>0</v>
      </c>
    </row>
    <row r="39" spans="1:22" x14ac:dyDescent="0.25">
      <c r="A39" s="9"/>
      <c r="B39" s="10"/>
      <c r="C39" s="11"/>
      <c r="D39" s="46">
        <f>+L18*B39*C39</f>
        <v>0</v>
      </c>
      <c r="E39" s="12"/>
      <c r="F39" s="47">
        <f t="shared" si="18"/>
        <v>0</v>
      </c>
      <c r="G39" s="374"/>
      <c r="H39" s="13"/>
      <c r="I39" s="48">
        <f t="shared" si="11"/>
        <v>0</v>
      </c>
      <c r="J39" s="47">
        <f>+E39*H39</f>
        <v>0</v>
      </c>
      <c r="K39" s="47">
        <f t="shared" si="12"/>
        <v>0</v>
      </c>
      <c r="L39" s="371"/>
      <c r="N39" s="66">
        <f t="shared" si="19"/>
        <v>0</v>
      </c>
      <c r="O39" s="67">
        <f t="shared" si="20"/>
        <v>0</v>
      </c>
      <c r="P39" s="68">
        <f t="shared" si="13"/>
        <v>0</v>
      </c>
      <c r="Q39" s="68">
        <f t="shared" si="14"/>
        <v>0</v>
      </c>
      <c r="R39" s="69">
        <f t="shared" si="15"/>
        <v>0</v>
      </c>
      <c r="T39" s="70" t="str">
        <f>IFERROR(VLOOKUP(A39,VLOOKUPS!$A$3:$D$31,2,0),"Ander")</f>
        <v>Ander</v>
      </c>
      <c r="U39" s="71">
        <f t="shared" si="16"/>
        <v>0</v>
      </c>
      <c r="V39" s="71">
        <f t="shared" si="17"/>
        <v>0</v>
      </c>
    </row>
    <row r="40" spans="1:22" ht="15.75" thickBot="1" x14ac:dyDescent="0.3">
      <c r="A40" s="14"/>
      <c r="B40" s="15"/>
      <c r="C40" s="16"/>
      <c r="D40" s="49">
        <f>+L18*B40*C40</f>
        <v>0</v>
      </c>
      <c r="E40" s="17"/>
      <c r="F40" s="50">
        <f t="shared" si="18"/>
        <v>0</v>
      </c>
      <c r="G40" s="375"/>
      <c r="H40" s="18"/>
      <c r="I40" s="51">
        <f t="shared" si="11"/>
        <v>0</v>
      </c>
      <c r="J40" s="50">
        <f>+E40*H40</f>
        <v>0</v>
      </c>
      <c r="K40" s="50">
        <f t="shared" si="12"/>
        <v>0</v>
      </c>
      <c r="L40" s="372"/>
      <c r="N40" s="66">
        <f t="shared" si="19"/>
        <v>0</v>
      </c>
      <c r="O40" s="67">
        <f t="shared" si="20"/>
        <v>0</v>
      </c>
      <c r="P40" s="68">
        <f t="shared" si="13"/>
        <v>0</v>
      </c>
      <c r="Q40" s="68">
        <f t="shared" si="14"/>
        <v>0</v>
      </c>
      <c r="R40" s="69">
        <f t="shared" si="15"/>
        <v>0</v>
      </c>
      <c r="T40" s="70" t="str">
        <f>IFERROR(VLOOKUP(A40,VLOOKUPS!$A$3:$D$31,2,0),"Ander")</f>
        <v>Ander</v>
      </c>
      <c r="U40" s="71">
        <f t="shared" si="16"/>
        <v>0</v>
      </c>
      <c r="V40" s="71">
        <f t="shared" si="17"/>
        <v>0</v>
      </c>
    </row>
    <row r="41" spans="1:22" ht="15.75" thickBot="1" x14ac:dyDescent="0.3">
      <c r="N41" s="66"/>
      <c r="O41" s="67"/>
      <c r="P41" s="68"/>
      <c r="Q41" s="68"/>
      <c r="R41" s="69"/>
      <c r="U41" s="72">
        <f>SUM(U33:U40)</f>
        <v>0</v>
      </c>
      <c r="V41" s="72">
        <f>SUM(V33:V40)</f>
        <v>2980</v>
      </c>
    </row>
    <row r="42" spans="1:22" ht="18.75" thickTop="1" thickBot="1" x14ac:dyDescent="0.3">
      <c r="A42" s="412" t="s">
        <v>107</v>
      </c>
      <c r="B42" s="413"/>
      <c r="C42" s="413"/>
      <c r="D42" s="413"/>
      <c r="E42" s="413"/>
      <c r="F42" s="413"/>
      <c r="G42" s="413"/>
      <c r="H42" s="413"/>
      <c r="I42" s="413"/>
      <c r="J42" s="413"/>
      <c r="K42" s="413"/>
      <c r="L42" s="414"/>
      <c r="N42" s="66"/>
      <c r="O42" s="67"/>
      <c r="P42" s="68"/>
      <c r="Q42" s="68"/>
      <c r="R42" s="69"/>
      <c r="U42" s="71"/>
      <c r="V42" s="71"/>
    </row>
    <row r="43" spans="1:22" ht="43.5" thickBot="1" x14ac:dyDescent="0.3">
      <c r="A43" s="37" t="s">
        <v>1</v>
      </c>
      <c r="B43" s="38" t="s">
        <v>62</v>
      </c>
      <c r="C43" s="39" t="s">
        <v>2</v>
      </c>
      <c r="D43" s="40" t="s">
        <v>93</v>
      </c>
      <c r="E43" s="39" t="s">
        <v>61</v>
      </c>
      <c r="F43" s="40" t="s">
        <v>94</v>
      </c>
      <c r="G43" s="41" t="s">
        <v>60</v>
      </c>
      <c r="H43" s="39" t="s">
        <v>59</v>
      </c>
      <c r="I43" s="103" t="s">
        <v>56</v>
      </c>
      <c r="J43" s="40" t="s">
        <v>57</v>
      </c>
      <c r="K43" s="40" t="s">
        <v>58</v>
      </c>
      <c r="L43" s="42" t="s">
        <v>0</v>
      </c>
      <c r="N43" s="66"/>
      <c r="O43" s="67"/>
      <c r="P43" s="68"/>
      <c r="Q43" s="68"/>
      <c r="R43" s="69"/>
      <c r="U43" s="71"/>
      <c r="V43" s="71"/>
    </row>
    <row r="44" spans="1:22" x14ac:dyDescent="0.25">
      <c r="A44" s="4" t="s">
        <v>1</v>
      </c>
      <c r="B44" s="5">
        <v>1.7</v>
      </c>
      <c r="C44" s="6">
        <v>1</v>
      </c>
      <c r="D44" s="43">
        <f t="shared" ref="D44:D51" si="23">+$L$18*B44*C44</f>
        <v>25.5</v>
      </c>
      <c r="E44" s="7">
        <v>78</v>
      </c>
      <c r="F44" s="44">
        <f>+B44*C44*E44</f>
        <v>132.6</v>
      </c>
      <c r="G44" s="373">
        <f>SUM(F44:F51)</f>
        <v>337</v>
      </c>
      <c r="H44" s="8">
        <v>20</v>
      </c>
      <c r="I44" s="45">
        <f t="shared" ref="I44:I51" si="24">+IFERROR(ROUNDUP(D44/H44,0),0)</f>
        <v>2</v>
      </c>
      <c r="J44" s="44">
        <f>+E44*H44</f>
        <v>1560</v>
      </c>
      <c r="K44" s="44">
        <f>+I44*J44</f>
        <v>3120</v>
      </c>
      <c r="L44" s="370">
        <f>SUM(K44:K51)</f>
        <v>6648</v>
      </c>
      <c r="N44" s="66">
        <f t="shared" si="19"/>
        <v>23.529411764705884</v>
      </c>
      <c r="O44" s="67">
        <f t="shared" si="20"/>
        <v>15</v>
      </c>
      <c r="P44" s="68">
        <f t="shared" ref="P44:P51" si="25">+IFERROR(K44/N44,0)</f>
        <v>132.6</v>
      </c>
      <c r="Q44" s="68">
        <f t="shared" ref="Q44:Q51" si="26">+IFERROR(K44/O44,0)</f>
        <v>208</v>
      </c>
      <c r="R44" s="69">
        <f t="shared" ref="R44:R51" si="27">+B44*C44*E44</f>
        <v>132.6</v>
      </c>
      <c r="T44" s="70" t="str">
        <f>IFERROR(VLOOKUP(A44,VLOOKUPS!$A$3:$D$31,2,0),"Ander")</f>
        <v>Ander</v>
      </c>
      <c r="U44" s="71">
        <f t="shared" ref="U44:U51" si="28">IF(T44="Syngenta",K44,0)</f>
        <v>0</v>
      </c>
      <c r="V44" s="71">
        <f t="shared" ref="V44:V51" si="29">IF(T44="Ander",K44,0)</f>
        <v>3120</v>
      </c>
    </row>
    <row r="45" spans="1:22" x14ac:dyDescent="0.25">
      <c r="A45" s="9" t="s">
        <v>1</v>
      </c>
      <c r="B45" s="10">
        <v>7.3</v>
      </c>
      <c r="C45" s="11">
        <f>+C44</f>
        <v>1</v>
      </c>
      <c r="D45" s="46">
        <f t="shared" si="23"/>
        <v>109.5</v>
      </c>
      <c r="E45" s="12">
        <v>28</v>
      </c>
      <c r="F45" s="47">
        <f t="shared" ref="F45:F51" si="30">+B45*C45*E45</f>
        <v>204.4</v>
      </c>
      <c r="G45" s="374"/>
      <c r="H45" s="13">
        <v>18</v>
      </c>
      <c r="I45" s="48">
        <f t="shared" si="24"/>
        <v>7</v>
      </c>
      <c r="J45" s="47">
        <f t="shared" ref="J45:J51" si="31">+E45*H45</f>
        <v>504</v>
      </c>
      <c r="K45" s="47">
        <f t="shared" ref="K45:K51" si="32">+I45*J45</f>
        <v>3528</v>
      </c>
      <c r="L45" s="371"/>
      <c r="N45" s="66">
        <f t="shared" si="19"/>
        <v>17.260273972602739</v>
      </c>
      <c r="O45" s="67">
        <f t="shared" si="20"/>
        <v>15</v>
      </c>
      <c r="P45" s="68">
        <f t="shared" si="25"/>
        <v>204.4</v>
      </c>
      <c r="Q45" s="68">
        <f t="shared" si="26"/>
        <v>235.2</v>
      </c>
      <c r="R45" s="69">
        <f t="shared" si="27"/>
        <v>204.4</v>
      </c>
      <c r="T45" s="70" t="str">
        <f>IFERROR(VLOOKUP(A45,VLOOKUPS!$A$3:$D$31,2,0),"Ander")</f>
        <v>Ander</v>
      </c>
      <c r="U45" s="71">
        <f t="shared" si="28"/>
        <v>0</v>
      </c>
      <c r="V45" s="71">
        <f t="shared" si="29"/>
        <v>3528</v>
      </c>
    </row>
    <row r="46" spans="1:22" x14ac:dyDescent="0.25">
      <c r="A46" s="9"/>
      <c r="B46" s="10"/>
      <c r="C46" s="11"/>
      <c r="D46" s="46">
        <f t="shared" si="23"/>
        <v>0</v>
      </c>
      <c r="E46" s="12"/>
      <c r="F46" s="47">
        <f t="shared" si="30"/>
        <v>0</v>
      </c>
      <c r="G46" s="374"/>
      <c r="H46" s="13"/>
      <c r="I46" s="48">
        <f t="shared" si="24"/>
        <v>0</v>
      </c>
      <c r="J46" s="47">
        <f t="shared" si="31"/>
        <v>0</v>
      </c>
      <c r="K46" s="47">
        <f t="shared" si="32"/>
        <v>0</v>
      </c>
      <c r="L46" s="371"/>
      <c r="N46" s="66">
        <f t="shared" si="19"/>
        <v>0</v>
      </c>
      <c r="O46" s="67">
        <f t="shared" si="20"/>
        <v>0</v>
      </c>
      <c r="P46" s="68">
        <f t="shared" si="25"/>
        <v>0</v>
      </c>
      <c r="Q46" s="68">
        <f t="shared" si="26"/>
        <v>0</v>
      </c>
      <c r="R46" s="69">
        <f t="shared" si="27"/>
        <v>0</v>
      </c>
      <c r="T46" s="70" t="str">
        <f>IFERROR(VLOOKUP(A46,VLOOKUPS!$A$3:$D$31,2,0),"Ander")</f>
        <v>Ander</v>
      </c>
      <c r="U46" s="71">
        <f t="shared" si="28"/>
        <v>0</v>
      </c>
      <c r="V46" s="71">
        <f t="shared" si="29"/>
        <v>0</v>
      </c>
    </row>
    <row r="47" spans="1:22" x14ac:dyDescent="0.25">
      <c r="A47" s="9"/>
      <c r="B47" s="10"/>
      <c r="C47" s="11"/>
      <c r="D47" s="46">
        <f t="shared" si="23"/>
        <v>0</v>
      </c>
      <c r="E47" s="12"/>
      <c r="F47" s="47">
        <f t="shared" si="30"/>
        <v>0</v>
      </c>
      <c r="G47" s="374"/>
      <c r="H47" s="13"/>
      <c r="I47" s="48">
        <f t="shared" si="24"/>
        <v>0</v>
      </c>
      <c r="J47" s="47">
        <f t="shared" si="31"/>
        <v>0</v>
      </c>
      <c r="K47" s="47">
        <f t="shared" si="32"/>
        <v>0</v>
      </c>
      <c r="L47" s="371"/>
      <c r="N47" s="66"/>
      <c r="O47" s="67"/>
      <c r="P47" s="68"/>
      <c r="Q47" s="68"/>
      <c r="R47" s="69"/>
      <c r="T47" s="70" t="str">
        <f>IFERROR(VLOOKUP(A47,VLOOKUPS!$A$3:$D$31,2,0),"Ander")</f>
        <v>Ander</v>
      </c>
      <c r="U47" s="71">
        <f t="shared" si="28"/>
        <v>0</v>
      </c>
      <c r="V47" s="71">
        <f t="shared" si="29"/>
        <v>0</v>
      </c>
    </row>
    <row r="48" spans="1:22" x14ac:dyDescent="0.25">
      <c r="A48" s="9"/>
      <c r="B48" s="10"/>
      <c r="C48" s="11"/>
      <c r="D48" s="46">
        <f t="shared" si="23"/>
        <v>0</v>
      </c>
      <c r="E48" s="12"/>
      <c r="F48" s="47">
        <f t="shared" si="30"/>
        <v>0</v>
      </c>
      <c r="G48" s="374"/>
      <c r="H48" s="13"/>
      <c r="I48" s="48">
        <f t="shared" si="24"/>
        <v>0</v>
      </c>
      <c r="J48" s="47">
        <f t="shared" si="31"/>
        <v>0</v>
      </c>
      <c r="K48" s="47">
        <f t="shared" si="32"/>
        <v>0</v>
      </c>
      <c r="L48" s="371"/>
      <c r="N48" s="66"/>
      <c r="O48" s="67"/>
      <c r="P48" s="68"/>
      <c r="Q48" s="68"/>
      <c r="R48" s="69"/>
      <c r="T48" s="70" t="str">
        <f>IFERROR(VLOOKUP(A48,VLOOKUPS!$A$3:$D$31,2,0),"Ander")</f>
        <v>Ander</v>
      </c>
      <c r="U48" s="71">
        <f t="shared" si="28"/>
        <v>0</v>
      </c>
      <c r="V48" s="71">
        <f t="shared" si="29"/>
        <v>0</v>
      </c>
    </row>
    <row r="49" spans="1:22" x14ac:dyDescent="0.25">
      <c r="A49" s="9"/>
      <c r="B49" s="10"/>
      <c r="C49" s="11"/>
      <c r="D49" s="46">
        <f t="shared" si="23"/>
        <v>0</v>
      </c>
      <c r="E49" s="12"/>
      <c r="F49" s="47">
        <f t="shared" si="30"/>
        <v>0</v>
      </c>
      <c r="G49" s="374"/>
      <c r="H49" s="13"/>
      <c r="I49" s="48">
        <f t="shared" si="24"/>
        <v>0</v>
      </c>
      <c r="J49" s="47">
        <f t="shared" si="31"/>
        <v>0</v>
      </c>
      <c r="K49" s="47">
        <f t="shared" si="32"/>
        <v>0</v>
      </c>
      <c r="L49" s="371"/>
      <c r="N49" s="66">
        <f t="shared" si="19"/>
        <v>0</v>
      </c>
      <c r="O49" s="67">
        <f t="shared" si="20"/>
        <v>0</v>
      </c>
      <c r="P49" s="68">
        <f t="shared" si="25"/>
        <v>0</v>
      </c>
      <c r="Q49" s="68">
        <f t="shared" si="26"/>
        <v>0</v>
      </c>
      <c r="R49" s="69">
        <f t="shared" si="27"/>
        <v>0</v>
      </c>
      <c r="T49" s="70" t="str">
        <f>IFERROR(VLOOKUP(A49,VLOOKUPS!$A$3:$D$31,2,0),"Ander")</f>
        <v>Ander</v>
      </c>
      <c r="U49" s="71">
        <f t="shared" si="28"/>
        <v>0</v>
      </c>
      <c r="V49" s="71">
        <f t="shared" si="29"/>
        <v>0</v>
      </c>
    </row>
    <row r="50" spans="1:22" x14ac:dyDescent="0.25">
      <c r="A50" s="9"/>
      <c r="B50" s="10"/>
      <c r="C50" s="11"/>
      <c r="D50" s="46">
        <f t="shared" si="23"/>
        <v>0</v>
      </c>
      <c r="E50" s="12"/>
      <c r="F50" s="47">
        <f t="shared" si="30"/>
        <v>0</v>
      </c>
      <c r="G50" s="374"/>
      <c r="H50" s="13"/>
      <c r="I50" s="48">
        <f t="shared" si="24"/>
        <v>0</v>
      </c>
      <c r="J50" s="47">
        <f t="shared" si="31"/>
        <v>0</v>
      </c>
      <c r="K50" s="47">
        <f t="shared" si="32"/>
        <v>0</v>
      </c>
      <c r="L50" s="371"/>
      <c r="N50" s="66">
        <f t="shared" si="19"/>
        <v>0</v>
      </c>
      <c r="O50" s="67">
        <f t="shared" si="20"/>
        <v>0</v>
      </c>
      <c r="P50" s="68">
        <f t="shared" si="25"/>
        <v>0</v>
      </c>
      <c r="Q50" s="68">
        <f t="shared" si="26"/>
        <v>0</v>
      </c>
      <c r="R50" s="69">
        <f t="shared" si="27"/>
        <v>0</v>
      </c>
      <c r="T50" s="70" t="str">
        <f>IFERROR(VLOOKUP(A50,VLOOKUPS!$A$3:$D$31,2,0),"Ander")</f>
        <v>Ander</v>
      </c>
      <c r="U50" s="71">
        <f t="shared" si="28"/>
        <v>0</v>
      </c>
      <c r="V50" s="71">
        <f t="shared" si="29"/>
        <v>0</v>
      </c>
    </row>
    <row r="51" spans="1:22" ht="15.75" thickBot="1" x14ac:dyDescent="0.3">
      <c r="A51" s="14"/>
      <c r="B51" s="15"/>
      <c r="C51" s="16"/>
      <c r="D51" s="49">
        <f t="shared" si="23"/>
        <v>0</v>
      </c>
      <c r="E51" s="17"/>
      <c r="F51" s="50">
        <f t="shared" si="30"/>
        <v>0</v>
      </c>
      <c r="G51" s="375"/>
      <c r="H51" s="18"/>
      <c r="I51" s="51">
        <f t="shared" si="24"/>
        <v>0</v>
      </c>
      <c r="J51" s="50">
        <f t="shared" si="31"/>
        <v>0</v>
      </c>
      <c r="K51" s="50">
        <f t="shared" si="32"/>
        <v>0</v>
      </c>
      <c r="L51" s="372"/>
      <c r="N51" s="66">
        <f t="shared" si="19"/>
        <v>0</v>
      </c>
      <c r="O51" s="67">
        <f t="shared" si="20"/>
        <v>0</v>
      </c>
      <c r="P51" s="68">
        <f t="shared" si="25"/>
        <v>0</v>
      </c>
      <c r="Q51" s="68">
        <f t="shared" si="26"/>
        <v>0</v>
      </c>
      <c r="R51" s="69">
        <f t="shared" si="27"/>
        <v>0</v>
      </c>
      <c r="T51" s="70" t="str">
        <f>IFERROR(VLOOKUP(A51,VLOOKUPS!$A$3:$D$31,2,0),"Ander")</f>
        <v>Ander</v>
      </c>
      <c r="U51" s="71">
        <f t="shared" si="28"/>
        <v>0</v>
      </c>
      <c r="V51" s="71">
        <f t="shared" si="29"/>
        <v>0</v>
      </c>
    </row>
    <row r="52" spans="1:22" ht="15.75" thickBot="1" x14ac:dyDescent="0.3">
      <c r="N52" s="66"/>
      <c r="O52" s="67"/>
      <c r="P52" s="68"/>
      <c r="Q52" s="68"/>
      <c r="R52" s="69"/>
      <c r="U52" s="72">
        <f>SUM(U44:U51)</f>
        <v>0</v>
      </c>
      <c r="V52" s="72">
        <f>SUM(V44:V51)</f>
        <v>6648</v>
      </c>
    </row>
    <row r="53" spans="1:22" ht="18.75" thickTop="1" thickBot="1" x14ac:dyDescent="0.3">
      <c r="A53" s="412" t="s">
        <v>64</v>
      </c>
      <c r="B53" s="413"/>
      <c r="C53" s="413"/>
      <c r="D53" s="413"/>
      <c r="E53" s="413"/>
      <c r="F53" s="413"/>
      <c r="G53" s="413"/>
      <c r="H53" s="413"/>
      <c r="I53" s="413"/>
      <c r="J53" s="413"/>
      <c r="K53" s="413"/>
      <c r="L53" s="414"/>
      <c r="N53" s="66"/>
      <c r="O53" s="67"/>
      <c r="P53" s="68"/>
      <c r="Q53" s="68"/>
      <c r="R53" s="69"/>
      <c r="U53" s="71"/>
      <c r="V53" s="71"/>
    </row>
    <row r="54" spans="1:22" ht="43.5" thickBot="1" x14ac:dyDescent="0.3">
      <c r="A54" s="37" t="s">
        <v>1</v>
      </c>
      <c r="B54" s="38" t="s">
        <v>62</v>
      </c>
      <c r="C54" s="39" t="s">
        <v>2</v>
      </c>
      <c r="D54" s="40" t="s">
        <v>93</v>
      </c>
      <c r="E54" s="39" t="s">
        <v>61</v>
      </c>
      <c r="F54" s="40" t="s">
        <v>94</v>
      </c>
      <c r="G54" s="41" t="s">
        <v>60</v>
      </c>
      <c r="H54" s="39" t="s">
        <v>59</v>
      </c>
      <c r="I54" s="103" t="s">
        <v>56</v>
      </c>
      <c r="J54" s="40" t="s">
        <v>57</v>
      </c>
      <c r="K54" s="40" t="s">
        <v>58</v>
      </c>
      <c r="L54" s="42" t="s">
        <v>0</v>
      </c>
      <c r="N54" s="66"/>
      <c r="O54" s="67"/>
      <c r="P54" s="68"/>
      <c r="Q54" s="68"/>
      <c r="R54" s="69"/>
      <c r="U54" s="71"/>
      <c r="V54" s="71"/>
    </row>
    <row r="55" spans="1:22" x14ac:dyDescent="0.25">
      <c r="A55" s="4" t="s">
        <v>1</v>
      </c>
      <c r="B55" s="5">
        <v>2</v>
      </c>
      <c r="C55" s="6">
        <v>1</v>
      </c>
      <c r="D55" s="43">
        <f>+L18*B55*C55</f>
        <v>30</v>
      </c>
      <c r="E55" s="7">
        <v>69</v>
      </c>
      <c r="F55" s="44">
        <f>+B55*C55*E55</f>
        <v>138</v>
      </c>
      <c r="G55" s="373">
        <f>SUM(F55:F64)</f>
        <v>313.20000000000005</v>
      </c>
      <c r="H55" s="8">
        <v>20</v>
      </c>
      <c r="I55" s="45">
        <f t="shared" ref="I55:I64" si="33">+IFERROR(ROUNDUP(D55/H55,0),0)</f>
        <v>2</v>
      </c>
      <c r="J55" s="44">
        <f>+E55*H55</f>
        <v>1380</v>
      </c>
      <c r="K55" s="44">
        <f>+I55*J55</f>
        <v>2760</v>
      </c>
      <c r="L55" s="370">
        <f>SUM(K55:K64)</f>
        <v>8120</v>
      </c>
      <c r="N55" s="66">
        <f t="shared" si="19"/>
        <v>20</v>
      </c>
      <c r="O55" s="67">
        <f t="shared" si="20"/>
        <v>15</v>
      </c>
      <c r="P55" s="68">
        <f t="shared" ref="P55:P64" si="34">+IFERROR(K55/N55,0)</f>
        <v>138</v>
      </c>
      <c r="Q55" s="68">
        <f t="shared" ref="Q55:Q64" si="35">+IFERROR(K55/O55,0)</f>
        <v>184</v>
      </c>
      <c r="R55" s="69">
        <f t="shared" ref="R55:R64" si="36">+B55*C55*E55</f>
        <v>138</v>
      </c>
      <c r="T55" s="70" t="str">
        <f>IFERROR(VLOOKUP(A55,VLOOKUPS!$A$3:$D$31,2,0),"Ander")</f>
        <v>Ander</v>
      </c>
      <c r="U55" s="71">
        <f t="shared" ref="U55:U64" si="37">IF(T55="Syngenta",K55,0)</f>
        <v>0</v>
      </c>
      <c r="V55" s="71">
        <f t="shared" ref="V55:V64" si="38">IF(T55="Ander",K55,0)</f>
        <v>2760</v>
      </c>
    </row>
    <row r="56" spans="1:22" x14ac:dyDescent="0.25">
      <c r="A56" s="9" t="s">
        <v>1</v>
      </c>
      <c r="B56" s="10">
        <v>0.6</v>
      </c>
      <c r="C56" s="11">
        <f>+C55</f>
        <v>1</v>
      </c>
      <c r="D56" s="46">
        <f>+L18*B56*C56</f>
        <v>9</v>
      </c>
      <c r="E56" s="12">
        <v>148</v>
      </c>
      <c r="F56" s="47">
        <f t="shared" ref="F56:F64" si="39">+B56*C56*E56</f>
        <v>88.8</v>
      </c>
      <c r="G56" s="374"/>
      <c r="H56" s="13">
        <v>20</v>
      </c>
      <c r="I56" s="48">
        <f t="shared" si="33"/>
        <v>1</v>
      </c>
      <c r="J56" s="47">
        <f t="shared" ref="J56:J64" si="40">+E56*H56</f>
        <v>2960</v>
      </c>
      <c r="K56" s="47">
        <f t="shared" ref="K56:K64" si="41">+I56*J56</f>
        <v>2960</v>
      </c>
      <c r="L56" s="371"/>
      <c r="N56" s="66">
        <f t="shared" si="19"/>
        <v>33.333333333333336</v>
      </c>
      <c r="O56" s="67">
        <f t="shared" si="20"/>
        <v>15</v>
      </c>
      <c r="P56" s="68">
        <f t="shared" si="34"/>
        <v>88.8</v>
      </c>
      <c r="Q56" s="68">
        <f t="shared" si="35"/>
        <v>197.33333333333334</v>
      </c>
      <c r="R56" s="69">
        <f t="shared" si="36"/>
        <v>88.8</v>
      </c>
      <c r="T56" s="70" t="str">
        <f>IFERROR(VLOOKUP(A56,VLOOKUPS!$A$3:$D$31,2,0),"Ander")</f>
        <v>Ander</v>
      </c>
      <c r="U56" s="71">
        <f t="shared" si="37"/>
        <v>0</v>
      </c>
      <c r="V56" s="71">
        <f t="shared" si="38"/>
        <v>2960</v>
      </c>
    </row>
    <row r="57" spans="1:22" x14ac:dyDescent="0.25">
      <c r="A57" s="9" t="s">
        <v>1</v>
      </c>
      <c r="B57" s="10">
        <v>1.8</v>
      </c>
      <c r="C57" s="11">
        <v>1</v>
      </c>
      <c r="D57" s="46">
        <f>L18*B57*C57</f>
        <v>27</v>
      </c>
      <c r="E57" s="12">
        <v>48</v>
      </c>
      <c r="F57" s="47">
        <f t="shared" si="39"/>
        <v>86.4</v>
      </c>
      <c r="G57" s="374"/>
      <c r="H57" s="13">
        <v>25</v>
      </c>
      <c r="I57" s="48">
        <f t="shared" si="33"/>
        <v>2</v>
      </c>
      <c r="J57" s="47">
        <f t="shared" si="40"/>
        <v>1200</v>
      </c>
      <c r="K57" s="47">
        <f t="shared" si="41"/>
        <v>2400</v>
      </c>
      <c r="L57" s="371"/>
      <c r="N57" s="66">
        <f t="shared" si="19"/>
        <v>27.777777777777779</v>
      </c>
      <c r="O57" s="67">
        <f t="shared" si="20"/>
        <v>15</v>
      </c>
      <c r="P57" s="68">
        <f t="shared" si="34"/>
        <v>86.399999999999991</v>
      </c>
      <c r="Q57" s="68">
        <f t="shared" si="35"/>
        <v>160</v>
      </c>
      <c r="R57" s="69">
        <f t="shared" si="36"/>
        <v>86.4</v>
      </c>
      <c r="T57" s="70" t="str">
        <f>IFERROR(VLOOKUP(A57,VLOOKUPS!$A$3:$D$31,2,0),"Ander")</f>
        <v>Ander</v>
      </c>
      <c r="U57" s="71">
        <f t="shared" si="37"/>
        <v>0</v>
      </c>
      <c r="V57" s="71">
        <f t="shared" si="38"/>
        <v>2400</v>
      </c>
    </row>
    <row r="58" spans="1:22" x14ac:dyDescent="0.25">
      <c r="A58" s="9"/>
      <c r="B58" s="10"/>
      <c r="C58" s="11"/>
      <c r="D58" s="46">
        <f>L18*B58*C58</f>
        <v>0</v>
      </c>
      <c r="E58" s="12"/>
      <c r="F58" s="47">
        <f t="shared" si="39"/>
        <v>0</v>
      </c>
      <c r="G58" s="374"/>
      <c r="H58" s="13"/>
      <c r="I58" s="48">
        <f t="shared" si="33"/>
        <v>0</v>
      </c>
      <c r="J58" s="47">
        <f t="shared" si="40"/>
        <v>0</v>
      </c>
      <c r="K58" s="47">
        <f t="shared" si="41"/>
        <v>0</v>
      </c>
      <c r="L58" s="371"/>
      <c r="N58" s="66"/>
      <c r="O58" s="67"/>
      <c r="P58" s="68"/>
      <c r="Q58" s="68"/>
      <c r="R58" s="69"/>
      <c r="T58" s="70" t="str">
        <f>IFERROR(VLOOKUP(A58,VLOOKUPS!$A$3:$D$31,2,0),"Ander")</f>
        <v>Ander</v>
      </c>
      <c r="U58" s="71">
        <f t="shared" si="37"/>
        <v>0</v>
      </c>
      <c r="V58" s="71">
        <f t="shared" si="38"/>
        <v>0</v>
      </c>
    </row>
    <row r="59" spans="1:22" x14ac:dyDescent="0.25">
      <c r="A59" s="9"/>
      <c r="B59" s="10"/>
      <c r="C59" s="11"/>
      <c r="D59" s="46">
        <f>L18*B59*C59</f>
        <v>0</v>
      </c>
      <c r="E59" s="12"/>
      <c r="F59" s="47">
        <f t="shared" si="39"/>
        <v>0</v>
      </c>
      <c r="G59" s="374"/>
      <c r="H59" s="13"/>
      <c r="I59" s="48">
        <f t="shared" si="33"/>
        <v>0</v>
      </c>
      <c r="J59" s="47">
        <f t="shared" si="40"/>
        <v>0</v>
      </c>
      <c r="K59" s="47">
        <f t="shared" si="41"/>
        <v>0</v>
      </c>
      <c r="L59" s="371"/>
      <c r="N59" s="66"/>
      <c r="O59" s="67"/>
      <c r="P59" s="68"/>
      <c r="Q59" s="68"/>
      <c r="R59" s="69"/>
      <c r="T59" s="70" t="str">
        <f>IFERROR(VLOOKUP(A59,VLOOKUPS!$A$3:$D$31,2,0),"Ander")</f>
        <v>Ander</v>
      </c>
      <c r="U59" s="71">
        <f t="shared" si="37"/>
        <v>0</v>
      </c>
      <c r="V59" s="71">
        <f t="shared" si="38"/>
        <v>0</v>
      </c>
    </row>
    <row r="60" spans="1:22" x14ac:dyDescent="0.25">
      <c r="A60" s="9"/>
      <c r="B60" s="10"/>
      <c r="C60" s="11"/>
      <c r="D60" s="46">
        <f t="shared" ref="D60:D61" si="42">L19*B60*C60</f>
        <v>0</v>
      </c>
      <c r="E60" s="12"/>
      <c r="F60" s="47">
        <f t="shared" si="39"/>
        <v>0</v>
      </c>
      <c r="G60" s="374"/>
      <c r="H60" s="13"/>
      <c r="I60" s="48">
        <f t="shared" si="33"/>
        <v>0</v>
      </c>
      <c r="J60" s="47">
        <f t="shared" si="40"/>
        <v>0</v>
      </c>
      <c r="K60" s="47">
        <f t="shared" si="41"/>
        <v>0</v>
      </c>
      <c r="L60" s="371"/>
      <c r="N60" s="66"/>
      <c r="O60" s="67"/>
      <c r="P60" s="68"/>
      <c r="Q60" s="68"/>
      <c r="R60" s="69"/>
      <c r="T60" s="70" t="str">
        <f>IFERROR(VLOOKUP(A60,VLOOKUPS!$A$3:$D$31,2,0),"Ander")</f>
        <v>Ander</v>
      </c>
      <c r="U60" s="71">
        <f t="shared" si="37"/>
        <v>0</v>
      </c>
      <c r="V60" s="71">
        <f t="shared" si="38"/>
        <v>0</v>
      </c>
    </row>
    <row r="61" spans="1:22" x14ac:dyDescent="0.25">
      <c r="A61" s="9"/>
      <c r="B61" s="10"/>
      <c r="C61" s="11"/>
      <c r="D61" s="46">
        <f t="shared" si="42"/>
        <v>0</v>
      </c>
      <c r="E61" s="12"/>
      <c r="F61" s="47">
        <f t="shared" si="39"/>
        <v>0</v>
      </c>
      <c r="G61" s="374"/>
      <c r="H61" s="13"/>
      <c r="I61" s="48">
        <f t="shared" si="33"/>
        <v>0</v>
      </c>
      <c r="J61" s="47">
        <f t="shared" si="40"/>
        <v>0</v>
      </c>
      <c r="K61" s="47">
        <f t="shared" si="41"/>
        <v>0</v>
      </c>
      <c r="L61" s="371"/>
      <c r="N61" s="66"/>
      <c r="O61" s="67"/>
      <c r="P61" s="68"/>
      <c r="Q61" s="68"/>
      <c r="R61" s="69"/>
      <c r="T61" s="70" t="str">
        <f>IFERROR(VLOOKUP(A61,VLOOKUPS!$A$3:$D$31,2,0),"Ander")</f>
        <v>Ander</v>
      </c>
      <c r="U61" s="71">
        <f t="shared" si="37"/>
        <v>0</v>
      </c>
      <c r="V61" s="71">
        <f t="shared" si="38"/>
        <v>0</v>
      </c>
    </row>
    <row r="62" spans="1:22" x14ac:dyDescent="0.25">
      <c r="A62" s="9"/>
      <c r="B62" s="10"/>
      <c r="C62" s="11"/>
      <c r="D62" s="46">
        <f>L18*B62*C62</f>
        <v>0</v>
      </c>
      <c r="E62" s="12"/>
      <c r="F62" s="47">
        <f t="shared" si="39"/>
        <v>0</v>
      </c>
      <c r="G62" s="374"/>
      <c r="H62" s="13"/>
      <c r="I62" s="48">
        <f t="shared" si="33"/>
        <v>0</v>
      </c>
      <c r="J62" s="47">
        <f t="shared" si="40"/>
        <v>0</v>
      </c>
      <c r="K62" s="47">
        <f t="shared" si="41"/>
        <v>0</v>
      </c>
      <c r="L62" s="371"/>
      <c r="N62" s="66">
        <f t="shared" si="19"/>
        <v>0</v>
      </c>
      <c r="O62" s="67">
        <f t="shared" si="20"/>
        <v>0</v>
      </c>
      <c r="P62" s="68">
        <f t="shared" si="34"/>
        <v>0</v>
      </c>
      <c r="Q62" s="68">
        <f t="shared" si="35"/>
        <v>0</v>
      </c>
      <c r="R62" s="69">
        <f t="shared" si="36"/>
        <v>0</v>
      </c>
      <c r="T62" s="70" t="str">
        <f>IFERROR(VLOOKUP(A62,VLOOKUPS!$A$3:$D$31,2,0),"Ander")</f>
        <v>Ander</v>
      </c>
      <c r="U62" s="71">
        <f t="shared" si="37"/>
        <v>0</v>
      </c>
      <c r="V62" s="71">
        <f t="shared" si="38"/>
        <v>0</v>
      </c>
    </row>
    <row r="63" spans="1:22" x14ac:dyDescent="0.25">
      <c r="A63" s="9"/>
      <c r="B63" s="10"/>
      <c r="C63" s="11"/>
      <c r="D63" s="46">
        <f>L18*B63*C63</f>
        <v>0</v>
      </c>
      <c r="E63" s="12"/>
      <c r="F63" s="47">
        <f t="shared" si="39"/>
        <v>0</v>
      </c>
      <c r="G63" s="374"/>
      <c r="H63" s="13"/>
      <c r="I63" s="48">
        <f t="shared" si="33"/>
        <v>0</v>
      </c>
      <c r="J63" s="47">
        <f t="shared" si="40"/>
        <v>0</v>
      </c>
      <c r="K63" s="47">
        <f t="shared" si="41"/>
        <v>0</v>
      </c>
      <c r="L63" s="371"/>
      <c r="N63" s="66">
        <f t="shared" si="19"/>
        <v>0</v>
      </c>
      <c r="O63" s="67">
        <f t="shared" si="20"/>
        <v>0</v>
      </c>
      <c r="P63" s="68">
        <f t="shared" si="34"/>
        <v>0</v>
      </c>
      <c r="Q63" s="68">
        <f t="shared" si="35"/>
        <v>0</v>
      </c>
      <c r="R63" s="69">
        <f t="shared" si="36"/>
        <v>0</v>
      </c>
      <c r="T63" s="70" t="str">
        <f>IFERROR(VLOOKUP(A63,VLOOKUPS!$A$3:$D$31,2,0),"Ander")</f>
        <v>Ander</v>
      </c>
      <c r="U63" s="71">
        <f t="shared" si="37"/>
        <v>0</v>
      </c>
      <c r="V63" s="71">
        <f t="shared" si="38"/>
        <v>0</v>
      </c>
    </row>
    <row r="64" spans="1:22" ht="15.75" thickBot="1" x14ac:dyDescent="0.3">
      <c r="A64" s="14"/>
      <c r="B64" s="15"/>
      <c r="C64" s="16"/>
      <c r="D64" s="49">
        <f>L18*B64*C64</f>
        <v>0</v>
      </c>
      <c r="E64" s="17"/>
      <c r="F64" s="50">
        <f t="shared" si="39"/>
        <v>0</v>
      </c>
      <c r="G64" s="375"/>
      <c r="H64" s="18"/>
      <c r="I64" s="51">
        <f t="shared" si="33"/>
        <v>0</v>
      </c>
      <c r="J64" s="50">
        <f t="shared" si="40"/>
        <v>0</v>
      </c>
      <c r="K64" s="50">
        <f t="shared" si="41"/>
        <v>0</v>
      </c>
      <c r="L64" s="372"/>
      <c r="N64" s="66">
        <f t="shared" si="19"/>
        <v>0</v>
      </c>
      <c r="O64" s="67">
        <f t="shared" si="20"/>
        <v>0</v>
      </c>
      <c r="P64" s="68">
        <f t="shared" si="34"/>
        <v>0</v>
      </c>
      <c r="Q64" s="68">
        <f t="shared" si="35"/>
        <v>0</v>
      </c>
      <c r="R64" s="69">
        <f t="shared" si="36"/>
        <v>0</v>
      </c>
      <c r="T64" s="70" t="str">
        <f>IFERROR(VLOOKUP(A64,VLOOKUPS!$A$3:$D$31,2,0),"Ander")</f>
        <v>Ander</v>
      </c>
      <c r="U64" s="71">
        <f t="shared" si="37"/>
        <v>0</v>
      </c>
      <c r="V64" s="71">
        <f t="shared" si="38"/>
        <v>0</v>
      </c>
    </row>
    <row r="65" spans="1:22" ht="15.75" thickBot="1" x14ac:dyDescent="0.3">
      <c r="N65" s="66"/>
      <c r="O65" s="67"/>
      <c r="P65" s="68"/>
      <c r="Q65" s="68"/>
      <c r="R65" s="69"/>
      <c r="U65" s="72">
        <f>SUM(U55:U64)</f>
        <v>0</v>
      </c>
      <c r="V65" s="72">
        <f>SUM(V55:V64)</f>
        <v>8120</v>
      </c>
    </row>
    <row r="66" spans="1:22" ht="18.75" thickTop="1" thickBot="1" x14ac:dyDescent="0.35">
      <c r="A66" s="409" t="s">
        <v>67</v>
      </c>
      <c r="B66" s="410"/>
      <c r="C66" s="410"/>
      <c r="D66" s="410"/>
      <c r="E66" s="410"/>
      <c r="F66" s="410"/>
      <c r="G66" s="410"/>
      <c r="H66" s="410"/>
      <c r="I66" s="410"/>
      <c r="J66" s="410"/>
      <c r="K66" s="410"/>
      <c r="L66" s="411"/>
      <c r="N66" s="66"/>
      <c r="O66" s="67"/>
      <c r="P66" s="68"/>
      <c r="Q66" s="68"/>
      <c r="R66" s="69"/>
      <c r="U66" s="71"/>
      <c r="V66" s="71"/>
    </row>
    <row r="67" spans="1:22" ht="43.5" thickBot="1" x14ac:dyDescent="0.3">
      <c r="A67" s="37" t="s">
        <v>1</v>
      </c>
      <c r="B67" s="38" t="s">
        <v>62</v>
      </c>
      <c r="C67" s="39" t="s">
        <v>2</v>
      </c>
      <c r="D67" s="40" t="s">
        <v>93</v>
      </c>
      <c r="E67" s="39" t="s">
        <v>61</v>
      </c>
      <c r="F67" s="40" t="s">
        <v>94</v>
      </c>
      <c r="G67" s="41" t="s">
        <v>60</v>
      </c>
      <c r="H67" s="39" t="s">
        <v>59</v>
      </c>
      <c r="I67" s="103" t="s">
        <v>56</v>
      </c>
      <c r="J67" s="40" t="s">
        <v>57</v>
      </c>
      <c r="K67" s="40" t="s">
        <v>58</v>
      </c>
      <c r="L67" s="42" t="s">
        <v>0</v>
      </c>
      <c r="N67" s="66"/>
      <c r="O67" s="67"/>
      <c r="P67" s="68"/>
      <c r="Q67" s="68"/>
      <c r="R67" s="69"/>
      <c r="U67" s="71"/>
      <c r="V67" s="71"/>
    </row>
    <row r="68" spans="1:22" x14ac:dyDescent="0.25">
      <c r="A68" s="4" t="s">
        <v>1</v>
      </c>
      <c r="B68" s="5">
        <v>0.5</v>
      </c>
      <c r="C68" s="6">
        <v>1</v>
      </c>
      <c r="D68" s="43">
        <f>+L18*B68*C68</f>
        <v>7.5</v>
      </c>
      <c r="E68" s="7">
        <v>250</v>
      </c>
      <c r="F68" s="44">
        <f>+B68*C68*E68</f>
        <v>125</v>
      </c>
      <c r="G68" s="373">
        <f>SUM(F68:F71)</f>
        <v>125</v>
      </c>
      <c r="H68" s="8">
        <v>5</v>
      </c>
      <c r="I68" s="45">
        <f t="shared" ref="I68:I71" si="43">+IFERROR(ROUNDUP(D68/H68,0),0)</f>
        <v>2</v>
      </c>
      <c r="J68" s="44">
        <f>+E68*H68</f>
        <v>1250</v>
      </c>
      <c r="K68" s="44">
        <f>+I68*J68</f>
        <v>2500</v>
      </c>
      <c r="L68" s="370">
        <f>SUM(K68:K71)</f>
        <v>2500</v>
      </c>
      <c r="N68" s="66">
        <f t="shared" si="19"/>
        <v>20</v>
      </c>
      <c r="O68" s="67">
        <f t="shared" si="20"/>
        <v>15</v>
      </c>
      <c r="P68" s="68">
        <f t="shared" ref="P68:P71" si="44">+IFERROR(K68/N68,0)</f>
        <v>125</v>
      </c>
      <c r="Q68" s="68">
        <f t="shared" ref="Q68:Q71" si="45">+IFERROR(K68/O68,0)</f>
        <v>166.66666666666666</v>
      </c>
      <c r="R68" s="69">
        <f t="shared" ref="R68:R71" si="46">+B68*C68*E68</f>
        <v>125</v>
      </c>
      <c r="T68" s="70" t="str">
        <f>IFERROR(VLOOKUP(A68,VLOOKUPS!$A$3:$D$31,2,0),"Ander")</f>
        <v>Ander</v>
      </c>
      <c r="U68" s="71">
        <f t="shared" ref="U68:U71" si="47">IF(T68="Syngenta",K68,0)</f>
        <v>0</v>
      </c>
      <c r="V68" s="71">
        <f t="shared" ref="V68:V71" si="48">IF(T68="Ander",K68,0)</f>
        <v>2500</v>
      </c>
    </row>
    <row r="69" spans="1:22" x14ac:dyDescent="0.25">
      <c r="A69" s="9"/>
      <c r="B69" s="10"/>
      <c r="C69" s="11"/>
      <c r="D69" s="46">
        <f>+L18*B69*C69</f>
        <v>0</v>
      </c>
      <c r="E69" s="12"/>
      <c r="F69" s="47">
        <f t="shared" ref="F69:F71" si="49">+B69*C69*E69</f>
        <v>0</v>
      </c>
      <c r="G69" s="374"/>
      <c r="H69" s="13"/>
      <c r="I69" s="48">
        <f t="shared" si="43"/>
        <v>0</v>
      </c>
      <c r="J69" s="47">
        <f t="shared" ref="J69:J71" si="50">+E69*H69</f>
        <v>0</v>
      </c>
      <c r="K69" s="47">
        <f t="shared" ref="K69:K71" si="51">+I69*J69</f>
        <v>0</v>
      </c>
      <c r="L69" s="371"/>
      <c r="N69" s="66">
        <f t="shared" si="19"/>
        <v>0</v>
      </c>
      <c r="O69" s="67">
        <f t="shared" si="20"/>
        <v>0</v>
      </c>
      <c r="P69" s="68">
        <f t="shared" si="44"/>
        <v>0</v>
      </c>
      <c r="Q69" s="68">
        <f t="shared" si="45"/>
        <v>0</v>
      </c>
      <c r="R69" s="69">
        <f t="shared" si="46"/>
        <v>0</v>
      </c>
      <c r="T69" s="70" t="str">
        <f>IFERROR(VLOOKUP(A69,VLOOKUPS!$A$3:$D$31,2,0),"Ander")</f>
        <v>Ander</v>
      </c>
      <c r="U69" s="71">
        <f t="shared" si="47"/>
        <v>0</v>
      </c>
      <c r="V69" s="71">
        <f t="shared" si="48"/>
        <v>0</v>
      </c>
    </row>
    <row r="70" spans="1:22" x14ac:dyDescent="0.25">
      <c r="A70" s="9"/>
      <c r="B70" s="10"/>
      <c r="C70" s="11"/>
      <c r="D70" s="46">
        <f>L18*B70*C70</f>
        <v>0</v>
      </c>
      <c r="E70" s="12"/>
      <c r="F70" s="47">
        <f t="shared" si="49"/>
        <v>0</v>
      </c>
      <c r="G70" s="374"/>
      <c r="H70" s="13"/>
      <c r="I70" s="48">
        <f t="shared" si="43"/>
        <v>0</v>
      </c>
      <c r="J70" s="47">
        <f t="shared" si="50"/>
        <v>0</v>
      </c>
      <c r="K70" s="47">
        <f t="shared" si="51"/>
        <v>0</v>
      </c>
      <c r="L70" s="371"/>
      <c r="N70" s="66">
        <f t="shared" si="19"/>
        <v>0</v>
      </c>
      <c r="O70" s="67">
        <f t="shared" si="20"/>
        <v>0</v>
      </c>
      <c r="P70" s="68">
        <f t="shared" si="44"/>
        <v>0</v>
      </c>
      <c r="Q70" s="68">
        <f t="shared" si="45"/>
        <v>0</v>
      </c>
      <c r="R70" s="69">
        <f t="shared" si="46"/>
        <v>0</v>
      </c>
      <c r="T70" s="70" t="str">
        <f>IFERROR(VLOOKUP(A70,VLOOKUPS!$A$3:$D$31,2,0),"Ander")</f>
        <v>Ander</v>
      </c>
      <c r="U70" s="71">
        <f t="shared" si="47"/>
        <v>0</v>
      </c>
      <c r="V70" s="71">
        <f t="shared" si="48"/>
        <v>0</v>
      </c>
    </row>
    <row r="71" spans="1:22" ht="15.75" thickBot="1" x14ac:dyDescent="0.3">
      <c r="A71" s="14"/>
      <c r="B71" s="15"/>
      <c r="C71" s="16"/>
      <c r="D71" s="49">
        <f>+L18*B71*C71</f>
        <v>0</v>
      </c>
      <c r="E71" s="17"/>
      <c r="F71" s="50">
        <f t="shared" si="49"/>
        <v>0</v>
      </c>
      <c r="G71" s="375"/>
      <c r="H71" s="18"/>
      <c r="I71" s="51">
        <f t="shared" si="43"/>
        <v>0</v>
      </c>
      <c r="J71" s="50">
        <f t="shared" si="50"/>
        <v>0</v>
      </c>
      <c r="K71" s="50">
        <f t="shared" si="51"/>
        <v>0</v>
      </c>
      <c r="L71" s="372"/>
      <c r="N71" s="66">
        <f t="shared" si="19"/>
        <v>0</v>
      </c>
      <c r="O71" s="67">
        <f t="shared" si="20"/>
        <v>0</v>
      </c>
      <c r="P71" s="68">
        <f t="shared" si="44"/>
        <v>0</v>
      </c>
      <c r="Q71" s="68">
        <f t="shared" si="45"/>
        <v>0</v>
      </c>
      <c r="R71" s="69">
        <f t="shared" si="46"/>
        <v>0</v>
      </c>
      <c r="T71" s="70" t="str">
        <f>IFERROR(VLOOKUP(A71,VLOOKUPS!$A$3:$D$31,2,0),"Ander")</f>
        <v>Ander</v>
      </c>
      <c r="U71" s="71">
        <f t="shared" si="47"/>
        <v>0</v>
      </c>
      <c r="V71" s="71">
        <f t="shared" si="48"/>
        <v>0</v>
      </c>
    </row>
    <row r="72" spans="1:22" ht="15.75" thickBot="1" x14ac:dyDescent="0.3">
      <c r="U72" s="72">
        <f>SUM(U68:U71)</f>
        <v>0</v>
      </c>
      <c r="V72" s="72">
        <f>SUM(V68:V71)</f>
        <v>2500</v>
      </c>
    </row>
    <row r="73" spans="1:22" ht="15.75" thickTop="1" x14ac:dyDescent="0.25">
      <c r="U73" s="73"/>
      <c r="V73" s="73"/>
    </row>
    <row r="74" spans="1:22" ht="15" customHeight="1" thickBot="1" x14ac:dyDescent="0.3">
      <c r="B74" s="395" t="s">
        <v>89</v>
      </c>
      <c r="C74" s="396"/>
      <c r="D74" s="396"/>
      <c r="E74" s="396"/>
      <c r="F74" s="396"/>
      <c r="G74" s="396"/>
      <c r="H74" s="396"/>
      <c r="I74" s="396"/>
      <c r="J74" s="396"/>
      <c r="K74" s="397"/>
    </row>
    <row r="75" spans="1:22" ht="15.75" thickBot="1" x14ac:dyDescent="0.3">
      <c r="B75" s="398"/>
      <c r="C75" s="399"/>
      <c r="D75" s="399"/>
      <c r="E75" s="399"/>
      <c r="F75" s="399"/>
      <c r="G75" s="399"/>
      <c r="H75" s="399"/>
      <c r="I75" s="399"/>
      <c r="J75" s="399"/>
      <c r="K75" s="400"/>
      <c r="T75" s="74" t="s">
        <v>76</v>
      </c>
      <c r="U75" s="105">
        <f>U72+U65+U52+U41+U30</f>
        <v>0</v>
      </c>
      <c r="V75" s="106">
        <f>V72+V65+V52+V41+V30</f>
        <v>28748</v>
      </c>
    </row>
    <row r="76" spans="1:22" x14ac:dyDescent="0.25">
      <c r="B76" s="36"/>
      <c r="C76" s="111"/>
      <c r="D76" s="111"/>
      <c r="E76" s="111"/>
      <c r="F76" s="111"/>
      <c r="T76" s="27" t="s">
        <v>77</v>
      </c>
      <c r="U76" s="75">
        <f>V75+U75-L14</f>
        <v>0</v>
      </c>
    </row>
    <row r="77" spans="1:22" x14ac:dyDescent="0.25">
      <c r="B77" s="36"/>
      <c r="C77" s="111"/>
      <c r="D77" s="111"/>
      <c r="E77" s="111"/>
      <c r="F77" s="111"/>
    </row>
    <row r="78" spans="1:22" x14ac:dyDescent="0.25">
      <c r="B78" s="36"/>
      <c r="C78" s="111"/>
      <c r="D78" s="111"/>
      <c r="E78" s="111"/>
      <c r="F78" s="111"/>
    </row>
  </sheetData>
  <sheetProtection selectLockedCells="1"/>
  <mergeCells count="48">
    <mergeCell ref="B74:K75"/>
    <mergeCell ref="G33:G40"/>
    <mergeCell ref="L33:L40"/>
    <mergeCell ref="A42:L42"/>
    <mergeCell ref="G44:G51"/>
    <mergeCell ref="L44:L51"/>
    <mergeCell ref="A53:L53"/>
    <mergeCell ref="G55:G64"/>
    <mergeCell ref="L55:L64"/>
    <mergeCell ref="A66:L66"/>
    <mergeCell ref="G68:G71"/>
    <mergeCell ref="L68:L71"/>
    <mergeCell ref="A31:L31"/>
    <mergeCell ref="B16:C16"/>
    <mergeCell ref="G16:H16"/>
    <mergeCell ref="J16:K16"/>
    <mergeCell ref="B18:C18"/>
    <mergeCell ref="G18:H18"/>
    <mergeCell ref="J18:K18"/>
    <mergeCell ref="A20:L20"/>
    <mergeCell ref="G21:H22"/>
    <mergeCell ref="I21:I22"/>
    <mergeCell ref="G24:G29"/>
    <mergeCell ref="L24:L29"/>
    <mergeCell ref="B14:C14"/>
    <mergeCell ref="G14:H14"/>
    <mergeCell ref="J14:K14"/>
    <mergeCell ref="B15:C15"/>
    <mergeCell ref="G15:H15"/>
    <mergeCell ref="J15:K15"/>
    <mergeCell ref="B12:C12"/>
    <mergeCell ref="G12:H12"/>
    <mergeCell ref="J12:K12"/>
    <mergeCell ref="B13:C13"/>
    <mergeCell ref="G13:H13"/>
    <mergeCell ref="J13:K13"/>
    <mergeCell ref="B10:C10"/>
    <mergeCell ref="G10:H10"/>
    <mergeCell ref="J10:K10"/>
    <mergeCell ref="B11:C11"/>
    <mergeCell ref="G11:H11"/>
    <mergeCell ref="J11:K11"/>
    <mergeCell ref="A8:C8"/>
    <mergeCell ref="F8:H8"/>
    <mergeCell ref="J8:L8"/>
    <mergeCell ref="B9:C9"/>
    <mergeCell ref="G9:H9"/>
    <mergeCell ref="J9:K9"/>
  </mergeCells>
  <dataValidations count="1">
    <dataValidation allowBlank="1" showInputMessage="1" sqref="A24:A29 A33:A40 A44:A51 A55:A64 A68:A71"/>
  </dataValidations>
  <printOptions horizontalCentered="1" verticalCentered="1"/>
  <pageMargins left="0.26" right="0.28999999999999998" top="0.19" bottom="0.18" header="0" footer="0"/>
  <pageSetup paperSize="9" scale="64"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pageSetUpPr fitToPage="1"/>
  </sheetPr>
  <dimension ref="A1:V78"/>
  <sheetViews>
    <sheetView zoomScaleNormal="100" workbookViewId="0">
      <selection activeCell="J24" sqref="J24"/>
    </sheetView>
  </sheetViews>
  <sheetFormatPr defaultRowHeight="15" x14ac:dyDescent="0.25"/>
  <cols>
    <col min="1" max="1" width="21.140625" style="27" customWidth="1"/>
    <col min="2" max="2" width="9.140625" style="27" customWidth="1"/>
    <col min="3" max="3" width="10.85546875" style="27" customWidth="1"/>
    <col min="4" max="4" width="9.140625" style="27"/>
    <col min="5" max="5" width="11.5703125" style="27" bestFit="1" customWidth="1"/>
    <col min="6" max="7" width="11.5703125" style="27" customWidth="1"/>
    <col min="8" max="8" width="11.28515625" style="27" customWidth="1"/>
    <col min="9" max="9" width="11.140625" style="27" customWidth="1"/>
    <col min="10" max="10" width="12.5703125" style="27" bestFit="1" customWidth="1"/>
    <col min="11" max="11" width="14.140625" style="27" customWidth="1"/>
    <col min="12" max="12" width="14.85546875" style="27" customWidth="1"/>
    <col min="13" max="13" width="9.140625" style="27" customWidth="1"/>
    <col min="14" max="14" width="12.28515625" style="27" hidden="1" customWidth="1"/>
    <col min="15" max="15" width="10.5703125" style="27" hidden="1" customWidth="1"/>
    <col min="16" max="16" width="14.140625" style="27" hidden="1" customWidth="1"/>
    <col min="17" max="17" width="13.42578125" style="27" hidden="1" customWidth="1"/>
    <col min="18" max="18" width="18.42578125" style="27" hidden="1" customWidth="1"/>
    <col min="19" max="19" width="9.140625" style="27" customWidth="1"/>
    <col min="20" max="20" width="12.28515625" style="27" hidden="1" customWidth="1"/>
    <col min="21" max="21" width="10.5703125" style="27" hidden="1" customWidth="1"/>
    <col min="22" max="22" width="9.140625" style="27" hidden="1" customWidth="1"/>
    <col min="23" max="23" width="9.140625" style="27" customWidth="1"/>
    <col min="24" max="16384" width="9.140625" style="27"/>
  </cols>
  <sheetData>
    <row r="1" spans="1:14" s="61" customFormat="1" ht="15" customHeight="1" x14ac:dyDescent="0.25"/>
    <row r="4" spans="1:14" ht="15.75" thickBot="1" x14ac:dyDescent="0.3"/>
    <row r="5" spans="1:14" ht="15.75" thickBot="1" x14ac:dyDescent="0.3">
      <c r="C5" s="76"/>
      <c r="F5" s="117" t="s">
        <v>134</v>
      </c>
      <c r="G5" s="118" t="s">
        <v>127</v>
      </c>
    </row>
    <row r="6" spans="1:14" x14ac:dyDescent="0.25">
      <c r="C6" s="76"/>
    </row>
    <row r="7" spans="1:14" ht="15.75" thickBot="1" x14ac:dyDescent="0.3"/>
    <row r="8" spans="1:14" ht="15.75" thickBot="1" x14ac:dyDescent="0.3">
      <c r="A8" s="404" t="s">
        <v>39</v>
      </c>
      <c r="B8" s="405"/>
      <c r="C8" s="406"/>
      <c r="F8" s="376" t="s">
        <v>48</v>
      </c>
      <c r="G8" s="377"/>
      <c r="H8" s="378"/>
      <c r="J8" s="376" t="s">
        <v>36</v>
      </c>
      <c r="K8" s="377"/>
      <c r="L8" s="378"/>
    </row>
    <row r="9" spans="1:14" x14ac:dyDescent="0.25">
      <c r="A9" s="28" t="s">
        <v>40</v>
      </c>
      <c r="B9" s="407" t="str">
        <f>+'Koring 1 (dont use)'!B9:C9</f>
        <v>Jaque Fourie</v>
      </c>
      <c r="C9" s="408"/>
      <c r="F9" s="28" t="s">
        <v>81</v>
      </c>
      <c r="G9" s="387" t="str">
        <f>+'Koring 1 (dont use)'!G9:H9</f>
        <v>Bakkies Botha</v>
      </c>
      <c r="H9" s="388"/>
      <c r="J9" s="420" t="str">
        <f>+A20</f>
        <v>Saadbehandeling</v>
      </c>
      <c r="K9" s="421"/>
      <c r="L9" s="23">
        <f>+L24</f>
        <v>8500</v>
      </c>
    </row>
    <row r="10" spans="1:14" x14ac:dyDescent="0.25">
      <c r="A10" s="29" t="s">
        <v>47</v>
      </c>
      <c r="B10" s="424" t="str">
        <f>+'Koring 1 (dont use)'!B10:C10</f>
        <v>Japan</v>
      </c>
      <c r="C10" s="425"/>
      <c r="F10" s="29" t="s">
        <v>82</v>
      </c>
      <c r="G10" s="424" t="str">
        <f>+'Koring 1 (dont use)'!G10:H10</f>
        <v xml:space="preserve">Bus 524 </v>
      </c>
      <c r="H10" s="425"/>
      <c r="J10" s="389" t="str">
        <f>+A31</f>
        <v>Voor plant</v>
      </c>
      <c r="K10" s="390"/>
      <c r="L10" s="24">
        <f>+L33</f>
        <v>4400</v>
      </c>
    </row>
    <row r="11" spans="1:14" x14ac:dyDescent="0.25">
      <c r="A11" s="30"/>
      <c r="B11" s="424">
        <f>+'Koring 1 (dont use)'!B11:C11</f>
        <v>0</v>
      </c>
      <c r="C11" s="425"/>
      <c r="F11" s="29" t="s">
        <v>83</v>
      </c>
      <c r="G11" s="424" t="str">
        <f>+'Koring 1 (dont use)'!G11:H11</f>
        <v>Brakfontein</v>
      </c>
      <c r="H11" s="425"/>
      <c r="J11" s="389" t="str">
        <f>+A42</f>
        <v>Voor-opkoms (met plant)</v>
      </c>
      <c r="K11" s="390"/>
      <c r="L11" s="24">
        <f>+L44</f>
        <v>11232</v>
      </c>
    </row>
    <row r="12" spans="1:14" x14ac:dyDescent="0.25">
      <c r="A12" s="29" t="s">
        <v>45</v>
      </c>
      <c r="B12" s="424" t="str">
        <f>+'Koring 1 (dont use)'!B12:C12</f>
        <v>0001</v>
      </c>
      <c r="C12" s="425"/>
      <c r="F12" s="29" t="s">
        <v>84</v>
      </c>
      <c r="G12" s="424" t="str">
        <f>+'Koring 1 (dont use)'!G12:H12</f>
        <v>Humansdorp</v>
      </c>
      <c r="H12" s="425"/>
      <c r="J12" s="389" t="str">
        <f>+A53</f>
        <v>Na-opkoms</v>
      </c>
      <c r="K12" s="390"/>
      <c r="L12" s="24">
        <f>+L55</f>
        <v>10700</v>
      </c>
    </row>
    <row r="13" spans="1:14" x14ac:dyDescent="0.25">
      <c r="A13" s="29" t="s">
        <v>41</v>
      </c>
      <c r="B13" s="424">
        <f>+'Koring 1 (dont use)'!B13:C13</f>
        <v>0</v>
      </c>
      <c r="C13" s="425"/>
      <c r="F13" s="29" t="s">
        <v>85</v>
      </c>
      <c r="G13" s="424" t="str">
        <f>+'Koring 1 (dont use)'!G13:H13</f>
        <v>2587</v>
      </c>
      <c r="H13" s="425"/>
      <c r="J13" s="389" t="str">
        <f>+A66</f>
        <v>Ander</v>
      </c>
      <c r="K13" s="390"/>
      <c r="L13" s="24">
        <f>+L68</f>
        <v>3750</v>
      </c>
    </row>
    <row r="14" spans="1:14" ht="15.75" thickBot="1" x14ac:dyDescent="0.3">
      <c r="A14" s="29" t="s">
        <v>42</v>
      </c>
      <c r="B14" s="424">
        <f>+'Koring 1 (dont use)'!B14:C14</f>
        <v>0</v>
      </c>
      <c r="C14" s="425"/>
      <c r="F14" s="29" t="s">
        <v>86</v>
      </c>
      <c r="G14" s="424" t="str">
        <f>+'Koring 1 (dont use)'!G14:H14</f>
        <v>0112548798</v>
      </c>
      <c r="H14" s="425"/>
      <c r="J14" s="391" t="s">
        <v>55</v>
      </c>
      <c r="K14" s="392"/>
      <c r="L14" s="26">
        <f>SUM(L9:L13)</f>
        <v>38582</v>
      </c>
    </row>
    <row r="15" spans="1:14" ht="16.5" thickTop="1" thickBot="1" x14ac:dyDescent="0.3">
      <c r="A15" s="29" t="s">
        <v>43</v>
      </c>
      <c r="B15" s="424" t="str">
        <f>+'Koring 1 (dont use)'!B15:C15</f>
        <v>0878522233</v>
      </c>
      <c r="C15" s="425"/>
      <c r="F15" s="29" t="s">
        <v>87</v>
      </c>
      <c r="G15" s="424" t="str">
        <f>+'Koring 1 (dont use)'!G15:H15</f>
        <v>0768543221</v>
      </c>
      <c r="H15" s="425"/>
      <c r="J15" s="426"/>
      <c r="K15" s="427"/>
      <c r="L15" s="25"/>
    </row>
    <row r="16" spans="1:14" ht="15.75" thickBot="1" x14ac:dyDescent="0.3">
      <c r="A16" s="31" t="s">
        <v>44</v>
      </c>
      <c r="B16" s="428" t="str">
        <f>+'Koring 1 (dont use)'!B16:C16</f>
        <v>jfourie@gmail.com</v>
      </c>
      <c r="C16" s="429"/>
      <c r="F16" s="31" t="s">
        <v>88</v>
      </c>
      <c r="G16" s="430" t="str">
        <f>+'Koring 1 (dont use)'!G16:H16</f>
        <v>bb@bok.co.za</v>
      </c>
      <c r="H16" s="431"/>
      <c r="J16" s="432" t="s">
        <v>70</v>
      </c>
      <c r="K16" s="433"/>
      <c r="L16" s="104">
        <f>+G24+G33+G44+G55+G68</f>
        <v>920.63333333333344</v>
      </c>
      <c r="N16" s="62">
        <f>+L14/L18</f>
        <v>1286.0666666666666</v>
      </c>
    </row>
    <row r="17" spans="1:22" ht="15.75" thickBot="1" x14ac:dyDescent="0.3">
      <c r="E17" s="32"/>
      <c r="J17" s="33"/>
      <c r="K17" s="33"/>
      <c r="L17" s="34"/>
    </row>
    <row r="18" spans="1:22" ht="15.75" thickBot="1" x14ac:dyDescent="0.3">
      <c r="A18" s="35" t="s">
        <v>106</v>
      </c>
      <c r="B18" s="434" t="str">
        <f>+'Koring 1 (dont use)'!B18:C18</f>
        <v>Co</v>
      </c>
      <c r="C18" s="435"/>
      <c r="E18" s="32"/>
      <c r="F18" s="35" t="s">
        <v>69</v>
      </c>
      <c r="G18" s="418" t="str">
        <f>+'Koring 1 (dont use)'!G18:H18</f>
        <v>2012/09/12</v>
      </c>
      <c r="H18" s="436"/>
      <c r="J18" s="404" t="s">
        <v>46</v>
      </c>
      <c r="K18" s="405"/>
      <c r="L18" s="3">
        <v>30</v>
      </c>
    </row>
    <row r="19" spans="1:22" s="77" customFormat="1" ht="15.75" thickBot="1" x14ac:dyDescent="0.3">
      <c r="A19" s="101"/>
      <c r="B19" s="109"/>
      <c r="C19" s="109"/>
      <c r="E19" s="102"/>
      <c r="F19" s="101"/>
      <c r="G19" s="109"/>
      <c r="H19" s="109"/>
      <c r="J19" s="100"/>
      <c r="K19" s="100"/>
      <c r="L19" s="110"/>
    </row>
    <row r="20" spans="1:22" s="77" customFormat="1" ht="18" thickBot="1" x14ac:dyDescent="0.35">
      <c r="A20" s="409" t="s">
        <v>38</v>
      </c>
      <c r="B20" s="410"/>
      <c r="C20" s="410"/>
      <c r="D20" s="410"/>
      <c r="E20" s="410"/>
      <c r="F20" s="410"/>
      <c r="G20" s="410"/>
      <c r="H20" s="410"/>
      <c r="I20" s="410"/>
      <c r="J20" s="410"/>
      <c r="K20" s="410"/>
      <c r="L20" s="411"/>
    </row>
    <row r="21" spans="1:22" s="77" customFormat="1" x14ac:dyDescent="0.25">
      <c r="A21" s="52"/>
      <c r="B21" s="53" t="s">
        <v>97</v>
      </c>
      <c r="C21" s="19">
        <v>26000</v>
      </c>
      <c r="D21" s="54"/>
      <c r="E21" s="55"/>
      <c r="F21" s="55"/>
      <c r="G21" s="437" t="s">
        <v>99</v>
      </c>
      <c r="H21" s="438"/>
      <c r="I21" s="441">
        <f>+C21/C22</f>
        <v>0.43333333333333335</v>
      </c>
      <c r="J21" s="54"/>
      <c r="K21" s="54"/>
      <c r="L21" s="56"/>
    </row>
    <row r="22" spans="1:22" s="77" customFormat="1" ht="15.75" thickBot="1" x14ac:dyDescent="0.3">
      <c r="A22" s="57"/>
      <c r="B22" s="58" t="s">
        <v>98</v>
      </c>
      <c r="C22" s="20">
        <v>60000</v>
      </c>
      <c r="D22" s="59"/>
      <c r="E22" s="55"/>
      <c r="F22" s="55"/>
      <c r="G22" s="439"/>
      <c r="H22" s="440"/>
      <c r="I22" s="442"/>
      <c r="J22" s="59"/>
      <c r="K22" s="59"/>
      <c r="L22" s="60"/>
      <c r="T22" s="107"/>
      <c r="U22" s="108" t="s">
        <v>113</v>
      </c>
      <c r="V22" s="107"/>
    </row>
    <row r="23" spans="1:22" s="77" customFormat="1" ht="43.5" thickBot="1" x14ac:dyDescent="0.3">
      <c r="A23" s="37" t="s">
        <v>1</v>
      </c>
      <c r="B23" s="38" t="s">
        <v>95</v>
      </c>
      <c r="C23" s="39" t="s">
        <v>96</v>
      </c>
      <c r="D23" s="40" t="s">
        <v>93</v>
      </c>
      <c r="E23" s="39" t="s">
        <v>61</v>
      </c>
      <c r="F23" s="40" t="s">
        <v>94</v>
      </c>
      <c r="G23" s="41" t="s">
        <v>60</v>
      </c>
      <c r="H23" s="39" t="s">
        <v>59</v>
      </c>
      <c r="I23" s="103" t="s">
        <v>56</v>
      </c>
      <c r="J23" s="40" t="s">
        <v>57</v>
      </c>
      <c r="K23" s="40" t="s">
        <v>58</v>
      </c>
      <c r="L23" s="42" t="s">
        <v>0</v>
      </c>
      <c r="N23" s="63" t="s">
        <v>101</v>
      </c>
      <c r="O23" s="63" t="s">
        <v>100</v>
      </c>
      <c r="P23" s="64" t="s">
        <v>102</v>
      </c>
      <c r="Q23" s="64" t="s">
        <v>103</v>
      </c>
      <c r="R23" s="64" t="s">
        <v>104</v>
      </c>
      <c r="S23" s="27"/>
      <c r="T23" s="65" t="s">
        <v>72</v>
      </c>
      <c r="U23" s="65" t="s">
        <v>74</v>
      </c>
      <c r="V23" s="65" t="s">
        <v>75</v>
      </c>
    </row>
    <row r="24" spans="1:22" s="77" customFormat="1" x14ac:dyDescent="0.25">
      <c r="A24" s="134" t="s">
        <v>1</v>
      </c>
      <c r="B24" s="135">
        <v>0.1</v>
      </c>
      <c r="C24" s="136">
        <v>100</v>
      </c>
      <c r="D24" s="43">
        <f t="shared" ref="D24" si="0">+B24*C24</f>
        <v>10</v>
      </c>
      <c r="E24" s="137">
        <v>850</v>
      </c>
      <c r="F24" s="44">
        <f t="shared" ref="F24" si="1">+IFERROR(K24/(C24/$I$21),0)</f>
        <v>36.833333333333336</v>
      </c>
      <c r="G24" s="373">
        <f>SUM(F24:F29)</f>
        <v>36.833333333333336</v>
      </c>
      <c r="H24" s="138">
        <v>1</v>
      </c>
      <c r="I24" s="45">
        <f t="shared" ref="I24" si="2">+IFERROR(ROUNDUP(D24/H24,0),0)</f>
        <v>10</v>
      </c>
      <c r="J24" s="44">
        <f>+E24*H24</f>
        <v>850</v>
      </c>
      <c r="K24" s="44">
        <f>+I24*J24</f>
        <v>8500</v>
      </c>
      <c r="L24" s="370">
        <f>SUM(K24:K29)</f>
        <v>8500</v>
      </c>
      <c r="T24" s="70" t="str">
        <f>IFERROR(VLOOKUP(A24,VLOOKUPS!$A$3:$D$31,2,0),"Ander")</f>
        <v>Ander</v>
      </c>
      <c r="U24" s="71">
        <f t="shared" ref="U24:U29" si="3">IF(T24="Syngenta",K24,0)</f>
        <v>0</v>
      </c>
      <c r="V24" s="71">
        <f t="shared" ref="V24:V29" si="4">IF(T24="Ander",K24,0)</f>
        <v>8500</v>
      </c>
    </row>
    <row r="25" spans="1:22" s="77" customFormat="1" x14ac:dyDescent="0.25">
      <c r="A25" s="9"/>
      <c r="B25" s="10"/>
      <c r="C25" s="21"/>
      <c r="D25" s="46">
        <f t="shared" ref="D25:D29" si="5">+B25*C25</f>
        <v>0</v>
      </c>
      <c r="E25" s="12"/>
      <c r="F25" s="47">
        <f t="shared" ref="F25:F29" si="6">+IFERROR(K25/(C25/$I$21),0)</f>
        <v>0</v>
      </c>
      <c r="G25" s="374"/>
      <c r="H25" s="13"/>
      <c r="I25" s="48">
        <f t="shared" ref="I25:I26" si="7">+IFERROR(ROUNDUP(D25/H25,0),0)</f>
        <v>0</v>
      </c>
      <c r="J25" s="47">
        <f>+E25*H25</f>
        <v>0</v>
      </c>
      <c r="K25" s="47">
        <f>+I25*J25</f>
        <v>0</v>
      </c>
      <c r="L25" s="371"/>
      <c r="T25" s="70" t="str">
        <f>IFERROR(VLOOKUP(A25,VLOOKUPS!$A$3:$D$31,2,0),"Ander")</f>
        <v>Ander</v>
      </c>
      <c r="U25" s="71">
        <f t="shared" si="3"/>
        <v>0</v>
      </c>
      <c r="V25" s="71">
        <f t="shared" si="4"/>
        <v>0</v>
      </c>
    </row>
    <row r="26" spans="1:22" s="77" customFormat="1" x14ac:dyDescent="0.25">
      <c r="A26" s="9"/>
      <c r="B26" s="10"/>
      <c r="C26" s="21"/>
      <c r="D26" s="46">
        <f t="shared" si="5"/>
        <v>0</v>
      </c>
      <c r="E26" s="12"/>
      <c r="F26" s="47">
        <f t="shared" si="6"/>
        <v>0</v>
      </c>
      <c r="G26" s="374"/>
      <c r="H26" s="13"/>
      <c r="I26" s="48">
        <f t="shared" si="7"/>
        <v>0</v>
      </c>
      <c r="J26" s="47">
        <f t="shared" ref="J26:J29" si="8">+E26*H26</f>
        <v>0</v>
      </c>
      <c r="K26" s="47">
        <f t="shared" ref="K26:K29" si="9">+I26*J26</f>
        <v>0</v>
      </c>
      <c r="L26" s="371"/>
      <c r="T26" s="70" t="str">
        <f>IFERROR(VLOOKUP(A26,VLOOKUPS!$A$3:$D$31,2,0),"Ander")</f>
        <v>Ander</v>
      </c>
      <c r="U26" s="71">
        <f t="shared" si="3"/>
        <v>0</v>
      </c>
      <c r="V26" s="71">
        <f t="shared" si="4"/>
        <v>0</v>
      </c>
    </row>
    <row r="27" spans="1:22" s="77" customFormat="1" x14ac:dyDescent="0.25">
      <c r="A27" s="9"/>
      <c r="B27" s="10"/>
      <c r="C27" s="21"/>
      <c r="D27" s="46">
        <f t="shared" si="5"/>
        <v>0</v>
      </c>
      <c r="E27" s="12"/>
      <c r="F27" s="47">
        <f t="shared" si="6"/>
        <v>0</v>
      </c>
      <c r="G27" s="374"/>
      <c r="H27" s="13"/>
      <c r="I27" s="48">
        <f>+IFERROR(ROUNDUP(D27/H27,0),0)</f>
        <v>0</v>
      </c>
      <c r="J27" s="47">
        <f t="shared" si="8"/>
        <v>0</v>
      </c>
      <c r="K27" s="47">
        <f t="shared" si="9"/>
        <v>0</v>
      </c>
      <c r="L27" s="371"/>
      <c r="T27" s="70" t="str">
        <f>IFERROR(VLOOKUP(A27,VLOOKUPS!$A$3:$D$31,2,0),"Ander")</f>
        <v>Ander</v>
      </c>
      <c r="U27" s="71">
        <f t="shared" si="3"/>
        <v>0</v>
      </c>
      <c r="V27" s="71">
        <f t="shared" si="4"/>
        <v>0</v>
      </c>
    </row>
    <row r="28" spans="1:22" s="77" customFormat="1" x14ac:dyDescent="0.25">
      <c r="A28" s="9"/>
      <c r="B28" s="10"/>
      <c r="C28" s="21"/>
      <c r="D28" s="46">
        <f t="shared" si="5"/>
        <v>0</v>
      </c>
      <c r="E28" s="12"/>
      <c r="F28" s="47">
        <f t="shared" si="6"/>
        <v>0</v>
      </c>
      <c r="G28" s="374"/>
      <c r="H28" s="13"/>
      <c r="I28" s="48">
        <f t="shared" ref="I28:I29" si="10">+IFERROR(ROUNDUP(D28/H28,0),0)</f>
        <v>0</v>
      </c>
      <c r="J28" s="47">
        <f t="shared" si="8"/>
        <v>0</v>
      </c>
      <c r="K28" s="47">
        <f t="shared" si="9"/>
        <v>0</v>
      </c>
      <c r="L28" s="371"/>
      <c r="T28" s="70" t="str">
        <f>IFERROR(VLOOKUP(A28,VLOOKUPS!$A$3:$D$31,2,0),"Ander")</f>
        <v>Ander</v>
      </c>
      <c r="U28" s="71">
        <f t="shared" si="3"/>
        <v>0</v>
      </c>
      <c r="V28" s="71">
        <f t="shared" si="4"/>
        <v>0</v>
      </c>
    </row>
    <row r="29" spans="1:22" s="77" customFormat="1" ht="15.75" thickBot="1" x14ac:dyDescent="0.3">
      <c r="A29" s="14"/>
      <c r="B29" s="15"/>
      <c r="C29" s="22"/>
      <c r="D29" s="49">
        <f t="shared" si="5"/>
        <v>0</v>
      </c>
      <c r="E29" s="17"/>
      <c r="F29" s="50">
        <f t="shared" si="6"/>
        <v>0</v>
      </c>
      <c r="G29" s="375"/>
      <c r="H29" s="18"/>
      <c r="I29" s="51">
        <f t="shared" si="10"/>
        <v>0</v>
      </c>
      <c r="J29" s="50">
        <f t="shared" si="8"/>
        <v>0</v>
      </c>
      <c r="K29" s="50">
        <f t="shared" si="9"/>
        <v>0</v>
      </c>
      <c r="L29" s="372"/>
      <c r="T29" s="70" t="str">
        <f>IFERROR(VLOOKUP(A29,VLOOKUPS!$A$3:$D$31,2,0),"Ander")</f>
        <v>Ander</v>
      </c>
      <c r="U29" s="71">
        <f t="shared" si="3"/>
        <v>0</v>
      </c>
      <c r="V29" s="71">
        <f t="shared" si="4"/>
        <v>0</v>
      </c>
    </row>
    <row r="30" spans="1:22" s="77" customFormat="1" ht="15.75" thickBot="1" x14ac:dyDescent="0.3">
      <c r="A30" s="101"/>
      <c r="B30" s="109"/>
      <c r="C30" s="109"/>
      <c r="E30" s="102"/>
      <c r="F30" s="101"/>
      <c r="G30" s="109"/>
      <c r="H30" s="109"/>
      <c r="J30" s="100"/>
      <c r="K30" s="100"/>
      <c r="L30" s="110"/>
      <c r="T30" s="27"/>
      <c r="U30" s="72">
        <f>SUM(U24:U29)</f>
        <v>0</v>
      </c>
      <c r="V30" s="72">
        <f>SUM(V24:V29)</f>
        <v>8500</v>
      </c>
    </row>
    <row r="31" spans="1:22" ht="18.75" thickTop="1" thickBot="1" x14ac:dyDescent="0.35">
      <c r="A31" s="415" t="s">
        <v>37</v>
      </c>
      <c r="B31" s="416"/>
      <c r="C31" s="416"/>
      <c r="D31" s="416"/>
      <c r="E31" s="416"/>
      <c r="F31" s="416"/>
      <c r="G31" s="416"/>
      <c r="H31" s="416"/>
      <c r="I31" s="416"/>
      <c r="J31" s="416"/>
      <c r="K31" s="416"/>
      <c r="L31" s="417"/>
    </row>
    <row r="32" spans="1:22" ht="33" customHeight="1" thickBot="1" x14ac:dyDescent="0.3">
      <c r="A32" s="37" t="s">
        <v>1</v>
      </c>
      <c r="B32" s="38" t="s">
        <v>62</v>
      </c>
      <c r="C32" s="39" t="s">
        <v>2</v>
      </c>
      <c r="D32" s="40" t="s">
        <v>93</v>
      </c>
      <c r="E32" s="39" t="s">
        <v>61</v>
      </c>
      <c r="F32" s="40" t="s">
        <v>94</v>
      </c>
      <c r="G32" s="41" t="s">
        <v>60</v>
      </c>
      <c r="H32" s="39" t="s">
        <v>59</v>
      </c>
      <c r="I32" s="103" t="s">
        <v>56</v>
      </c>
      <c r="J32" s="40" t="s">
        <v>57</v>
      </c>
      <c r="K32" s="40" t="s">
        <v>58</v>
      </c>
      <c r="L32" s="42" t="s">
        <v>0</v>
      </c>
    </row>
    <row r="33" spans="1:22" x14ac:dyDescent="0.25">
      <c r="A33" s="4" t="s">
        <v>1</v>
      </c>
      <c r="B33" s="5">
        <v>1.5</v>
      </c>
      <c r="C33" s="6">
        <v>1</v>
      </c>
      <c r="D33" s="43">
        <f>+L18*B33*C33</f>
        <v>45</v>
      </c>
      <c r="E33" s="7">
        <v>48</v>
      </c>
      <c r="F33" s="44">
        <f>+B33*C33*E33</f>
        <v>72</v>
      </c>
      <c r="G33" s="373">
        <f>SUM(F33:F40)</f>
        <v>108.6</v>
      </c>
      <c r="H33" s="8">
        <v>25</v>
      </c>
      <c r="I33" s="45">
        <f t="shared" ref="I33:I40" si="11">+IFERROR(ROUNDUP(D33/H33,0),0)</f>
        <v>2</v>
      </c>
      <c r="J33" s="44">
        <f>+E33*H33</f>
        <v>1200</v>
      </c>
      <c r="K33" s="44">
        <f t="shared" ref="K33:K40" si="12">+I33*J33</f>
        <v>2400</v>
      </c>
      <c r="L33" s="370">
        <f>SUM(K33:K40)</f>
        <v>4400</v>
      </c>
      <c r="N33" s="66">
        <f>+IFERROR((I33*H33)/B33,0)</f>
        <v>33.333333333333336</v>
      </c>
      <c r="O33" s="67">
        <f>+IFERROR(C33*$L$18,0)</f>
        <v>30</v>
      </c>
      <c r="P33" s="68">
        <f t="shared" ref="P33:P40" si="13">+IFERROR(K33/N33,0)</f>
        <v>72</v>
      </c>
      <c r="Q33" s="68">
        <f t="shared" ref="Q33:Q40" si="14">+IFERROR(K33/O33,0)</f>
        <v>80</v>
      </c>
      <c r="R33" s="69">
        <f t="shared" ref="R33:R40" si="15">+B33*C33*E33</f>
        <v>72</v>
      </c>
      <c r="T33" s="70" t="str">
        <f>IFERROR(VLOOKUP(A33,VLOOKUPS!$A$3:$D$31,2,0),"Ander")</f>
        <v>Ander</v>
      </c>
      <c r="U33" s="71">
        <f t="shared" ref="U33:U40" si="16">IF(T33="Syngenta",K33,0)</f>
        <v>0</v>
      </c>
      <c r="V33" s="71">
        <f t="shared" ref="V33:V40" si="17">IF(T33="Ander",K33,0)</f>
        <v>2400</v>
      </c>
    </row>
    <row r="34" spans="1:22" x14ac:dyDescent="0.25">
      <c r="A34" s="9" t="s">
        <v>1</v>
      </c>
      <c r="B34" s="10">
        <v>1.5</v>
      </c>
      <c r="C34" s="11">
        <v>1</v>
      </c>
      <c r="D34" s="46">
        <f>+L18*B34*C34</f>
        <v>45</v>
      </c>
      <c r="E34" s="12">
        <v>11</v>
      </c>
      <c r="F34" s="47">
        <f t="shared" ref="F34:F40" si="18">+B34*C34*E34</f>
        <v>16.5</v>
      </c>
      <c r="G34" s="374"/>
      <c r="H34" s="13">
        <v>20</v>
      </c>
      <c r="I34" s="48">
        <f t="shared" si="11"/>
        <v>3</v>
      </c>
      <c r="J34" s="47">
        <f>+E34*H34</f>
        <v>220</v>
      </c>
      <c r="K34" s="47">
        <f t="shared" si="12"/>
        <v>660</v>
      </c>
      <c r="L34" s="371"/>
      <c r="N34" s="66">
        <f t="shared" ref="N34:N71" si="19">+IFERROR((I34*H34)/B34,0)</f>
        <v>40</v>
      </c>
      <c r="O34" s="67">
        <f t="shared" ref="O34:O71" si="20">+IFERROR(C34*$L$18,0)</f>
        <v>30</v>
      </c>
      <c r="P34" s="68">
        <f t="shared" si="13"/>
        <v>16.5</v>
      </c>
      <c r="Q34" s="68">
        <f t="shared" si="14"/>
        <v>22</v>
      </c>
      <c r="R34" s="69">
        <f t="shared" si="15"/>
        <v>16.5</v>
      </c>
      <c r="T34" s="70" t="str">
        <f>IFERROR(VLOOKUP(A34,VLOOKUPS!$A$3:$D$31,2,0),"Ander")</f>
        <v>Ander</v>
      </c>
      <c r="U34" s="71">
        <f t="shared" si="16"/>
        <v>0</v>
      </c>
      <c r="V34" s="71">
        <f t="shared" si="17"/>
        <v>660</v>
      </c>
    </row>
    <row r="35" spans="1:22" x14ac:dyDescent="0.25">
      <c r="A35" s="9" t="s">
        <v>1</v>
      </c>
      <c r="B35" s="10">
        <v>0.3</v>
      </c>
      <c r="C35" s="11">
        <v>1</v>
      </c>
      <c r="D35" s="46">
        <f>+L18*B35*C35</f>
        <v>9</v>
      </c>
      <c r="E35" s="12">
        <v>67</v>
      </c>
      <c r="F35" s="47">
        <f t="shared" si="18"/>
        <v>20.099999999999998</v>
      </c>
      <c r="G35" s="374"/>
      <c r="H35" s="13">
        <v>20</v>
      </c>
      <c r="I35" s="48">
        <f t="shared" si="11"/>
        <v>1</v>
      </c>
      <c r="J35" s="47">
        <f>+E35*H35</f>
        <v>1340</v>
      </c>
      <c r="K35" s="47">
        <f t="shared" si="12"/>
        <v>1340</v>
      </c>
      <c r="L35" s="371"/>
      <c r="N35" s="66">
        <f t="shared" si="19"/>
        <v>66.666666666666671</v>
      </c>
      <c r="O35" s="67">
        <f t="shared" si="20"/>
        <v>30</v>
      </c>
      <c r="P35" s="68">
        <f t="shared" si="13"/>
        <v>20.099999999999998</v>
      </c>
      <c r="Q35" s="68">
        <f t="shared" si="14"/>
        <v>44.666666666666664</v>
      </c>
      <c r="R35" s="69">
        <f t="shared" si="15"/>
        <v>20.099999999999998</v>
      </c>
      <c r="T35" s="70" t="str">
        <f>IFERROR(VLOOKUP(A35,VLOOKUPS!$A$3:$D$31,2,0),"Ander")</f>
        <v>Ander</v>
      </c>
      <c r="U35" s="71">
        <f t="shared" si="16"/>
        <v>0</v>
      </c>
      <c r="V35" s="71">
        <f t="shared" si="17"/>
        <v>1340</v>
      </c>
    </row>
    <row r="36" spans="1:22" x14ac:dyDescent="0.25">
      <c r="A36" s="9"/>
      <c r="B36" s="10"/>
      <c r="C36" s="11"/>
      <c r="D36" s="46">
        <f t="shared" ref="D36:D37" si="21">+L19*B36*C36</f>
        <v>0</v>
      </c>
      <c r="E36" s="12"/>
      <c r="F36" s="47">
        <f t="shared" si="18"/>
        <v>0</v>
      </c>
      <c r="G36" s="374"/>
      <c r="H36" s="13"/>
      <c r="I36" s="48">
        <f t="shared" si="11"/>
        <v>0</v>
      </c>
      <c r="J36" s="47">
        <f t="shared" ref="J36:J38" si="22">+E36*H36</f>
        <v>0</v>
      </c>
      <c r="K36" s="47">
        <f t="shared" si="12"/>
        <v>0</v>
      </c>
      <c r="L36" s="371"/>
      <c r="N36" s="66">
        <f t="shared" si="19"/>
        <v>0</v>
      </c>
      <c r="O36" s="67">
        <f t="shared" si="20"/>
        <v>0</v>
      </c>
      <c r="P36" s="68">
        <f t="shared" si="13"/>
        <v>0</v>
      </c>
      <c r="Q36" s="68">
        <f t="shared" si="14"/>
        <v>0</v>
      </c>
      <c r="R36" s="69">
        <f t="shared" si="15"/>
        <v>0</v>
      </c>
      <c r="T36" s="70" t="str">
        <f>IFERROR(VLOOKUP(A36,VLOOKUPS!$A$3:$D$31,2,0),"Ander")</f>
        <v>Ander</v>
      </c>
      <c r="U36" s="71">
        <f t="shared" si="16"/>
        <v>0</v>
      </c>
      <c r="V36" s="71">
        <f t="shared" si="17"/>
        <v>0</v>
      </c>
    </row>
    <row r="37" spans="1:22" x14ac:dyDescent="0.25">
      <c r="A37" s="9"/>
      <c r="B37" s="10"/>
      <c r="C37" s="11"/>
      <c r="D37" s="46">
        <f t="shared" si="21"/>
        <v>0</v>
      </c>
      <c r="E37" s="12"/>
      <c r="F37" s="47">
        <f t="shared" si="18"/>
        <v>0</v>
      </c>
      <c r="G37" s="374"/>
      <c r="H37" s="13"/>
      <c r="I37" s="48">
        <f t="shared" si="11"/>
        <v>0</v>
      </c>
      <c r="J37" s="47">
        <f t="shared" si="22"/>
        <v>0</v>
      </c>
      <c r="K37" s="47">
        <f t="shared" si="12"/>
        <v>0</v>
      </c>
      <c r="L37" s="371"/>
      <c r="N37" s="66">
        <f t="shared" si="19"/>
        <v>0</v>
      </c>
      <c r="O37" s="67">
        <f t="shared" si="20"/>
        <v>0</v>
      </c>
      <c r="P37" s="68">
        <f t="shared" si="13"/>
        <v>0</v>
      </c>
      <c r="Q37" s="68">
        <f t="shared" si="14"/>
        <v>0</v>
      </c>
      <c r="R37" s="69">
        <f t="shared" si="15"/>
        <v>0</v>
      </c>
      <c r="T37" s="70" t="str">
        <f>IFERROR(VLOOKUP(A37,VLOOKUPS!$A$3:$D$31,2,0),"Ander")</f>
        <v>Ander</v>
      </c>
      <c r="U37" s="71">
        <f t="shared" si="16"/>
        <v>0</v>
      </c>
      <c r="V37" s="71">
        <f t="shared" si="17"/>
        <v>0</v>
      </c>
    </row>
    <row r="38" spans="1:22" x14ac:dyDescent="0.25">
      <c r="A38" s="9"/>
      <c r="B38" s="10"/>
      <c r="C38" s="11"/>
      <c r="D38" s="46">
        <f>+L18*B38*C38</f>
        <v>0</v>
      </c>
      <c r="E38" s="12"/>
      <c r="F38" s="47">
        <f t="shared" si="18"/>
        <v>0</v>
      </c>
      <c r="G38" s="374"/>
      <c r="H38" s="13"/>
      <c r="I38" s="48">
        <f t="shared" si="11"/>
        <v>0</v>
      </c>
      <c r="J38" s="47">
        <f t="shared" si="22"/>
        <v>0</v>
      </c>
      <c r="K38" s="47">
        <f t="shared" si="12"/>
        <v>0</v>
      </c>
      <c r="L38" s="371"/>
      <c r="N38" s="66">
        <f t="shared" si="19"/>
        <v>0</v>
      </c>
      <c r="O38" s="67">
        <f t="shared" si="20"/>
        <v>0</v>
      </c>
      <c r="P38" s="68">
        <f t="shared" si="13"/>
        <v>0</v>
      </c>
      <c r="Q38" s="68">
        <f t="shared" si="14"/>
        <v>0</v>
      </c>
      <c r="R38" s="69">
        <f t="shared" si="15"/>
        <v>0</v>
      </c>
      <c r="T38" s="70" t="str">
        <f>IFERROR(VLOOKUP(A38,VLOOKUPS!$A$3:$D$31,2,0),"Ander")</f>
        <v>Ander</v>
      </c>
      <c r="U38" s="71">
        <f t="shared" si="16"/>
        <v>0</v>
      </c>
      <c r="V38" s="71">
        <f t="shared" si="17"/>
        <v>0</v>
      </c>
    </row>
    <row r="39" spans="1:22" x14ac:dyDescent="0.25">
      <c r="A39" s="9"/>
      <c r="B39" s="10"/>
      <c r="C39" s="11"/>
      <c r="D39" s="46">
        <f>+L18*B39*C39</f>
        <v>0</v>
      </c>
      <c r="E39" s="12"/>
      <c r="F39" s="47">
        <f t="shared" si="18"/>
        <v>0</v>
      </c>
      <c r="G39" s="374"/>
      <c r="H39" s="13"/>
      <c r="I39" s="48">
        <f t="shared" si="11"/>
        <v>0</v>
      </c>
      <c r="J39" s="47">
        <f>+E39*H39</f>
        <v>0</v>
      </c>
      <c r="K39" s="47">
        <f t="shared" si="12"/>
        <v>0</v>
      </c>
      <c r="L39" s="371"/>
      <c r="N39" s="66">
        <f t="shared" si="19"/>
        <v>0</v>
      </c>
      <c r="O39" s="67">
        <f t="shared" si="20"/>
        <v>0</v>
      </c>
      <c r="P39" s="68">
        <f t="shared" si="13"/>
        <v>0</v>
      </c>
      <c r="Q39" s="68">
        <f t="shared" si="14"/>
        <v>0</v>
      </c>
      <c r="R39" s="69">
        <f t="shared" si="15"/>
        <v>0</v>
      </c>
      <c r="T39" s="70" t="str">
        <f>IFERROR(VLOOKUP(A39,VLOOKUPS!$A$3:$D$31,2,0),"Ander")</f>
        <v>Ander</v>
      </c>
      <c r="U39" s="71">
        <f t="shared" si="16"/>
        <v>0</v>
      </c>
      <c r="V39" s="71">
        <f t="shared" si="17"/>
        <v>0</v>
      </c>
    </row>
    <row r="40" spans="1:22" ht="15.75" thickBot="1" x14ac:dyDescent="0.3">
      <c r="A40" s="14"/>
      <c r="B40" s="15"/>
      <c r="C40" s="16"/>
      <c r="D40" s="49">
        <f>+L18*B40*C40</f>
        <v>0</v>
      </c>
      <c r="E40" s="17"/>
      <c r="F40" s="50">
        <f t="shared" si="18"/>
        <v>0</v>
      </c>
      <c r="G40" s="375"/>
      <c r="H40" s="18"/>
      <c r="I40" s="51">
        <f t="shared" si="11"/>
        <v>0</v>
      </c>
      <c r="J40" s="50">
        <f>+E40*H40</f>
        <v>0</v>
      </c>
      <c r="K40" s="50">
        <f t="shared" si="12"/>
        <v>0</v>
      </c>
      <c r="L40" s="372"/>
      <c r="N40" s="66">
        <f t="shared" si="19"/>
        <v>0</v>
      </c>
      <c r="O40" s="67">
        <f t="shared" si="20"/>
        <v>0</v>
      </c>
      <c r="P40" s="68">
        <f t="shared" si="13"/>
        <v>0</v>
      </c>
      <c r="Q40" s="68">
        <f t="shared" si="14"/>
        <v>0</v>
      </c>
      <c r="R40" s="69">
        <f t="shared" si="15"/>
        <v>0</v>
      </c>
      <c r="T40" s="70" t="str">
        <f>IFERROR(VLOOKUP(A40,VLOOKUPS!$A$3:$D$31,2,0),"Ander")</f>
        <v>Ander</v>
      </c>
      <c r="U40" s="71">
        <f t="shared" si="16"/>
        <v>0</v>
      </c>
      <c r="V40" s="71">
        <f t="shared" si="17"/>
        <v>0</v>
      </c>
    </row>
    <row r="41" spans="1:22" ht="15.75" thickBot="1" x14ac:dyDescent="0.3">
      <c r="N41" s="66"/>
      <c r="O41" s="67"/>
      <c r="P41" s="68"/>
      <c r="Q41" s="68"/>
      <c r="R41" s="69"/>
      <c r="U41" s="72">
        <f>SUM(U33:U40)</f>
        <v>0</v>
      </c>
      <c r="V41" s="72">
        <f>SUM(V33:V40)</f>
        <v>4400</v>
      </c>
    </row>
    <row r="42" spans="1:22" ht="18.75" thickTop="1" thickBot="1" x14ac:dyDescent="0.3">
      <c r="A42" s="412" t="s">
        <v>107</v>
      </c>
      <c r="B42" s="413"/>
      <c r="C42" s="413"/>
      <c r="D42" s="413"/>
      <c r="E42" s="413"/>
      <c r="F42" s="413"/>
      <c r="G42" s="413"/>
      <c r="H42" s="413"/>
      <c r="I42" s="413"/>
      <c r="J42" s="413"/>
      <c r="K42" s="413"/>
      <c r="L42" s="414"/>
      <c r="N42" s="66"/>
      <c r="O42" s="67"/>
      <c r="P42" s="68"/>
      <c r="Q42" s="68"/>
      <c r="R42" s="69"/>
      <c r="U42" s="71"/>
      <c r="V42" s="71"/>
    </row>
    <row r="43" spans="1:22" ht="43.5" thickBot="1" x14ac:dyDescent="0.3">
      <c r="A43" s="37" t="s">
        <v>1</v>
      </c>
      <c r="B43" s="38" t="s">
        <v>62</v>
      </c>
      <c r="C43" s="39" t="s">
        <v>2</v>
      </c>
      <c r="D43" s="40" t="s">
        <v>93</v>
      </c>
      <c r="E43" s="39" t="s">
        <v>61</v>
      </c>
      <c r="F43" s="40" t="s">
        <v>94</v>
      </c>
      <c r="G43" s="41" t="s">
        <v>60</v>
      </c>
      <c r="H43" s="39" t="s">
        <v>59</v>
      </c>
      <c r="I43" s="103" t="s">
        <v>56</v>
      </c>
      <c r="J43" s="40" t="s">
        <v>57</v>
      </c>
      <c r="K43" s="40" t="s">
        <v>58</v>
      </c>
      <c r="L43" s="42" t="s">
        <v>0</v>
      </c>
      <c r="N43" s="66"/>
      <c r="O43" s="67"/>
      <c r="P43" s="68"/>
      <c r="Q43" s="68"/>
      <c r="R43" s="69"/>
      <c r="U43" s="71"/>
      <c r="V43" s="71"/>
    </row>
    <row r="44" spans="1:22" x14ac:dyDescent="0.25">
      <c r="A44" s="4" t="s">
        <v>1</v>
      </c>
      <c r="B44" s="5">
        <v>1.7</v>
      </c>
      <c r="C44" s="6">
        <v>1</v>
      </c>
      <c r="D44" s="43">
        <f t="shared" ref="D44:D51" si="23">+$L$18*B44*C44</f>
        <v>51</v>
      </c>
      <c r="E44" s="7">
        <v>78</v>
      </c>
      <c r="F44" s="44">
        <f>+B44*C44*E44</f>
        <v>132.6</v>
      </c>
      <c r="G44" s="373">
        <f>SUM(F44:F51)</f>
        <v>337</v>
      </c>
      <c r="H44" s="8">
        <v>20</v>
      </c>
      <c r="I44" s="45">
        <f t="shared" ref="I44:I51" si="24">+IFERROR(ROUNDUP(D44/H44,0),0)</f>
        <v>3</v>
      </c>
      <c r="J44" s="44">
        <f>+E44*H44</f>
        <v>1560</v>
      </c>
      <c r="K44" s="44">
        <f>+I44*J44</f>
        <v>4680</v>
      </c>
      <c r="L44" s="370">
        <f>SUM(K44:K51)</f>
        <v>11232</v>
      </c>
      <c r="N44" s="66">
        <f t="shared" si="19"/>
        <v>35.294117647058826</v>
      </c>
      <c r="O44" s="67">
        <f t="shared" si="20"/>
        <v>30</v>
      </c>
      <c r="P44" s="68">
        <f t="shared" ref="P44:P51" si="25">+IFERROR(K44/N44,0)</f>
        <v>132.6</v>
      </c>
      <c r="Q44" s="68">
        <f t="shared" ref="Q44:Q51" si="26">+IFERROR(K44/O44,0)</f>
        <v>156</v>
      </c>
      <c r="R44" s="69">
        <f t="shared" ref="R44:R51" si="27">+B44*C44*E44</f>
        <v>132.6</v>
      </c>
      <c r="T44" s="70" t="str">
        <f>IFERROR(VLOOKUP(A44,VLOOKUPS!$A$3:$D$31,2,0),"Ander")</f>
        <v>Ander</v>
      </c>
      <c r="U44" s="71">
        <f t="shared" ref="U44:U51" si="28">IF(T44="Syngenta",K44,0)</f>
        <v>0</v>
      </c>
      <c r="V44" s="71">
        <f t="shared" ref="V44:V51" si="29">IF(T44="Ander",K44,0)</f>
        <v>4680</v>
      </c>
    </row>
    <row r="45" spans="1:22" x14ac:dyDescent="0.25">
      <c r="A45" s="9" t="s">
        <v>1</v>
      </c>
      <c r="B45" s="10">
        <v>7.3</v>
      </c>
      <c r="C45" s="11">
        <f>+C44</f>
        <v>1</v>
      </c>
      <c r="D45" s="46">
        <f t="shared" si="23"/>
        <v>219</v>
      </c>
      <c r="E45" s="12">
        <v>28</v>
      </c>
      <c r="F45" s="47">
        <f t="shared" ref="F45:F51" si="30">+B45*C45*E45</f>
        <v>204.4</v>
      </c>
      <c r="G45" s="374"/>
      <c r="H45" s="13">
        <v>18</v>
      </c>
      <c r="I45" s="48">
        <f t="shared" si="24"/>
        <v>13</v>
      </c>
      <c r="J45" s="47">
        <f t="shared" ref="J45:J51" si="31">+E45*H45</f>
        <v>504</v>
      </c>
      <c r="K45" s="47">
        <f t="shared" ref="K45:K51" si="32">+I45*J45</f>
        <v>6552</v>
      </c>
      <c r="L45" s="371"/>
      <c r="N45" s="66">
        <f t="shared" si="19"/>
        <v>32.054794520547944</v>
      </c>
      <c r="O45" s="67">
        <f t="shared" si="20"/>
        <v>30</v>
      </c>
      <c r="P45" s="68">
        <f t="shared" si="25"/>
        <v>204.4</v>
      </c>
      <c r="Q45" s="68">
        <f t="shared" si="26"/>
        <v>218.4</v>
      </c>
      <c r="R45" s="69">
        <f t="shared" si="27"/>
        <v>204.4</v>
      </c>
      <c r="T45" s="70" t="str">
        <f>IFERROR(VLOOKUP(A45,VLOOKUPS!$A$3:$D$31,2,0),"Ander")</f>
        <v>Ander</v>
      </c>
      <c r="U45" s="71">
        <f t="shared" si="28"/>
        <v>0</v>
      </c>
      <c r="V45" s="71">
        <f t="shared" si="29"/>
        <v>6552</v>
      </c>
    </row>
    <row r="46" spans="1:22" x14ac:dyDescent="0.25">
      <c r="A46" s="9"/>
      <c r="B46" s="10"/>
      <c r="C46" s="11"/>
      <c r="D46" s="46">
        <f t="shared" si="23"/>
        <v>0</v>
      </c>
      <c r="E46" s="12"/>
      <c r="F46" s="47">
        <f t="shared" si="30"/>
        <v>0</v>
      </c>
      <c r="G46" s="374"/>
      <c r="H46" s="13"/>
      <c r="I46" s="48">
        <f t="shared" si="24"/>
        <v>0</v>
      </c>
      <c r="J46" s="47">
        <f t="shared" si="31"/>
        <v>0</v>
      </c>
      <c r="K46" s="47">
        <f t="shared" si="32"/>
        <v>0</v>
      </c>
      <c r="L46" s="371"/>
      <c r="N46" s="66">
        <f t="shared" si="19"/>
        <v>0</v>
      </c>
      <c r="O46" s="67">
        <f t="shared" si="20"/>
        <v>0</v>
      </c>
      <c r="P46" s="68">
        <f t="shared" si="25"/>
        <v>0</v>
      </c>
      <c r="Q46" s="68">
        <f t="shared" si="26"/>
        <v>0</v>
      </c>
      <c r="R46" s="69">
        <f t="shared" si="27"/>
        <v>0</v>
      </c>
      <c r="T46" s="70" t="str">
        <f>IFERROR(VLOOKUP(A46,VLOOKUPS!$A$3:$D$31,2,0),"Ander")</f>
        <v>Ander</v>
      </c>
      <c r="U46" s="71">
        <f t="shared" si="28"/>
        <v>0</v>
      </c>
      <c r="V46" s="71">
        <f t="shared" si="29"/>
        <v>0</v>
      </c>
    </row>
    <row r="47" spans="1:22" x14ac:dyDescent="0.25">
      <c r="A47" s="9"/>
      <c r="B47" s="10"/>
      <c r="C47" s="11"/>
      <c r="D47" s="46">
        <f t="shared" si="23"/>
        <v>0</v>
      </c>
      <c r="E47" s="12"/>
      <c r="F47" s="47">
        <f t="shared" si="30"/>
        <v>0</v>
      </c>
      <c r="G47" s="374"/>
      <c r="H47" s="13"/>
      <c r="I47" s="48">
        <f t="shared" si="24"/>
        <v>0</v>
      </c>
      <c r="J47" s="47">
        <f t="shared" si="31"/>
        <v>0</v>
      </c>
      <c r="K47" s="47">
        <f t="shared" si="32"/>
        <v>0</v>
      </c>
      <c r="L47" s="371"/>
      <c r="N47" s="66"/>
      <c r="O47" s="67"/>
      <c r="P47" s="68"/>
      <c r="Q47" s="68"/>
      <c r="R47" s="69"/>
      <c r="T47" s="70" t="str">
        <f>IFERROR(VLOOKUP(A47,VLOOKUPS!$A$3:$D$31,2,0),"Ander")</f>
        <v>Ander</v>
      </c>
      <c r="U47" s="71">
        <f t="shared" si="28"/>
        <v>0</v>
      </c>
      <c r="V47" s="71">
        <f t="shared" si="29"/>
        <v>0</v>
      </c>
    </row>
    <row r="48" spans="1:22" x14ac:dyDescent="0.25">
      <c r="A48" s="9"/>
      <c r="B48" s="10"/>
      <c r="C48" s="11"/>
      <c r="D48" s="46">
        <f t="shared" si="23"/>
        <v>0</v>
      </c>
      <c r="E48" s="12"/>
      <c r="F48" s="47">
        <f t="shared" si="30"/>
        <v>0</v>
      </c>
      <c r="G48" s="374"/>
      <c r="H48" s="13"/>
      <c r="I48" s="48">
        <f t="shared" si="24"/>
        <v>0</v>
      </c>
      <c r="J48" s="47">
        <f t="shared" si="31"/>
        <v>0</v>
      </c>
      <c r="K48" s="47">
        <f t="shared" si="32"/>
        <v>0</v>
      </c>
      <c r="L48" s="371"/>
      <c r="N48" s="66"/>
      <c r="O48" s="67"/>
      <c r="P48" s="68"/>
      <c r="Q48" s="68"/>
      <c r="R48" s="69"/>
      <c r="T48" s="70" t="str">
        <f>IFERROR(VLOOKUP(A48,VLOOKUPS!$A$3:$D$31,2,0),"Ander")</f>
        <v>Ander</v>
      </c>
      <c r="U48" s="71">
        <f t="shared" si="28"/>
        <v>0</v>
      </c>
      <c r="V48" s="71">
        <f t="shared" si="29"/>
        <v>0</v>
      </c>
    </row>
    <row r="49" spans="1:22" x14ac:dyDescent="0.25">
      <c r="A49" s="9"/>
      <c r="B49" s="10"/>
      <c r="C49" s="11"/>
      <c r="D49" s="46">
        <f t="shared" si="23"/>
        <v>0</v>
      </c>
      <c r="E49" s="12"/>
      <c r="F49" s="47">
        <f t="shared" si="30"/>
        <v>0</v>
      </c>
      <c r="G49" s="374"/>
      <c r="H49" s="13"/>
      <c r="I49" s="48">
        <f t="shared" si="24"/>
        <v>0</v>
      </c>
      <c r="J49" s="47">
        <f t="shared" si="31"/>
        <v>0</v>
      </c>
      <c r="K49" s="47">
        <f t="shared" si="32"/>
        <v>0</v>
      </c>
      <c r="L49" s="371"/>
      <c r="N49" s="66">
        <f t="shared" si="19"/>
        <v>0</v>
      </c>
      <c r="O49" s="67">
        <f t="shared" si="20"/>
        <v>0</v>
      </c>
      <c r="P49" s="68">
        <f t="shared" si="25"/>
        <v>0</v>
      </c>
      <c r="Q49" s="68">
        <f t="shared" si="26"/>
        <v>0</v>
      </c>
      <c r="R49" s="69">
        <f t="shared" si="27"/>
        <v>0</v>
      </c>
      <c r="T49" s="70" t="str">
        <f>IFERROR(VLOOKUP(A49,VLOOKUPS!$A$3:$D$31,2,0),"Ander")</f>
        <v>Ander</v>
      </c>
      <c r="U49" s="71">
        <f t="shared" si="28"/>
        <v>0</v>
      </c>
      <c r="V49" s="71">
        <f t="shared" si="29"/>
        <v>0</v>
      </c>
    </row>
    <row r="50" spans="1:22" x14ac:dyDescent="0.25">
      <c r="A50" s="9"/>
      <c r="B50" s="10"/>
      <c r="C50" s="11"/>
      <c r="D50" s="46">
        <f t="shared" si="23"/>
        <v>0</v>
      </c>
      <c r="E50" s="12"/>
      <c r="F50" s="47">
        <f t="shared" si="30"/>
        <v>0</v>
      </c>
      <c r="G50" s="374"/>
      <c r="H50" s="13"/>
      <c r="I50" s="48">
        <f t="shared" si="24"/>
        <v>0</v>
      </c>
      <c r="J50" s="47">
        <f t="shared" si="31"/>
        <v>0</v>
      </c>
      <c r="K50" s="47">
        <f t="shared" si="32"/>
        <v>0</v>
      </c>
      <c r="L50" s="371"/>
      <c r="N50" s="66">
        <f t="shared" si="19"/>
        <v>0</v>
      </c>
      <c r="O50" s="67">
        <f t="shared" si="20"/>
        <v>0</v>
      </c>
      <c r="P50" s="68">
        <f t="shared" si="25"/>
        <v>0</v>
      </c>
      <c r="Q50" s="68">
        <f t="shared" si="26"/>
        <v>0</v>
      </c>
      <c r="R50" s="69">
        <f t="shared" si="27"/>
        <v>0</v>
      </c>
      <c r="T50" s="70" t="str">
        <f>IFERROR(VLOOKUP(A50,VLOOKUPS!$A$3:$D$31,2,0),"Ander")</f>
        <v>Ander</v>
      </c>
      <c r="U50" s="71">
        <f t="shared" si="28"/>
        <v>0</v>
      </c>
      <c r="V50" s="71">
        <f t="shared" si="29"/>
        <v>0</v>
      </c>
    </row>
    <row r="51" spans="1:22" ht="15.75" thickBot="1" x14ac:dyDescent="0.3">
      <c r="A51" s="14"/>
      <c r="B51" s="15"/>
      <c r="C51" s="16"/>
      <c r="D51" s="49">
        <f t="shared" si="23"/>
        <v>0</v>
      </c>
      <c r="E51" s="17"/>
      <c r="F51" s="50">
        <f t="shared" si="30"/>
        <v>0</v>
      </c>
      <c r="G51" s="375"/>
      <c r="H51" s="18"/>
      <c r="I51" s="51">
        <f t="shared" si="24"/>
        <v>0</v>
      </c>
      <c r="J51" s="50">
        <f t="shared" si="31"/>
        <v>0</v>
      </c>
      <c r="K51" s="50">
        <f t="shared" si="32"/>
        <v>0</v>
      </c>
      <c r="L51" s="372"/>
      <c r="N51" s="66">
        <f t="shared" si="19"/>
        <v>0</v>
      </c>
      <c r="O51" s="67">
        <f t="shared" si="20"/>
        <v>0</v>
      </c>
      <c r="P51" s="68">
        <f t="shared" si="25"/>
        <v>0</v>
      </c>
      <c r="Q51" s="68">
        <f t="shared" si="26"/>
        <v>0</v>
      </c>
      <c r="R51" s="69">
        <f t="shared" si="27"/>
        <v>0</v>
      </c>
      <c r="T51" s="70" t="str">
        <f>IFERROR(VLOOKUP(A51,VLOOKUPS!$A$3:$D$31,2,0),"Ander")</f>
        <v>Ander</v>
      </c>
      <c r="U51" s="71">
        <f t="shared" si="28"/>
        <v>0</v>
      </c>
      <c r="V51" s="71">
        <f t="shared" si="29"/>
        <v>0</v>
      </c>
    </row>
    <row r="52" spans="1:22" ht="15.75" thickBot="1" x14ac:dyDescent="0.3">
      <c r="N52" s="66"/>
      <c r="O52" s="67"/>
      <c r="P52" s="68"/>
      <c r="Q52" s="68"/>
      <c r="R52" s="69"/>
      <c r="U52" s="72">
        <f>SUM(U44:U51)</f>
        <v>0</v>
      </c>
      <c r="V52" s="72">
        <f>SUM(V44:V51)</f>
        <v>11232</v>
      </c>
    </row>
    <row r="53" spans="1:22" ht="18.75" thickTop="1" thickBot="1" x14ac:dyDescent="0.3">
      <c r="A53" s="412" t="s">
        <v>64</v>
      </c>
      <c r="B53" s="413"/>
      <c r="C53" s="413"/>
      <c r="D53" s="413"/>
      <c r="E53" s="413"/>
      <c r="F53" s="413"/>
      <c r="G53" s="413"/>
      <c r="H53" s="413"/>
      <c r="I53" s="413"/>
      <c r="J53" s="413"/>
      <c r="K53" s="413"/>
      <c r="L53" s="414"/>
      <c r="N53" s="66"/>
      <c r="O53" s="67"/>
      <c r="P53" s="68"/>
      <c r="Q53" s="68"/>
      <c r="R53" s="69"/>
      <c r="U53" s="71"/>
      <c r="V53" s="71"/>
    </row>
    <row r="54" spans="1:22" ht="43.5" thickBot="1" x14ac:dyDescent="0.3">
      <c r="A54" s="37" t="s">
        <v>1</v>
      </c>
      <c r="B54" s="38" t="s">
        <v>62</v>
      </c>
      <c r="C54" s="39" t="s">
        <v>2</v>
      </c>
      <c r="D54" s="40" t="s">
        <v>93</v>
      </c>
      <c r="E54" s="39" t="s">
        <v>61</v>
      </c>
      <c r="F54" s="40" t="s">
        <v>94</v>
      </c>
      <c r="G54" s="41" t="s">
        <v>60</v>
      </c>
      <c r="H54" s="39" t="s">
        <v>59</v>
      </c>
      <c r="I54" s="103" t="s">
        <v>56</v>
      </c>
      <c r="J54" s="40" t="s">
        <v>57</v>
      </c>
      <c r="K54" s="40" t="s">
        <v>58</v>
      </c>
      <c r="L54" s="42" t="s">
        <v>0</v>
      </c>
      <c r="N54" s="66"/>
      <c r="O54" s="67"/>
      <c r="P54" s="68"/>
      <c r="Q54" s="68"/>
      <c r="R54" s="69"/>
      <c r="U54" s="71"/>
      <c r="V54" s="71"/>
    </row>
    <row r="55" spans="1:22" x14ac:dyDescent="0.25">
      <c r="A55" s="4" t="s">
        <v>1</v>
      </c>
      <c r="B55" s="5">
        <v>2</v>
      </c>
      <c r="C55" s="6">
        <v>1</v>
      </c>
      <c r="D55" s="43">
        <f>+L18*B55*C55</f>
        <v>60</v>
      </c>
      <c r="E55" s="7">
        <v>69</v>
      </c>
      <c r="F55" s="44">
        <f>+B55*C55*E55</f>
        <v>138</v>
      </c>
      <c r="G55" s="373">
        <f>SUM(F55:F64)</f>
        <v>313.20000000000005</v>
      </c>
      <c r="H55" s="8">
        <v>20</v>
      </c>
      <c r="I55" s="45">
        <f t="shared" ref="I55:I64" si="33">+IFERROR(ROUNDUP(D55/H55,0),0)</f>
        <v>3</v>
      </c>
      <c r="J55" s="44">
        <f>+E55*H55</f>
        <v>1380</v>
      </c>
      <c r="K55" s="44">
        <f>+I55*J55</f>
        <v>4140</v>
      </c>
      <c r="L55" s="370">
        <f>SUM(K55:K64)</f>
        <v>10700</v>
      </c>
      <c r="N55" s="66">
        <f t="shared" si="19"/>
        <v>30</v>
      </c>
      <c r="O55" s="67">
        <f t="shared" si="20"/>
        <v>30</v>
      </c>
      <c r="P55" s="68">
        <f t="shared" ref="P55:P64" si="34">+IFERROR(K55/N55,0)</f>
        <v>138</v>
      </c>
      <c r="Q55" s="68">
        <f t="shared" ref="Q55:Q64" si="35">+IFERROR(K55/O55,0)</f>
        <v>138</v>
      </c>
      <c r="R55" s="69">
        <f t="shared" ref="R55:R64" si="36">+B55*C55*E55</f>
        <v>138</v>
      </c>
      <c r="T55" s="70" t="str">
        <f>IFERROR(VLOOKUP(A55,VLOOKUPS!$A$3:$D$31,2,0),"Ander")</f>
        <v>Ander</v>
      </c>
      <c r="U55" s="71">
        <f t="shared" ref="U55:U64" si="37">IF(T55="Syngenta",K55,0)</f>
        <v>0</v>
      </c>
      <c r="V55" s="71">
        <f t="shared" ref="V55:V64" si="38">IF(T55="Ander",K55,0)</f>
        <v>4140</v>
      </c>
    </row>
    <row r="56" spans="1:22" x14ac:dyDescent="0.25">
      <c r="A56" s="9" t="s">
        <v>1</v>
      </c>
      <c r="B56" s="10">
        <v>0.6</v>
      </c>
      <c r="C56" s="11">
        <f>+C55</f>
        <v>1</v>
      </c>
      <c r="D56" s="46">
        <f>+L18*B56*C56</f>
        <v>18</v>
      </c>
      <c r="E56" s="12">
        <v>148</v>
      </c>
      <c r="F56" s="47">
        <f t="shared" ref="F56:F64" si="39">+B56*C56*E56</f>
        <v>88.8</v>
      </c>
      <c r="G56" s="374"/>
      <c r="H56" s="13">
        <v>20</v>
      </c>
      <c r="I56" s="48">
        <f t="shared" si="33"/>
        <v>1</v>
      </c>
      <c r="J56" s="47">
        <f t="shared" ref="J56:J64" si="40">+E56*H56</f>
        <v>2960</v>
      </c>
      <c r="K56" s="47">
        <f t="shared" ref="K56:K64" si="41">+I56*J56</f>
        <v>2960</v>
      </c>
      <c r="L56" s="371"/>
      <c r="N56" s="66">
        <f t="shared" si="19"/>
        <v>33.333333333333336</v>
      </c>
      <c r="O56" s="67">
        <f t="shared" si="20"/>
        <v>30</v>
      </c>
      <c r="P56" s="68">
        <f t="shared" si="34"/>
        <v>88.8</v>
      </c>
      <c r="Q56" s="68">
        <f t="shared" si="35"/>
        <v>98.666666666666671</v>
      </c>
      <c r="R56" s="69">
        <f t="shared" si="36"/>
        <v>88.8</v>
      </c>
      <c r="T56" s="70" t="str">
        <f>IFERROR(VLOOKUP(A56,VLOOKUPS!$A$3:$D$31,2,0),"Ander")</f>
        <v>Ander</v>
      </c>
      <c r="U56" s="71">
        <f t="shared" si="37"/>
        <v>0</v>
      </c>
      <c r="V56" s="71">
        <f t="shared" si="38"/>
        <v>2960</v>
      </c>
    </row>
    <row r="57" spans="1:22" x14ac:dyDescent="0.25">
      <c r="A57" s="9" t="s">
        <v>1</v>
      </c>
      <c r="B57" s="10">
        <v>1.8</v>
      </c>
      <c r="C57" s="11">
        <v>1</v>
      </c>
      <c r="D57" s="46">
        <f>L18*B57*C57</f>
        <v>54</v>
      </c>
      <c r="E57" s="12">
        <v>48</v>
      </c>
      <c r="F57" s="47">
        <f t="shared" si="39"/>
        <v>86.4</v>
      </c>
      <c r="G57" s="374"/>
      <c r="H57" s="13">
        <v>25</v>
      </c>
      <c r="I57" s="48">
        <f t="shared" si="33"/>
        <v>3</v>
      </c>
      <c r="J57" s="47">
        <f t="shared" si="40"/>
        <v>1200</v>
      </c>
      <c r="K57" s="47">
        <f t="shared" si="41"/>
        <v>3600</v>
      </c>
      <c r="L57" s="371"/>
      <c r="N57" s="66">
        <f t="shared" si="19"/>
        <v>41.666666666666664</v>
      </c>
      <c r="O57" s="67">
        <f t="shared" si="20"/>
        <v>30</v>
      </c>
      <c r="P57" s="68">
        <f t="shared" si="34"/>
        <v>86.4</v>
      </c>
      <c r="Q57" s="68">
        <f t="shared" si="35"/>
        <v>120</v>
      </c>
      <c r="R57" s="69">
        <f t="shared" si="36"/>
        <v>86.4</v>
      </c>
      <c r="T57" s="70" t="str">
        <f>IFERROR(VLOOKUP(A57,VLOOKUPS!$A$3:$D$31,2,0),"Ander")</f>
        <v>Ander</v>
      </c>
      <c r="U57" s="71">
        <f t="shared" si="37"/>
        <v>0</v>
      </c>
      <c r="V57" s="71">
        <f t="shared" si="38"/>
        <v>3600</v>
      </c>
    </row>
    <row r="58" spans="1:22" x14ac:dyDescent="0.25">
      <c r="A58" s="9"/>
      <c r="B58" s="10"/>
      <c r="C58" s="11"/>
      <c r="D58" s="46">
        <f>L18*B58*C58</f>
        <v>0</v>
      </c>
      <c r="E58" s="12"/>
      <c r="F58" s="47">
        <f t="shared" si="39"/>
        <v>0</v>
      </c>
      <c r="G58" s="374"/>
      <c r="H58" s="13"/>
      <c r="I58" s="48">
        <f t="shared" si="33"/>
        <v>0</v>
      </c>
      <c r="J58" s="47">
        <f t="shared" si="40"/>
        <v>0</v>
      </c>
      <c r="K58" s="47">
        <f t="shared" si="41"/>
        <v>0</v>
      </c>
      <c r="L58" s="371"/>
      <c r="N58" s="66"/>
      <c r="O58" s="67"/>
      <c r="P58" s="68"/>
      <c r="Q58" s="68"/>
      <c r="R58" s="69"/>
      <c r="T58" s="70" t="str">
        <f>IFERROR(VLOOKUP(A58,VLOOKUPS!$A$3:$D$31,2,0),"Ander")</f>
        <v>Ander</v>
      </c>
      <c r="U58" s="71">
        <f t="shared" si="37"/>
        <v>0</v>
      </c>
      <c r="V58" s="71">
        <f t="shared" si="38"/>
        <v>0</v>
      </c>
    </row>
    <row r="59" spans="1:22" x14ac:dyDescent="0.25">
      <c r="A59" s="9"/>
      <c r="B59" s="10"/>
      <c r="C59" s="11"/>
      <c r="D59" s="46">
        <f>L18*B59*C59</f>
        <v>0</v>
      </c>
      <c r="E59" s="12"/>
      <c r="F59" s="47">
        <f t="shared" si="39"/>
        <v>0</v>
      </c>
      <c r="G59" s="374"/>
      <c r="H59" s="13"/>
      <c r="I59" s="48">
        <f t="shared" si="33"/>
        <v>0</v>
      </c>
      <c r="J59" s="47">
        <f t="shared" si="40"/>
        <v>0</v>
      </c>
      <c r="K59" s="47">
        <f t="shared" si="41"/>
        <v>0</v>
      </c>
      <c r="L59" s="371"/>
      <c r="N59" s="66"/>
      <c r="O59" s="67"/>
      <c r="P59" s="68"/>
      <c r="Q59" s="68"/>
      <c r="R59" s="69"/>
      <c r="T59" s="70" t="str">
        <f>IFERROR(VLOOKUP(A59,VLOOKUPS!$A$3:$D$31,2,0),"Ander")</f>
        <v>Ander</v>
      </c>
      <c r="U59" s="71">
        <f t="shared" si="37"/>
        <v>0</v>
      </c>
      <c r="V59" s="71">
        <f t="shared" si="38"/>
        <v>0</v>
      </c>
    </row>
    <row r="60" spans="1:22" x14ac:dyDescent="0.25">
      <c r="A60" s="9"/>
      <c r="B60" s="10"/>
      <c r="C60" s="11"/>
      <c r="D60" s="46">
        <f t="shared" ref="D60:D61" si="42">L19*B60*C60</f>
        <v>0</v>
      </c>
      <c r="E60" s="12"/>
      <c r="F60" s="47">
        <f t="shared" si="39"/>
        <v>0</v>
      </c>
      <c r="G60" s="374"/>
      <c r="H60" s="13"/>
      <c r="I60" s="48">
        <f t="shared" si="33"/>
        <v>0</v>
      </c>
      <c r="J60" s="47">
        <f t="shared" si="40"/>
        <v>0</v>
      </c>
      <c r="K60" s="47">
        <f t="shared" si="41"/>
        <v>0</v>
      </c>
      <c r="L60" s="371"/>
      <c r="N60" s="66"/>
      <c r="O60" s="67"/>
      <c r="P60" s="68"/>
      <c r="Q60" s="68"/>
      <c r="R60" s="69"/>
      <c r="T60" s="70" t="str">
        <f>IFERROR(VLOOKUP(A60,VLOOKUPS!$A$3:$D$31,2,0),"Ander")</f>
        <v>Ander</v>
      </c>
      <c r="U60" s="71">
        <f t="shared" si="37"/>
        <v>0</v>
      </c>
      <c r="V60" s="71">
        <f t="shared" si="38"/>
        <v>0</v>
      </c>
    </row>
    <row r="61" spans="1:22" x14ac:dyDescent="0.25">
      <c r="A61" s="9"/>
      <c r="B61" s="10"/>
      <c r="C61" s="11"/>
      <c r="D61" s="46">
        <f t="shared" si="42"/>
        <v>0</v>
      </c>
      <c r="E61" s="12"/>
      <c r="F61" s="47">
        <f t="shared" si="39"/>
        <v>0</v>
      </c>
      <c r="G61" s="374"/>
      <c r="H61" s="13"/>
      <c r="I61" s="48">
        <f t="shared" si="33"/>
        <v>0</v>
      </c>
      <c r="J61" s="47">
        <f t="shared" si="40"/>
        <v>0</v>
      </c>
      <c r="K61" s="47">
        <f t="shared" si="41"/>
        <v>0</v>
      </c>
      <c r="L61" s="371"/>
      <c r="N61" s="66"/>
      <c r="O61" s="67"/>
      <c r="P61" s="68"/>
      <c r="Q61" s="68"/>
      <c r="R61" s="69"/>
      <c r="T61" s="70" t="str">
        <f>IFERROR(VLOOKUP(A61,VLOOKUPS!$A$3:$D$31,2,0),"Ander")</f>
        <v>Ander</v>
      </c>
      <c r="U61" s="71">
        <f t="shared" si="37"/>
        <v>0</v>
      </c>
      <c r="V61" s="71">
        <f t="shared" si="38"/>
        <v>0</v>
      </c>
    </row>
    <row r="62" spans="1:22" x14ac:dyDescent="0.25">
      <c r="A62" s="9"/>
      <c r="B62" s="10"/>
      <c r="C62" s="11"/>
      <c r="D62" s="46">
        <f>L18*B62*C62</f>
        <v>0</v>
      </c>
      <c r="E62" s="12"/>
      <c r="F62" s="47">
        <f t="shared" si="39"/>
        <v>0</v>
      </c>
      <c r="G62" s="374"/>
      <c r="H62" s="13"/>
      <c r="I62" s="48">
        <f t="shared" si="33"/>
        <v>0</v>
      </c>
      <c r="J62" s="47">
        <f t="shared" si="40"/>
        <v>0</v>
      </c>
      <c r="K62" s="47">
        <f t="shared" si="41"/>
        <v>0</v>
      </c>
      <c r="L62" s="371"/>
      <c r="N62" s="66">
        <f t="shared" si="19"/>
        <v>0</v>
      </c>
      <c r="O62" s="67">
        <f t="shared" si="20"/>
        <v>0</v>
      </c>
      <c r="P62" s="68">
        <f t="shared" si="34"/>
        <v>0</v>
      </c>
      <c r="Q62" s="68">
        <f t="shared" si="35"/>
        <v>0</v>
      </c>
      <c r="R62" s="69">
        <f t="shared" si="36"/>
        <v>0</v>
      </c>
      <c r="T62" s="70" t="str">
        <f>IFERROR(VLOOKUP(A62,VLOOKUPS!$A$3:$D$31,2,0),"Ander")</f>
        <v>Ander</v>
      </c>
      <c r="U62" s="71">
        <f t="shared" si="37"/>
        <v>0</v>
      </c>
      <c r="V62" s="71">
        <f t="shared" si="38"/>
        <v>0</v>
      </c>
    </row>
    <row r="63" spans="1:22" x14ac:dyDescent="0.25">
      <c r="A63" s="9"/>
      <c r="B63" s="10"/>
      <c r="C63" s="11"/>
      <c r="D63" s="46">
        <f>L18*B63*C63</f>
        <v>0</v>
      </c>
      <c r="E63" s="12"/>
      <c r="F63" s="47">
        <f t="shared" si="39"/>
        <v>0</v>
      </c>
      <c r="G63" s="374"/>
      <c r="H63" s="13"/>
      <c r="I63" s="48">
        <f t="shared" si="33"/>
        <v>0</v>
      </c>
      <c r="J63" s="47">
        <f t="shared" si="40"/>
        <v>0</v>
      </c>
      <c r="K63" s="47">
        <f t="shared" si="41"/>
        <v>0</v>
      </c>
      <c r="L63" s="371"/>
      <c r="N63" s="66">
        <f t="shared" si="19"/>
        <v>0</v>
      </c>
      <c r="O63" s="67">
        <f t="shared" si="20"/>
        <v>0</v>
      </c>
      <c r="P63" s="68">
        <f t="shared" si="34"/>
        <v>0</v>
      </c>
      <c r="Q63" s="68">
        <f t="shared" si="35"/>
        <v>0</v>
      </c>
      <c r="R63" s="69">
        <f t="shared" si="36"/>
        <v>0</v>
      </c>
      <c r="T63" s="70" t="str">
        <f>IFERROR(VLOOKUP(A63,VLOOKUPS!$A$3:$D$31,2,0),"Ander")</f>
        <v>Ander</v>
      </c>
      <c r="U63" s="71">
        <f t="shared" si="37"/>
        <v>0</v>
      </c>
      <c r="V63" s="71">
        <f t="shared" si="38"/>
        <v>0</v>
      </c>
    </row>
    <row r="64" spans="1:22" ht="15.75" thickBot="1" x14ac:dyDescent="0.3">
      <c r="A64" s="14"/>
      <c r="B64" s="15"/>
      <c r="C64" s="16"/>
      <c r="D64" s="49">
        <f>L18*B64*C64</f>
        <v>0</v>
      </c>
      <c r="E64" s="17"/>
      <c r="F64" s="50">
        <f t="shared" si="39"/>
        <v>0</v>
      </c>
      <c r="G64" s="375"/>
      <c r="H64" s="18"/>
      <c r="I64" s="51">
        <f t="shared" si="33"/>
        <v>0</v>
      </c>
      <c r="J64" s="50">
        <f t="shared" si="40"/>
        <v>0</v>
      </c>
      <c r="K64" s="50">
        <f t="shared" si="41"/>
        <v>0</v>
      </c>
      <c r="L64" s="372"/>
      <c r="N64" s="66">
        <f t="shared" si="19"/>
        <v>0</v>
      </c>
      <c r="O64" s="67">
        <f t="shared" si="20"/>
        <v>0</v>
      </c>
      <c r="P64" s="68">
        <f t="shared" si="34"/>
        <v>0</v>
      </c>
      <c r="Q64" s="68">
        <f t="shared" si="35"/>
        <v>0</v>
      </c>
      <c r="R64" s="69">
        <f t="shared" si="36"/>
        <v>0</v>
      </c>
      <c r="T64" s="70" t="str">
        <f>IFERROR(VLOOKUP(A64,VLOOKUPS!$A$3:$D$31,2,0),"Ander")</f>
        <v>Ander</v>
      </c>
      <c r="U64" s="71">
        <f t="shared" si="37"/>
        <v>0</v>
      </c>
      <c r="V64" s="71">
        <f t="shared" si="38"/>
        <v>0</v>
      </c>
    </row>
    <row r="65" spans="1:22" ht="15.75" thickBot="1" x14ac:dyDescent="0.3">
      <c r="N65" s="66"/>
      <c r="O65" s="67"/>
      <c r="P65" s="68"/>
      <c r="Q65" s="68"/>
      <c r="R65" s="69"/>
      <c r="U65" s="72">
        <f>SUM(U55:U64)</f>
        <v>0</v>
      </c>
      <c r="V65" s="72">
        <f>SUM(V55:V64)</f>
        <v>10700</v>
      </c>
    </row>
    <row r="66" spans="1:22" ht="18.75" thickTop="1" thickBot="1" x14ac:dyDescent="0.35">
      <c r="A66" s="409" t="s">
        <v>67</v>
      </c>
      <c r="B66" s="410"/>
      <c r="C66" s="410"/>
      <c r="D66" s="410"/>
      <c r="E66" s="410"/>
      <c r="F66" s="410"/>
      <c r="G66" s="410"/>
      <c r="H66" s="410"/>
      <c r="I66" s="410"/>
      <c r="J66" s="410"/>
      <c r="K66" s="410"/>
      <c r="L66" s="411"/>
      <c r="N66" s="66"/>
      <c r="O66" s="67"/>
      <c r="P66" s="68"/>
      <c r="Q66" s="68"/>
      <c r="R66" s="69"/>
      <c r="U66" s="71"/>
      <c r="V66" s="71"/>
    </row>
    <row r="67" spans="1:22" ht="43.5" thickBot="1" x14ac:dyDescent="0.3">
      <c r="A67" s="37" t="s">
        <v>1</v>
      </c>
      <c r="B67" s="38" t="s">
        <v>62</v>
      </c>
      <c r="C67" s="39" t="s">
        <v>2</v>
      </c>
      <c r="D67" s="40" t="s">
        <v>93</v>
      </c>
      <c r="E67" s="39" t="s">
        <v>61</v>
      </c>
      <c r="F67" s="40" t="s">
        <v>94</v>
      </c>
      <c r="G67" s="41" t="s">
        <v>60</v>
      </c>
      <c r="H67" s="39" t="s">
        <v>59</v>
      </c>
      <c r="I67" s="103" t="s">
        <v>56</v>
      </c>
      <c r="J67" s="40" t="s">
        <v>57</v>
      </c>
      <c r="K67" s="40" t="s">
        <v>58</v>
      </c>
      <c r="L67" s="42" t="s">
        <v>0</v>
      </c>
      <c r="N67" s="66"/>
      <c r="O67" s="67"/>
      <c r="P67" s="68"/>
      <c r="Q67" s="68"/>
      <c r="R67" s="69"/>
      <c r="U67" s="71"/>
      <c r="V67" s="71"/>
    </row>
    <row r="68" spans="1:22" x14ac:dyDescent="0.25">
      <c r="A68" s="4" t="s">
        <v>1</v>
      </c>
      <c r="B68" s="5">
        <v>0.5</v>
      </c>
      <c r="C68" s="6">
        <v>1</v>
      </c>
      <c r="D68" s="43">
        <f>+L18*B68*C68</f>
        <v>15</v>
      </c>
      <c r="E68" s="7">
        <v>250</v>
      </c>
      <c r="F68" s="44">
        <f>+B68*C68*E68</f>
        <v>125</v>
      </c>
      <c r="G68" s="373">
        <f>SUM(F68:F71)</f>
        <v>125</v>
      </c>
      <c r="H68" s="8">
        <v>5</v>
      </c>
      <c r="I68" s="45">
        <f t="shared" ref="I68:I71" si="43">+IFERROR(ROUNDUP(D68/H68,0),0)</f>
        <v>3</v>
      </c>
      <c r="J68" s="44">
        <f>+E68*H68</f>
        <v>1250</v>
      </c>
      <c r="K68" s="44">
        <f>+I68*J68</f>
        <v>3750</v>
      </c>
      <c r="L68" s="370">
        <f>SUM(K68:K71)</f>
        <v>3750</v>
      </c>
      <c r="N68" s="66">
        <f t="shared" si="19"/>
        <v>30</v>
      </c>
      <c r="O68" s="67">
        <f t="shared" si="20"/>
        <v>30</v>
      </c>
      <c r="P68" s="68">
        <f t="shared" ref="P68:P71" si="44">+IFERROR(K68/N68,0)</f>
        <v>125</v>
      </c>
      <c r="Q68" s="68">
        <f t="shared" ref="Q68:Q71" si="45">+IFERROR(K68/O68,0)</f>
        <v>125</v>
      </c>
      <c r="R68" s="69">
        <f t="shared" ref="R68:R71" si="46">+B68*C68*E68</f>
        <v>125</v>
      </c>
      <c r="T68" s="70" t="str">
        <f>IFERROR(VLOOKUP(A68,VLOOKUPS!$A$3:$D$31,2,0),"Ander")</f>
        <v>Ander</v>
      </c>
      <c r="U68" s="71">
        <f t="shared" ref="U68:U71" si="47">IF(T68="Syngenta",K68,0)</f>
        <v>0</v>
      </c>
      <c r="V68" s="71">
        <f t="shared" ref="V68:V71" si="48">IF(T68="Ander",K68,0)</f>
        <v>3750</v>
      </c>
    </row>
    <row r="69" spans="1:22" x14ac:dyDescent="0.25">
      <c r="A69" s="9"/>
      <c r="B69" s="10"/>
      <c r="C69" s="11"/>
      <c r="D69" s="46">
        <f>+L18*B69*C69</f>
        <v>0</v>
      </c>
      <c r="E69" s="12"/>
      <c r="F69" s="47">
        <f t="shared" ref="F69:F71" si="49">+B69*C69*E69</f>
        <v>0</v>
      </c>
      <c r="G69" s="374"/>
      <c r="H69" s="13"/>
      <c r="I69" s="48">
        <f t="shared" si="43"/>
        <v>0</v>
      </c>
      <c r="J69" s="47">
        <f t="shared" ref="J69:J71" si="50">+E69*H69</f>
        <v>0</v>
      </c>
      <c r="K69" s="47">
        <f t="shared" ref="K69:K71" si="51">+I69*J69</f>
        <v>0</v>
      </c>
      <c r="L69" s="371"/>
      <c r="N69" s="66">
        <f t="shared" si="19"/>
        <v>0</v>
      </c>
      <c r="O69" s="67">
        <f t="shared" si="20"/>
        <v>0</v>
      </c>
      <c r="P69" s="68">
        <f t="shared" si="44"/>
        <v>0</v>
      </c>
      <c r="Q69" s="68">
        <f t="shared" si="45"/>
        <v>0</v>
      </c>
      <c r="R69" s="69">
        <f t="shared" si="46"/>
        <v>0</v>
      </c>
      <c r="T69" s="70" t="str">
        <f>IFERROR(VLOOKUP(A69,VLOOKUPS!$A$3:$D$31,2,0),"Ander")</f>
        <v>Ander</v>
      </c>
      <c r="U69" s="71">
        <f t="shared" si="47"/>
        <v>0</v>
      </c>
      <c r="V69" s="71">
        <f t="shared" si="48"/>
        <v>0</v>
      </c>
    </row>
    <row r="70" spans="1:22" x14ac:dyDescent="0.25">
      <c r="A70" s="9"/>
      <c r="B70" s="10"/>
      <c r="C70" s="11"/>
      <c r="D70" s="46">
        <f>L18*B70*C70</f>
        <v>0</v>
      </c>
      <c r="E70" s="12"/>
      <c r="F70" s="47">
        <f t="shared" si="49"/>
        <v>0</v>
      </c>
      <c r="G70" s="374"/>
      <c r="H70" s="13"/>
      <c r="I70" s="48">
        <f t="shared" si="43"/>
        <v>0</v>
      </c>
      <c r="J70" s="47">
        <f t="shared" si="50"/>
        <v>0</v>
      </c>
      <c r="K70" s="47">
        <f t="shared" si="51"/>
        <v>0</v>
      </c>
      <c r="L70" s="371"/>
      <c r="N70" s="66">
        <f t="shared" si="19"/>
        <v>0</v>
      </c>
      <c r="O70" s="67">
        <f t="shared" si="20"/>
        <v>0</v>
      </c>
      <c r="P70" s="68">
        <f t="shared" si="44"/>
        <v>0</v>
      </c>
      <c r="Q70" s="68">
        <f t="shared" si="45"/>
        <v>0</v>
      </c>
      <c r="R70" s="69">
        <f t="shared" si="46"/>
        <v>0</v>
      </c>
      <c r="T70" s="70" t="str">
        <f>IFERROR(VLOOKUP(A70,VLOOKUPS!$A$3:$D$31,2,0),"Ander")</f>
        <v>Ander</v>
      </c>
      <c r="U70" s="71">
        <f t="shared" si="47"/>
        <v>0</v>
      </c>
      <c r="V70" s="71">
        <f t="shared" si="48"/>
        <v>0</v>
      </c>
    </row>
    <row r="71" spans="1:22" ht="15.75" thickBot="1" x14ac:dyDescent="0.3">
      <c r="A71" s="14"/>
      <c r="B71" s="15"/>
      <c r="C71" s="16"/>
      <c r="D71" s="49">
        <f>+L18*B71*C71</f>
        <v>0</v>
      </c>
      <c r="E71" s="17"/>
      <c r="F71" s="50">
        <f t="shared" si="49"/>
        <v>0</v>
      </c>
      <c r="G71" s="375"/>
      <c r="H71" s="18"/>
      <c r="I71" s="51">
        <f t="shared" si="43"/>
        <v>0</v>
      </c>
      <c r="J71" s="50">
        <f t="shared" si="50"/>
        <v>0</v>
      </c>
      <c r="K71" s="50">
        <f t="shared" si="51"/>
        <v>0</v>
      </c>
      <c r="L71" s="372"/>
      <c r="N71" s="66">
        <f t="shared" si="19"/>
        <v>0</v>
      </c>
      <c r="O71" s="67">
        <f t="shared" si="20"/>
        <v>0</v>
      </c>
      <c r="P71" s="68">
        <f t="shared" si="44"/>
        <v>0</v>
      </c>
      <c r="Q71" s="68">
        <f t="shared" si="45"/>
        <v>0</v>
      </c>
      <c r="R71" s="69">
        <f t="shared" si="46"/>
        <v>0</v>
      </c>
      <c r="T71" s="70" t="str">
        <f>IFERROR(VLOOKUP(A71,VLOOKUPS!$A$3:$D$31,2,0),"Ander")</f>
        <v>Ander</v>
      </c>
      <c r="U71" s="71">
        <f t="shared" si="47"/>
        <v>0</v>
      </c>
      <c r="V71" s="71">
        <f t="shared" si="48"/>
        <v>0</v>
      </c>
    </row>
    <row r="72" spans="1:22" ht="15.75" thickBot="1" x14ac:dyDescent="0.3">
      <c r="U72" s="72">
        <f>SUM(U68:U71)</f>
        <v>0</v>
      </c>
      <c r="V72" s="72">
        <f>SUM(V68:V71)</f>
        <v>3750</v>
      </c>
    </row>
    <row r="73" spans="1:22" ht="15.75" thickTop="1" x14ac:dyDescent="0.25">
      <c r="U73" s="73"/>
      <c r="V73" s="73"/>
    </row>
    <row r="74" spans="1:22" ht="15" customHeight="1" thickBot="1" x14ac:dyDescent="0.3">
      <c r="B74" s="395" t="s">
        <v>89</v>
      </c>
      <c r="C74" s="396"/>
      <c r="D74" s="396"/>
      <c r="E74" s="396"/>
      <c r="F74" s="396"/>
      <c r="G74" s="396"/>
      <c r="H74" s="396"/>
      <c r="I74" s="396"/>
      <c r="J74" s="396"/>
      <c r="K74" s="397"/>
    </row>
    <row r="75" spans="1:22" ht="15.75" thickBot="1" x14ac:dyDescent="0.3">
      <c r="B75" s="398"/>
      <c r="C75" s="399"/>
      <c r="D75" s="399"/>
      <c r="E75" s="399"/>
      <c r="F75" s="399"/>
      <c r="G75" s="399"/>
      <c r="H75" s="399"/>
      <c r="I75" s="399"/>
      <c r="J75" s="399"/>
      <c r="K75" s="400"/>
      <c r="T75" s="74" t="s">
        <v>76</v>
      </c>
      <c r="U75" s="105">
        <f>U72+U65+U52+U41+U30</f>
        <v>0</v>
      </c>
      <c r="V75" s="106">
        <f>V72+V65+V52+V41+V30</f>
        <v>38582</v>
      </c>
    </row>
    <row r="76" spans="1:22" x14ac:dyDescent="0.25">
      <c r="B76" s="36"/>
      <c r="C76" s="111"/>
      <c r="D76" s="111"/>
      <c r="E76" s="111"/>
      <c r="F76" s="111"/>
      <c r="T76" s="27" t="s">
        <v>77</v>
      </c>
      <c r="U76" s="75">
        <f>V75+U75-L14</f>
        <v>0</v>
      </c>
    </row>
    <row r="77" spans="1:22" x14ac:dyDescent="0.25">
      <c r="B77" s="36"/>
      <c r="C77" s="111"/>
      <c r="D77" s="111"/>
      <c r="E77" s="111"/>
      <c r="F77" s="111"/>
    </row>
    <row r="78" spans="1:22" x14ac:dyDescent="0.25">
      <c r="B78" s="36"/>
      <c r="C78" s="111"/>
      <c r="D78" s="111"/>
      <c r="E78" s="111"/>
      <c r="F78" s="111"/>
    </row>
  </sheetData>
  <sheetProtection selectLockedCells="1"/>
  <mergeCells count="48">
    <mergeCell ref="B74:K75"/>
    <mergeCell ref="G33:G40"/>
    <mergeCell ref="L33:L40"/>
    <mergeCell ref="A42:L42"/>
    <mergeCell ref="G44:G51"/>
    <mergeCell ref="L44:L51"/>
    <mergeCell ref="A53:L53"/>
    <mergeCell ref="G55:G64"/>
    <mergeCell ref="L55:L64"/>
    <mergeCell ref="A66:L66"/>
    <mergeCell ref="G68:G71"/>
    <mergeCell ref="L68:L71"/>
    <mergeCell ref="A31:L31"/>
    <mergeCell ref="B16:C16"/>
    <mergeCell ref="G16:H16"/>
    <mergeCell ref="J16:K16"/>
    <mergeCell ref="B18:C18"/>
    <mergeCell ref="G18:H18"/>
    <mergeCell ref="J18:K18"/>
    <mergeCell ref="A20:L20"/>
    <mergeCell ref="G21:H22"/>
    <mergeCell ref="I21:I22"/>
    <mergeCell ref="G24:G29"/>
    <mergeCell ref="L24:L29"/>
    <mergeCell ref="B14:C14"/>
    <mergeCell ref="G14:H14"/>
    <mergeCell ref="J14:K14"/>
    <mergeCell ref="B15:C15"/>
    <mergeCell ref="G15:H15"/>
    <mergeCell ref="J15:K15"/>
    <mergeCell ref="B12:C12"/>
    <mergeCell ref="G12:H12"/>
    <mergeCell ref="J12:K12"/>
    <mergeCell ref="B13:C13"/>
    <mergeCell ref="G13:H13"/>
    <mergeCell ref="J13:K13"/>
    <mergeCell ref="B10:C10"/>
    <mergeCell ref="G10:H10"/>
    <mergeCell ref="J10:K10"/>
    <mergeCell ref="B11:C11"/>
    <mergeCell ref="G11:H11"/>
    <mergeCell ref="J11:K11"/>
    <mergeCell ref="A8:C8"/>
    <mergeCell ref="F8:H8"/>
    <mergeCell ref="J8:L8"/>
    <mergeCell ref="B9:C9"/>
    <mergeCell ref="G9:H9"/>
    <mergeCell ref="J9:K9"/>
  </mergeCells>
  <printOptions horizontalCentered="1" verticalCentered="1"/>
  <pageMargins left="0.26" right="0.28999999999999998" top="0.19" bottom="0.18" header="0" footer="0"/>
  <pageSetup paperSize="9" scale="64"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pageSetUpPr fitToPage="1"/>
  </sheetPr>
  <dimension ref="A1:V78"/>
  <sheetViews>
    <sheetView zoomScaleNormal="100" workbookViewId="0">
      <selection activeCell="J24" sqref="J24"/>
    </sheetView>
  </sheetViews>
  <sheetFormatPr defaultRowHeight="15" x14ac:dyDescent="0.25"/>
  <cols>
    <col min="1" max="1" width="21.140625" style="27" customWidth="1"/>
    <col min="2" max="2" width="9.140625" style="27" customWidth="1"/>
    <col min="3" max="3" width="10.85546875" style="27" customWidth="1"/>
    <col min="4" max="4" width="9.140625" style="27"/>
    <col min="5" max="5" width="11.5703125" style="27" bestFit="1" customWidth="1"/>
    <col min="6" max="7" width="11.5703125" style="27" customWidth="1"/>
    <col min="8" max="8" width="11.28515625" style="27" customWidth="1"/>
    <col min="9" max="9" width="11.140625" style="27" customWidth="1"/>
    <col min="10" max="10" width="12.5703125" style="27" bestFit="1" customWidth="1"/>
    <col min="11" max="11" width="14.140625" style="27" customWidth="1"/>
    <col min="12" max="12" width="14.85546875" style="27" customWidth="1"/>
    <col min="13" max="13" width="9.140625" style="27" customWidth="1"/>
    <col min="14" max="14" width="12.28515625" style="27" hidden="1" customWidth="1"/>
    <col min="15" max="15" width="10.5703125" style="27" hidden="1" customWidth="1"/>
    <col min="16" max="16" width="14.140625" style="27" hidden="1" customWidth="1"/>
    <col min="17" max="17" width="13.42578125" style="27" hidden="1" customWidth="1"/>
    <col min="18" max="18" width="18.42578125" style="27" hidden="1" customWidth="1"/>
    <col min="19" max="19" width="9.140625" style="27" customWidth="1"/>
    <col min="20" max="20" width="12.28515625" style="27" hidden="1" customWidth="1"/>
    <col min="21" max="21" width="10.5703125" style="27" hidden="1" customWidth="1"/>
    <col min="22" max="22" width="9.140625" style="27" hidden="1" customWidth="1"/>
    <col min="23" max="23" width="9.140625" style="27" customWidth="1"/>
    <col min="24" max="16384" width="9.140625" style="27"/>
  </cols>
  <sheetData>
    <row r="1" spans="1:14" s="61" customFormat="1" ht="15" customHeight="1" x14ac:dyDescent="0.25"/>
    <row r="4" spans="1:14" ht="15.75" thickBot="1" x14ac:dyDescent="0.3"/>
    <row r="5" spans="1:14" ht="15.75" thickBot="1" x14ac:dyDescent="0.3">
      <c r="C5" s="76"/>
      <c r="F5" s="117" t="s">
        <v>134</v>
      </c>
      <c r="G5" s="118" t="s">
        <v>128</v>
      </c>
    </row>
    <row r="6" spans="1:14" x14ac:dyDescent="0.25">
      <c r="C6" s="76"/>
    </row>
    <row r="7" spans="1:14" ht="15.75" thickBot="1" x14ac:dyDescent="0.3"/>
    <row r="8" spans="1:14" ht="15.75" thickBot="1" x14ac:dyDescent="0.3">
      <c r="A8" s="404" t="s">
        <v>39</v>
      </c>
      <c r="B8" s="405"/>
      <c r="C8" s="406"/>
      <c r="F8" s="376" t="s">
        <v>48</v>
      </c>
      <c r="G8" s="377"/>
      <c r="H8" s="378"/>
      <c r="J8" s="376" t="s">
        <v>36</v>
      </c>
      <c r="K8" s="377"/>
      <c r="L8" s="378"/>
    </row>
    <row r="9" spans="1:14" x14ac:dyDescent="0.25">
      <c r="A9" s="28" t="s">
        <v>40</v>
      </c>
      <c r="B9" s="407" t="str">
        <f>+'Koring 1 (dont use)'!B9:C9</f>
        <v>Jaque Fourie</v>
      </c>
      <c r="C9" s="408"/>
      <c r="F9" s="28" t="s">
        <v>81</v>
      </c>
      <c r="G9" s="387" t="str">
        <f>+'Koring 1 (dont use)'!G9:H9</f>
        <v>Bakkies Botha</v>
      </c>
      <c r="H9" s="388"/>
      <c r="J9" s="420" t="str">
        <f>+A20</f>
        <v>Saadbehandeling</v>
      </c>
      <c r="K9" s="421"/>
      <c r="L9" s="23">
        <f>+L24</f>
        <v>8500</v>
      </c>
    </row>
    <row r="10" spans="1:14" x14ac:dyDescent="0.25">
      <c r="A10" s="29" t="s">
        <v>47</v>
      </c>
      <c r="B10" s="424" t="str">
        <f>+'Koring 1 (dont use)'!B10:C10</f>
        <v>Japan</v>
      </c>
      <c r="C10" s="425"/>
      <c r="F10" s="29" t="s">
        <v>82</v>
      </c>
      <c r="G10" s="424" t="str">
        <f>+'Koring 1 (dont use)'!G10:H10</f>
        <v xml:space="preserve">Bus 524 </v>
      </c>
      <c r="H10" s="425"/>
      <c r="J10" s="389" t="str">
        <f>+A31</f>
        <v>Voor plant</v>
      </c>
      <c r="K10" s="390"/>
      <c r="L10" s="24">
        <f>+L33</f>
        <v>2760</v>
      </c>
    </row>
    <row r="11" spans="1:14" x14ac:dyDescent="0.25">
      <c r="A11" s="30"/>
      <c r="B11" s="424">
        <f>+'Koring 1 (dont use)'!B11:C11</f>
        <v>0</v>
      </c>
      <c r="C11" s="425"/>
      <c r="F11" s="29" t="s">
        <v>83</v>
      </c>
      <c r="G11" s="424" t="str">
        <f>+'Koring 1 (dont use)'!G11:H11</f>
        <v>Brakfontein</v>
      </c>
      <c r="H11" s="425"/>
      <c r="J11" s="389" t="str">
        <f>+A42</f>
        <v>Voor-opkoms (met plant)</v>
      </c>
      <c r="K11" s="390"/>
      <c r="L11" s="24">
        <f>+L44</f>
        <v>4080</v>
      </c>
    </row>
    <row r="12" spans="1:14" x14ac:dyDescent="0.25">
      <c r="A12" s="29" t="s">
        <v>45</v>
      </c>
      <c r="B12" s="424" t="str">
        <f>+'Koring 1 (dont use)'!B12:C12</f>
        <v>0001</v>
      </c>
      <c r="C12" s="425"/>
      <c r="F12" s="29" t="s">
        <v>84</v>
      </c>
      <c r="G12" s="424" t="str">
        <f>+'Koring 1 (dont use)'!G12:H12</f>
        <v>Humansdorp</v>
      </c>
      <c r="H12" s="425"/>
      <c r="J12" s="389" t="str">
        <f>+A53</f>
        <v>Na-opkoms</v>
      </c>
      <c r="K12" s="390"/>
      <c r="L12" s="24">
        <f>+L55</f>
        <v>5540</v>
      </c>
    </row>
    <row r="13" spans="1:14" x14ac:dyDescent="0.25">
      <c r="A13" s="29" t="s">
        <v>41</v>
      </c>
      <c r="B13" s="424">
        <f>+'Koring 1 (dont use)'!B13:C13</f>
        <v>0</v>
      </c>
      <c r="C13" s="425"/>
      <c r="F13" s="29" t="s">
        <v>85</v>
      </c>
      <c r="G13" s="424" t="str">
        <f>+'Koring 1 (dont use)'!G13:H13</f>
        <v>2587</v>
      </c>
      <c r="H13" s="425"/>
      <c r="J13" s="389" t="str">
        <f>+A66</f>
        <v>Ander</v>
      </c>
      <c r="K13" s="390"/>
      <c r="L13" s="24">
        <f>+L68</f>
        <v>1250</v>
      </c>
    </row>
    <row r="14" spans="1:14" ht="15.75" thickBot="1" x14ac:dyDescent="0.3">
      <c r="A14" s="29" t="s">
        <v>42</v>
      </c>
      <c r="B14" s="424">
        <f>+'Koring 1 (dont use)'!B14:C14</f>
        <v>0</v>
      </c>
      <c r="C14" s="425"/>
      <c r="F14" s="29" t="s">
        <v>86</v>
      </c>
      <c r="G14" s="424" t="str">
        <f>+'Koring 1 (dont use)'!G14:H14</f>
        <v>0112548798</v>
      </c>
      <c r="H14" s="425"/>
      <c r="J14" s="391" t="s">
        <v>55</v>
      </c>
      <c r="K14" s="392"/>
      <c r="L14" s="26">
        <f>SUM(L9:L13)</f>
        <v>22130</v>
      </c>
    </row>
    <row r="15" spans="1:14" ht="16.5" thickTop="1" thickBot="1" x14ac:dyDescent="0.3">
      <c r="A15" s="29" t="s">
        <v>43</v>
      </c>
      <c r="B15" s="424" t="str">
        <f>+'Koring 1 (dont use)'!B15:C15</f>
        <v>0878522233</v>
      </c>
      <c r="C15" s="425"/>
      <c r="F15" s="29" t="s">
        <v>87</v>
      </c>
      <c r="G15" s="424" t="str">
        <f>+'Koring 1 (dont use)'!G15:H15</f>
        <v>0768543221</v>
      </c>
      <c r="H15" s="425"/>
      <c r="J15" s="426"/>
      <c r="K15" s="427"/>
      <c r="L15" s="25"/>
    </row>
    <row r="16" spans="1:14" ht="15.75" thickBot="1" x14ac:dyDescent="0.3">
      <c r="A16" s="31" t="s">
        <v>44</v>
      </c>
      <c r="B16" s="428" t="str">
        <f>+'Koring 1 (dont use)'!B16:C16</f>
        <v>jfourie@gmail.com</v>
      </c>
      <c r="C16" s="429"/>
      <c r="F16" s="31" t="s">
        <v>88</v>
      </c>
      <c r="G16" s="430" t="str">
        <f>+'Koring 1 (dont use)'!G16:H16</f>
        <v>bb@bok.co.za</v>
      </c>
      <c r="H16" s="431"/>
      <c r="J16" s="432" t="s">
        <v>70</v>
      </c>
      <c r="K16" s="433"/>
      <c r="L16" s="104">
        <f>+G24+G33+G44+G55+G68</f>
        <v>920.63333333333344</v>
      </c>
      <c r="N16" s="62">
        <f>+L14/L18</f>
        <v>2213</v>
      </c>
    </row>
    <row r="17" spans="1:22" ht="15.75" thickBot="1" x14ac:dyDescent="0.3">
      <c r="E17" s="32"/>
      <c r="J17" s="33"/>
      <c r="K17" s="33"/>
      <c r="L17" s="34"/>
    </row>
    <row r="18" spans="1:22" ht="15.75" thickBot="1" x14ac:dyDescent="0.3">
      <c r="A18" s="35" t="s">
        <v>106</v>
      </c>
      <c r="B18" s="434" t="str">
        <f>+'Koring 1 (dont use)'!B18:C18</f>
        <v>Co</v>
      </c>
      <c r="C18" s="435"/>
      <c r="E18" s="32"/>
      <c r="F18" s="35" t="s">
        <v>69</v>
      </c>
      <c r="G18" s="418" t="str">
        <f>+'Koring 1 (dont use)'!G18:H18</f>
        <v>2012/09/12</v>
      </c>
      <c r="H18" s="436"/>
      <c r="J18" s="404" t="s">
        <v>46</v>
      </c>
      <c r="K18" s="405"/>
      <c r="L18" s="3">
        <v>10</v>
      </c>
    </row>
    <row r="19" spans="1:22" s="77" customFormat="1" ht="15.75" thickBot="1" x14ac:dyDescent="0.3">
      <c r="A19" s="101"/>
      <c r="B19" s="109"/>
      <c r="C19" s="109"/>
      <c r="E19" s="102"/>
      <c r="F19" s="101"/>
      <c r="G19" s="109"/>
      <c r="H19" s="109"/>
      <c r="J19" s="100"/>
      <c r="K19" s="100"/>
      <c r="L19" s="110"/>
    </row>
    <row r="20" spans="1:22" s="77" customFormat="1" ht="18" thickBot="1" x14ac:dyDescent="0.35">
      <c r="A20" s="409" t="s">
        <v>38</v>
      </c>
      <c r="B20" s="410"/>
      <c r="C20" s="410"/>
      <c r="D20" s="410"/>
      <c r="E20" s="410"/>
      <c r="F20" s="410"/>
      <c r="G20" s="410"/>
      <c r="H20" s="410"/>
      <c r="I20" s="410"/>
      <c r="J20" s="410"/>
      <c r="K20" s="410"/>
      <c r="L20" s="411"/>
    </row>
    <row r="21" spans="1:22" s="77" customFormat="1" x14ac:dyDescent="0.25">
      <c r="A21" s="52"/>
      <c r="B21" s="53" t="s">
        <v>97</v>
      </c>
      <c r="C21" s="19">
        <v>26000</v>
      </c>
      <c r="D21" s="54"/>
      <c r="E21" s="55"/>
      <c r="F21" s="55"/>
      <c r="G21" s="437" t="s">
        <v>99</v>
      </c>
      <c r="H21" s="438"/>
      <c r="I21" s="441">
        <f>+C21/C22</f>
        <v>0.43333333333333335</v>
      </c>
      <c r="J21" s="54"/>
      <c r="K21" s="54"/>
      <c r="L21" s="56"/>
    </row>
    <row r="22" spans="1:22" s="77" customFormat="1" ht="15.75" thickBot="1" x14ac:dyDescent="0.3">
      <c r="A22" s="57"/>
      <c r="B22" s="58" t="s">
        <v>98</v>
      </c>
      <c r="C22" s="20">
        <v>60000</v>
      </c>
      <c r="D22" s="59"/>
      <c r="E22" s="55"/>
      <c r="F22" s="55"/>
      <c r="G22" s="439"/>
      <c r="H22" s="440"/>
      <c r="I22" s="442"/>
      <c r="J22" s="59"/>
      <c r="K22" s="59"/>
      <c r="L22" s="60"/>
      <c r="T22" s="107"/>
      <c r="U22" s="108" t="s">
        <v>113</v>
      </c>
      <c r="V22" s="107"/>
    </row>
    <row r="23" spans="1:22" s="77" customFormat="1" ht="43.5" thickBot="1" x14ac:dyDescent="0.3">
      <c r="A23" s="37" t="s">
        <v>1</v>
      </c>
      <c r="B23" s="38" t="s">
        <v>95</v>
      </c>
      <c r="C23" s="39" t="s">
        <v>96</v>
      </c>
      <c r="D23" s="40" t="s">
        <v>93</v>
      </c>
      <c r="E23" s="39" t="s">
        <v>61</v>
      </c>
      <c r="F23" s="40" t="s">
        <v>94</v>
      </c>
      <c r="G23" s="41" t="s">
        <v>60</v>
      </c>
      <c r="H23" s="39" t="s">
        <v>59</v>
      </c>
      <c r="I23" s="103" t="s">
        <v>56</v>
      </c>
      <c r="J23" s="40" t="s">
        <v>57</v>
      </c>
      <c r="K23" s="40" t="s">
        <v>58</v>
      </c>
      <c r="L23" s="42" t="s">
        <v>0</v>
      </c>
      <c r="N23" s="63" t="s">
        <v>101</v>
      </c>
      <c r="O23" s="63" t="s">
        <v>100</v>
      </c>
      <c r="P23" s="64" t="s">
        <v>102</v>
      </c>
      <c r="Q23" s="64" t="s">
        <v>103</v>
      </c>
      <c r="R23" s="64" t="s">
        <v>104</v>
      </c>
      <c r="S23" s="27"/>
      <c r="T23" s="65" t="s">
        <v>72</v>
      </c>
      <c r="U23" s="65" t="s">
        <v>74</v>
      </c>
      <c r="V23" s="65" t="s">
        <v>75</v>
      </c>
    </row>
    <row r="24" spans="1:22" s="77" customFormat="1" x14ac:dyDescent="0.25">
      <c r="A24" s="134" t="s">
        <v>1</v>
      </c>
      <c r="B24" s="135">
        <v>0.1</v>
      </c>
      <c r="C24" s="136">
        <v>100</v>
      </c>
      <c r="D24" s="43">
        <f t="shared" ref="D24" si="0">+B24*C24</f>
        <v>10</v>
      </c>
      <c r="E24" s="137">
        <v>850</v>
      </c>
      <c r="F24" s="44">
        <f t="shared" ref="F24" si="1">+IFERROR(K24/(C24/$I$21),0)</f>
        <v>36.833333333333336</v>
      </c>
      <c r="G24" s="373">
        <f>SUM(F24:F29)</f>
        <v>36.833333333333336</v>
      </c>
      <c r="H24" s="138">
        <v>1</v>
      </c>
      <c r="I24" s="45">
        <f t="shared" ref="I24" si="2">+IFERROR(ROUNDUP(D24/H24,0),0)</f>
        <v>10</v>
      </c>
      <c r="J24" s="44">
        <f>+E24*H24</f>
        <v>850</v>
      </c>
      <c r="K24" s="44">
        <f>+I24*J24</f>
        <v>8500</v>
      </c>
      <c r="L24" s="370">
        <f>SUM(K24:K29)</f>
        <v>8500</v>
      </c>
      <c r="T24" s="70" t="str">
        <f>IFERROR(VLOOKUP(A24,VLOOKUPS!$A$3:$D$31,2,0),"Ander")</f>
        <v>Ander</v>
      </c>
      <c r="U24" s="71">
        <f t="shared" ref="U24:U29" si="3">IF(T24="Syngenta",K24,0)</f>
        <v>0</v>
      </c>
      <c r="V24" s="71">
        <f t="shared" ref="V24:V29" si="4">IF(T24="Ander",K24,0)</f>
        <v>8500</v>
      </c>
    </row>
    <row r="25" spans="1:22" s="77" customFormat="1" x14ac:dyDescent="0.25">
      <c r="A25" s="9"/>
      <c r="B25" s="10"/>
      <c r="C25" s="21"/>
      <c r="D25" s="46">
        <f t="shared" ref="D25:D29" si="5">+B25*C25</f>
        <v>0</v>
      </c>
      <c r="E25" s="12"/>
      <c r="F25" s="47">
        <f t="shared" ref="F25:F29" si="6">+IFERROR(K25/(C25/$I$21),0)</f>
        <v>0</v>
      </c>
      <c r="G25" s="374"/>
      <c r="H25" s="13"/>
      <c r="I25" s="48">
        <f t="shared" ref="I25:I26" si="7">+IFERROR(ROUNDUP(D25/H25,0),0)</f>
        <v>0</v>
      </c>
      <c r="J25" s="47">
        <f>+E25*H25</f>
        <v>0</v>
      </c>
      <c r="K25" s="47">
        <f>+I25*J25</f>
        <v>0</v>
      </c>
      <c r="L25" s="371"/>
      <c r="T25" s="70" t="str">
        <f>IFERROR(VLOOKUP(A25,VLOOKUPS!$A$3:$D$31,2,0),"Ander")</f>
        <v>Ander</v>
      </c>
      <c r="U25" s="71">
        <f t="shared" si="3"/>
        <v>0</v>
      </c>
      <c r="V25" s="71">
        <f t="shared" si="4"/>
        <v>0</v>
      </c>
    </row>
    <row r="26" spans="1:22" s="77" customFormat="1" x14ac:dyDescent="0.25">
      <c r="A26" s="9"/>
      <c r="B26" s="10"/>
      <c r="C26" s="21"/>
      <c r="D26" s="46">
        <f t="shared" si="5"/>
        <v>0</v>
      </c>
      <c r="E26" s="12"/>
      <c r="F26" s="47">
        <f t="shared" si="6"/>
        <v>0</v>
      </c>
      <c r="G26" s="374"/>
      <c r="H26" s="13"/>
      <c r="I26" s="48">
        <f t="shared" si="7"/>
        <v>0</v>
      </c>
      <c r="J26" s="47">
        <f t="shared" ref="J26:J29" si="8">+E26*H26</f>
        <v>0</v>
      </c>
      <c r="K26" s="47">
        <f t="shared" ref="K26:K29" si="9">+I26*J26</f>
        <v>0</v>
      </c>
      <c r="L26" s="371"/>
      <c r="T26" s="70" t="str">
        <f>IFERROR(VLOOKUP(A26,VLOOKUPS!$A$3:$D$31,2,0),"Ander")</f>
        <v>Ander</v>
      </c>
      <c r="U26" s="71">
        <f t="shared" si="3"/>
        <v>0</v>
      </c>
      <c r="V26" s="71">
        <f t="shared" si="4"/>
        <v>0</v>
      </c>
    </row>
    <row r="27" spans="1:22" s="77" customFormat="1" x14ac:dyDescent="0.25">
      <c r="A27" s="9"/>
      <c r="B27" s="10"/>
      <c r="C27" s="21"/>
      <c r="D27" s="46">
        <f t="shared" si="5"/>
        <v>0</v>
      </c>
      <c r="E27" s="12"/>
      <c r="F27" s="47">
        <f t="shared" si="6"/>
        <v>0</v>
      </c>
      <c r="G27" s="374"/>
      <c r="H27" s="13"/>
      <c r="I27" s="48">
        <f>+IFERROR(ROUNDUP(D27/H27,0),0)</f>
        <v>0</v>
      </c>
      <c r="J27" s="47">
        <f t="shared" si="8"/>
        <v>0</v>
      </c>
      <c r="K27" s="47">
        <f t="shared" si="9"/>
        <v>0</v>
      </c>
      <c r="L27" s="371"/>
      <c r="T27" s="70" t="str">
        <f>IFERROR(VLOOKUP(A27,VLOOKUPS!$A$3:$D$31,2,0),"Ander")</f>
        <v>Ander</v>
      </c>
      <c r="U27" s="71">
        <f t="shared" si="3"/>
        <v>0</v>
      </c>
      <c r="V27" s="71">
        <f t="shared" si="4"/>
        <v>0</v>
      </c>
    </row>
    <row r="28" spans="1:22" s="77" customFormat="1" x14ac:dyDescent="0.25">
      <c r="A28" s="9"/>
      <c r="B28" s="10"/>
      <c r="C28" s="21"/>
      <c r="D28" s="46">
        <f t="shared" si="5"/>
        <v>0</v>
      </c>
      <c r="E28" s="12"/>
      <c r="F28" s="47">
        <f t="shared" si="6"/>
        <v>0</v>
      </c>
      <c r="G28" s="374"/>
      <c r="H28" s="13"/>
      <c r="I28" s="48">
        <f t="shared" ref="I28:I29" si="10">+IFERROR(ROUNDUP(D28/H28,0),0)</f>
        <v>0</v>
      </c>
      <c r="J28" s="47">
        <f t="shared" si="8"/>
        <v>0</v>
      </c>
      <c r="K28" s="47">
        <f t="shared" si="9"/>
        <v>0</v>
      </c>
      <c r="L28" s="371"/>
      <c r="T28" s="70" t="str">
        <f>IFERROR(VLOOKUP(A28,VLOOKUPS!$A$3:$D$31,2,0),"Ander")</f>
        <v>Ander</v>
      </c>
      <c r="U28" s="71">
        <f t="shared" si="3"/>
        <v>0</v>
      </c>
      <c r="V28" s="71">
        <f t="shared" si="4"/>
        <v>0</v>
      </c>
    </row>
    <row r="29" spans="1:22" s="77" customFormat="1" ht="15.75" thickBot="1" x14ac:dyDescent="0.3">
      <c r="A29" s="14"/>
      <c r="B29" s="15"/>
      <c r="C29" s="22"/>
      <c r="D29" s="49">
        <f t="shared" si="5"/>
        <v>0</v>
      </c>
      <c r="E29" s="17"/>
      <c r="F29" s="50">
        <f t="shared" si="6"/>
        <v>0</v>
      </c>
      <c r="G29" s="375"/>
      <c r="H29" s="18"/>
      <c r="I29" s="51">
        <f t="shared" si="10"/>
        <v>0</v>
      </c>
      <c r="J29" s="50">
        <f t="shared" si="8"/>
        <v>0</v>
      </c>
      <c r="K29" s="50">
        <f t="shared" si="9"/>
        <v>0</v>
      </c>
      <c r="L29" s="372"/>
      <c r="T29" s="70" t="str">
        <f>IFERROR(VLOOKUP(A29,VLOOKUPS!$A$3:$D$31,2,0),"Ander")</f>
        <v>Ander</v>
      </c>
      <c r="U29" s="71">
        <f t="shared" si="3"/>
        <v>0</v>
      </c>
      <c r="V29" s="71">
        <f t="shared" si="4"/>
        <v>0</v>
      </c>
    </row>
    <row r="30" spans="1:22" s="77" customFormat="1" ht="15.75" thickBot="1" x14ac:dyDescent="0.3">
      <c r="A30" s="101"/>
      <c r="B30" s="109"/>
      <c r="C30" s="109"/>
      <c r="E30" s="102"/>
      <c r="F30" s="101"/>
      <c r="G30" s="109"/>
      <c r="H30" s="109"/>
      <c r="J30" s="100"/>
      <c r="K30" s="100"/>
      <c r="L30" s="110"/>
      <c r="T30" s="27"/>
      <c r="U30" s="72">
        <f>SUM(U24:U29)</f>
        <v>0</v>
      </c>
      <c r="V30" s="72">
        <f>SUM(V24:V29)</f>
        <v>8500</v>
      </c>
    </row>
    <row r="31" spans="1:22" ht="18.75" thickTop="1" thickBot="1" x14ac:dyDescent="0.35">
      <c r="A31" s="415" t="s">
        <v>37</v>
      </c>
      <c r="B31" s="416"/>
      <c r="C31" s="416"/>
      <c r="D31" s="416"/>
      <c r="E31" s="416"/>
      <c r="F31" s="416"/>
      <c r="G31" s="416"/>
      <c r="H31" s="416"/>
      <c r="I31" s="416"/>
      <c r="J31" s="416"/>
      <c r="K31" s="416"/>
      <c r="L31" s="417"/>
    </row>
    <row r="32" spans="1:22" ht="33" customHeight="1" thickBot="1" x14ac:dyDescent="0.3">
      <c r="A32" s="37" t="s">
        <v>1</v>
      </c>
      <c r="B32" s="38" t="s">
        <v>62</v>
      </c>
      <c r="C32" s="39" t="s">
        <v>2</v>
      </c>
      <c r="D32" s="40" t="s">
        <v>93</v>
      </c>
      <c r="E32" s="39" t="s">
        <v>61</v>
      </c>
      <c r="F32" s="40" t="s">
        <v>94</v>
      </c>
      <c r="G32" s="41" t="s">
        <v>60</v>
      </c>
      <c r="H32" s="39" t="s">
        <v>59</v>
      </c>
      <c r="I32" s="103" t="s">
        <v>56</v>
      </c>
      <c r="J32" s="40" t="s">
        <v>57</v>
      </c>
      <c r="K32" s="40" t="s">
        <v>58</v>
      </c>
      <c r="L32" s="42" t="s">
        <v>0</v>
      </c>
    </row>
    <row r="33" spans="1:22" x14ac:dyDescent="0.25">
      <c r="A33" s="4" t="s">
        <v>1</v>
      </c>
      <c r="B33" s="5">
        <v>1.5</v>
      </c>
      <c r="C33" s="6">
        <v>1</v>
      </c>
      <c r="D33" s="43">
        <f>+L18*B33*C33</f>
        <v>15</v>
      </c>
      <c r="E33" s="7">
        <v>48</v>
      </c>
      <c r="F33" s="44">
        <f>+B33*C33*E33</f>
        <v>72</v>
      </c>
      <c r="G33" s="373">
        <f>SUM(F33:F40)</f>
        <v>108.6</v>
      </c>
      <c r="H33" s="8">
        <v>25</v>
      </c>
      <c r="I33" s="45">
        <f t="shared" ref="I33:I40" si="11">+IFERROR(ROUNDUP(D33/H33,0),0)</f>
        <v>1</v>
      </c>
      <c r="J33" s="44">
        <f>+E33*H33</f>
        <v>1200</v>
      </c>
      <c r="K33" s="44">
        <f t="shared" ref="K33:K40" si="12">+I33*J33</f>
        <v>1200</v>
      </c>
      <c r="L33" s="370">
        <f>SUM(K33:K40)</f>
        <v>2760</v>
      </c>
      <c r="N33" s="66">
        <f>+IFERROR((I33*H33)/B33,0)</f>
        <v>16.666666666666668</v>
      </c>
      <c r="O33" s="67">
        <f>+IFERROR(C33*$L$18,0)</f>
        <v>10</v>
      </c>
      <c r="P33" s="68">
        <f t="shared" ref="P33:P40" si="13">+IFERROR(K33/N33,0)</f>
        <v>72</v>
      </c>
      <c r="Q33" s="68">
        <f t="shared" ref="Q33:Q40" si="14">+IFERROR(K33/O33,0)</f>
        <v>120</v>
      </c>
      <c r="R33" s="69">
        <f t="shared" ref="R33:R40" si="15">+B33*C33*E33</f>
        <v>72</v>
      </c>
      <c r="T33" s="70" t="str">
        <f>IFERROR(VLOOKUP(A33,VLOOKUPS!$A$3:$D$31,2,0),"Ander")</f>
        <v>Ander</v>
      </c>
      <c r="U33" s="71">
        <f t="shared" ref="U33:U40" si="16">IF(T33="Syngenta",K33,0)</f>
        <v>0</v>
      </c>
      <c r="V33" s="71">
        <f t="shared" ref="V33:V40" si="17">IF(T33="Ander",K33,0)</f>
        <v>1200</v>
      </c>
    </row>
    <row r="34" spans="1:22" x14ac:dyDescent="0.25">
      <c r="A34" s="9" t="s">
        <v>1</v>
      </c>
      <c r="B34" s="10">
        <v>1.5</v>
      </c>
      <c r="C34" s="11">
        <v>1</v>
      </c>
      <c r="D34" s="46">
        <f>+L18*B34*C34</f>
        <v>15</v>
      </c>
      <c r="E34" s="12">
        <v>11</v>
      </c>
      <c r="F34" s="47">
        <f t="shared" ref="F34:F40" si="18">+B34*C34*E34</f>
        <v>16.5</v>
      </c>
      <c r="G34" s="374"/>
      <c r="H34" s="13">
        <v>20</v>
      </c>
      <c r="I34" s="48">
        <f t="shared" si="11"/>
        <v>1</v>
      </c>
      <c r="J34" s="47">
        <f>+E34*H34</f>
        <v>220</v>
      </c>
      <c r="K34" s="47">
        <f t="shared" si="12"/>
        <v>220</v>
      </c>
      <c r="L34" s="371"/>
      <c r="N34" s="66">
        <f t="shared" ref="N34:N71" si="19">+IFERROR((I34*H34)/B34,0)</f>
        <v>13.333333333333334</v>
      </c>
      <c r="O34" s="67">
        <f t="shared" ref="O34:O71" si="20">+IFERROR(C34*$L$18,0)</f>
        <v>10</v>
      </c>
      <c r="P34" s="68">
        <f t="shared" si="13"/>
        <v>16.5</v>
      </c>
      <c r="Q34" s="68">
        <f t="shared" si="14"/>
        <v>22</v>
      </c>
      <c r="R34" s="69">
        <f t="shared" si="15"/>
        <v>16.5</v>
      </c>
      <c r="T34" s="70" t="str">
        <f>IFERROR(VLOOKUP(A34,VLOOKUPS!$A$3:$D$31,2,0),"Ander")</f>
        <v>Ander</v>
      </c>
      <c r="U34" s="71">
        <f t="shared" si="16"/>
        <v>0</v>
      </c>
      <c r="V34" s="71">
        <f t="shared" si="17"/>
        <v>220</v>
      </c>
    </row>
    <row r="35" spans="1:22" x14ac:dyDescent="0.25">
      <c r="A35" s="9" t="s">
        <v>1</v>
      </c>
      <c r="B35" s="10">
        <v>0.3</v>
      </c>
      <c r="C35" s="11">
        <v>1</v>
      </c>
      <c r="D35" s="46">
        <f>+L18*B35*C35</f>
        <v>3</v>
      </c>
      <c r="E35" s="12">
        <v>67</v>
      </c>
      <c r="F35" s="47">
        <f t="shared" si="18"/>
        <v>20.099999999999998</v>
      </c>
      <c r="G35" s="374"/>
      <c r="H35" s="13">
        <v>20</v>
      </c>
      <c r="I35" s="48">
        <f t="shared" si="11"/>
        <v>1</v>
      </c>
      <c r="J35" s="47">
        <f>+E35*H35</f>
        <v>1340</v>
      </c>
      <c r="K35" s="47">
        <f t="shared" si="12"/>
        <v>1340</v>
      </c>
      <c r="L35" s="371"/>
      <c r="N35" s="66">
        <f t="shared" si="19"/>
        <v>66.666666666666671</v>
      </c>
      <c r="O35" s="67">
        <f t="shared" si="20"/>
        <v>10</v>
      </c>
      <c r="P35" s="68">
        <f t="shared" si="13"/>
        <v>20.099999999999998</v>
      </c>
      <c r="Q35" s="68">
        <f t="shared" si="14"/>
        <v>134</v>
      </c>
      <c r="R35" s="69">
        <f t="shared" si="15"/>
        <v>20.099999999999998</v>
      </c>
      <c r="T35" s="70" t="str">
        <f>IFERROR(VLOOKUP(A35,VLOOKUPS!$A$3:$D$31,2,0),"Ander")</f>
        <v>Ander</v>
      </c>
      <c r="U35" s="71">
        <f t="shared" si="16"/>
        <v>0</v>
      </c>
      <c r="V35" s="71">
        <f t="shared" si="17"/>
        <v>1340</v>
      </c>
    </row>
    <row r="36" spans="1:22" x14ac:dyDescent="0.25">
      <c r="A36" s="9"/>
      <c r="B36" s="10"/>
      <c r="C36" s="11"/>
      <c r="D36" s="46">
        <f t="shared" ref="D36:D37" si="21">+L19*B36*C36</f>
        <v>0</v>
      </c>
      <c r="E36" s="12"/>
      <c r="F36" s="47">
        <f t="shared" si="18"/>
        <v>0</v>
      </c>
      <c r="G36" s="374"/>
      <c r="H36" s="13"/>
      <c r="I36" s="48">
        <f t="shared" si="11"/>
        <v>0</v>
      </c>
      <c r="J36" s="47">
        <f t="shared" ref="J36:J38" si="22">+E36*H36</f>
        <v>0</v>
      </c>
      <c r="K36" s="47">
        <f t="shared" si="12"/>
        <v>0</v>
      </c>
      <c r="L36" s="371"/>
      <c r="N36" s="66">
        <f t="shared" si="19"/>
        <v>0</v>
      </c>
      <c r="O36" s="67">
        <f t="shared" si="20"/>
        <v>0</v>
      </c>
      <c r="P36" s="68">
        <f t="shared" si="13"/>
        <v>0</v>
      </c>
      <c r="Q36" s="68">
        <f t="shared" si="14"/>
        <v>0</v>
      </c>
      <c r="R36" s="69">
        <f t="shared" si="15"/>
        <v>0</v>
      </c>
      <c r="T36" s="70" t="str">
        <f>IFERROR(VLOOKUP(A36,VLOOKUPS!$A$3:$D$31,2,0),"Ander")</f>
        <v>Ander</v>
      </c>
      <c r="U36" s="71">
        <f t="shared" si="16"/>
        <v>0</v>
      </c>
      <c r="V36" s="71">
        <f t="shared" si="17"/>
        <v>0</v>
      </c>
    </row>
    <row r="37" spans="1:22" x14ac:dyDescent="0.25">
      <c r="A37" s="9"/>
      <c r="B37" s="10"/>
      <c r="C37" s="11"/>
      <c r="D37" s="46">
        <f t="shared" si="21"/>
        <v>0</v>
      </c>
      <c r="E37" s="12"/>
      <c r="F37" s="47">
        <f t="shared" si="18"/>
        <v>0</v>
      </c>
      <c r="G37" s="374"/>
      <c r="H37" s="13"/>
      <c r="I37" s="48">
        <f t="shared" si="11"/>
        <v>0</v>
      </c>
      <c r="J37" s="47">
        <f t="shared" si="22"/>
        <v>0</v>
      </c>
      <c r="K37" s="47">
        <f t="shared" si="12"/>
        <v>0</v>
      </c>
      <c r="L37" s="371"/>
      <c r="N37" s="66">
        <f t="shared" si="19"/>
        <v>0</v>
      </c>
      <c r="O37" s="67">
        <f t="shared" si="20"/>
        <v>0</v>
      </c>
      <c r="P37" s="68">
        <f t="shared" si="13"/>
        <v>0</v>
      </c>
      <c r="Q37" s="68">
        <f t="shared" si="14"/>
        <v>0</v>
      </c>
      <c r="R37" s="69">
        <f t="shared" si="15"/>
        <v>0</v>
      </c>
      <c r="T37" s="70" t="str">
        <f>IFERROR(VLOOKUP(A37,VLOOKUPS!$A$3:$D$31,2,0),"Ander")</f>
        <v>Ander</v>
      </c>
      <c r="U37" s="71">
        <f t="shared" si="16"/>
        <v>0</v>
      </c>
      <c r="V37" s="71">
        <f t="shared" si="17"/>
        <v>0</v>
      </c>
    </row>
    <row r="38" spans="1:22" x14ac:dyDescent="0.25">
      <c r="A38" s="9"/>
      <c r="B38" s="10"/>
      <c r="C38" s="11"/>
      <c r="D38" s="46">
        <f>+L18*B38*C38</f>
        <v>0</v>
      </c>
      <c r="E38" s="12"/>
      <c r="F38" s="47">
        <f t="shared" si="18"/>
        <v>0</v>
      </c>
      <c r="G38" s="374"/>
      <c r="H38" s="13"/>
      <c r="I38" s="48">
        <f t="shared" si="11"/>
        <v>0</v>
      </c>
      <c r="J38" s="47">
        <f t="shared" si="22"/>
        <v>0</v>
      </c>
      <c r="K38" s="47">
        <f t="shared" si="12"/>
        <v>0</v>
      </c>
      <c r="L38" s="371"/>
      <c r="N38" s="66">
        <f t="shared" si="19"/>
        <v>0</v>
      </c>
      <c r="O38" s="67">
        <f t="shared" si="20"/>
        <v>0</v>
      </c>
      <c r="P38" s="68">
        <f t="shared" si="13"/>
        <v>0</v>
      </c>
      <c r="Q38" s="68">
        <f t="shared" si="14"/>
        <v>0</v>
      </c>
      <c r="R38" s="69">
        <f t="shared" si="15"/>
        <v>0</v>
      </c>
      <c r="T38" s="70" t="str">
        <f>IFERROR(VLOOKUP(A38,VLOOKUPS!$A$3:$D$31,2,0),"Ander")</f>
        <v>Ander</v>
      </c>
      <c r="U38" s="71">
        <f t="shared" si="16"/>
        <v>0</v>
      </c>
      <c r="V38" s="71">
        <f t="shared" si="17"/>
        <v>0</v>
      </c>
    </row>
    <row r="39" spans="1:22" x14ac:dyDescent="0.25">
      <c r="A39" s="9"/>
      <c r="B39" s="10"/>
      <c r="C39" s="11"/>
      <c r="D39" s="46">
        <f>+L18*B39*C39</f>
        <v>0</v>
      </c>
      <c r="E39" s="12"/>
      <c r="F39" s="47">
        <f t="shared" si="18"/>
        <v>0</v>
      </c>
      <c r="G39" s="374"/>
      <c r="H39" s="13"/>
      <c r="I39" s="48">
        <f t="shared" si="11"/>
        <v>0</v>
      </c>
      <c r="J39" s="47">
        <f>+E39*H39</f>
        <v>0</v>
      </c>
      <c r="K39" s="47">
        <f t="shared" si="12"/>
        <v>0</v>
      </c>
      <c r="L39" s="371"/>
      <c r="N39" s="66">
        <f t="shared" si="19"/>
        <v>0</v>
      </c>
      <c r="O39" s="67">
        <f t="shared" si="20"/>
        <v>0</v>
      </c>
      <c r="P39" s="68">
        <f t="shared" si="13"/>
        <v>0</v>
      </c>
      <c r="Q39" s="68">
        <f t="shared" si="14"/>
        <v>0</v>
      </c>
      <c r="R39" s="69">
        <f t="shared" si="15"/>
        <v>0</v>
      </c>
      <c r="T39" s="70" t="str">
        <f>IFERROR(VLOOKUP(A39,VLOOKUPS!$A$3:$D$31,2,0),"Ander")</f>
        <v>Ander</v>
      </c>
      <c r="U39" s="71">
        <f t="shared" si="16"/>
        <v>0</v>
      </c>
      <c r="V39" s="71">
        <f t="shared" si="17"/>
        <v>0</v>
      </c>
    </row>
    <row r="40" spans="1:22" ht="15.75" thickBot="1" x14ac:dyDescent="0.3">
      <c r="A40" s="14"/>
      <c r="B40" s="15"/>
      <c r="C40" s="16"/>
      <c r="D40" s="49">
        <f>+L18*B40*C40</f>
        <v>0</v>
      </c>
      <c r="E40" s="17"/>
      <c r="F40" s="50">
        <f t="shared" si="18"/>
        <v>0</v>
      </c>
      <c r="G40" s="375"/>
      <c r="H40" s="18"/>
      <c r="I40" s="51">
        <f t="shared" si="11"/>
        <v>0</v>
      </c>
      <c r="J40" s="50">
        <f>+E40*H40</f>
        <v>0</v>
      </c>
      <c r="K40" s="50">
        <f t="shared" si="12"/>
        <v>0</v>
      </c>
      <c r="L40" s="372"/>
      <c r="N40" s="66">
        <f t="shared" si="19"/>
        <v>0</v>
      </c>
      <c r="O40" s="67">
        <f t="shared" si="20"/>
        <v>0</v>
      </c>
      <c r="P40" s="68">
        <f t="shared" si="13"/>
        <v>0</v>
      </c>
      <c r="Q40" s="68">
        <f t="shared" si="14"/>
        <v>0</v>
      </c>
      <c r="R40" s="69">
        <f t="shared" si="15"/>
        <v>0</v>
      </c>
      <c r="T40" s="70" t="str">
        <f>IFERROR(VLOOKUP(A40,VLOOKUPS!$A$3:$D$31,2,0),"Ander")</f>
        <v>Ander</v>
      </c>
      <c r="U40" s="71">
        <f t="shared" si="16"/>
        <v>0</v>
      </c>
      <c r="V40" s="71">
        <f t="shared" si="17"/>
        <v>0</v>
      </c>
    </row>
    <row r="41" spans="1:22" ht="15.75" thickBot="1" x14ac:dyDescent="0.3">
      <c r="N41" s="66"/>
      <c r="O41" s="67"/>
      <c r="P41" s="68"/>
      <c r="Q41" s="68"/>
      <c r="R41" s="69"/>
      <c r="U41" s="72">
        <f>SUM(U33:U40)</f>
        <v>0</v>
      </c>
      <c r="V41" s="72">
        <f>SUM(V33:V40)</f>
        <v>2760</v>
      </c>
    </row>
    <row r="42" spans="1:22" ht="18.75" thickTop="1" thickBot="1" x14ac:dyDescent="0.3">
      <c r="A42" s="412" t="s">
        <v>107</v>
      </c>
      <c r="B42" s="413"/>
      <c r="C42" s="413"/>
      <c r="D42" s="413"/>
      <c r="E42" s="413"/>
      <c r="F42" s="413"/>
      <c r="G42" s="413"/>
      <c r="H42" s="413"/>
      <c r="I42" s="413"/>
      <c r="J42" s="413"/>
      <c r="K42" s="413"/>
      <c r="L42" s="414"/>
      <c r="N42" s="66"/>
      <c r="O42" s="67"/>
      <c r="P42" s="68"/>
      <c r="Q42" s="68"/>
      <c r="R42" s="69"/>
      <c r="U42" s="71"/>
      <c r="V42" s="71"/>
    </row>
    <row r="43" spans="1:22" ht="43.5" thickBot="1" x14ac:dyDescent="0.3">
      <c r="A43" s="37" t="s">
        <v>1</v>
      </c>
      <c r="B43" s="38" t="s">
        <v>62</v>
      </c>
      <c r="C43" s="39" t="s">
        <v>2</v>
      </c>
      <c r="D43" s="40" t="s">
        <v>93</v>
      </c>
      <c r="E43" s="39" t="s">
        <v>61</v>
      </c>
      <c r="F43" s="40" t="s">
        <v>94</v>
      </c>
      <c r="G43" s="41" t="s">
        <v>60</v>
      </c>
      <c r="H43" s="39" t="s">
        <v>59</v>
      </c>
      <c r="I43" s="103" t="s">
        <v>56</v>
      </c>
      <c r="J43" s="40" t="s">
        <v>57</v>
      </c>
      <c r="K43" s="40" t="s">
        <v>58</v>
      </c>
      <c r="L43" s="42" t="s">
        <v>0</v>
      </c>
      <c r="N43" s="66"/>
      <c r="O43" s="67"/>
      <c r="P43" s="68"/>
      <c r="Q43" s="68"/>
      <c r="R43" s="69"/>
      <c r="U43" s="71"/>
      <c r="V43" s="71"/>
    </row>
    <row r="44" spans="1:22" x14ac:dyDescent="0.25">
      <c r="A44" s="4" t="s">
        <v>1</v>
      </c>
      <c r="B44" s="5">
        <v>1.7</v>
      </c>
      <c r="C44" s="6">
        <v>1</v>
      </c>
      <c r="D44" s="43">
        <f t="shared" ref="D44:D51" si="23">+$L$18*B44*C44</f>
        <v>17</v>
      </c>
      <c r="E44" s="7">
        <v>78</v>
      </c>
      <c r="F44" s="44">
        <f>+B44*C44*E44</f>
        <v>132.6</v>
      </c>
      <c r="G44" s="373">
        <f>SUM(F44:F51)</f>
        <v>337</v>
      </c>
      <c r="H44" s="8">
        <v>20</v>
      </c>
      <c r="I44" s="45">
        <f t="shared" ref="I44:I51" si="24">+IFERROR(ROUNDUP(D44/H44,0),0)</f>
        <v>1</v>
      </c>
      <c r="J44" s="44">
        <f>+E44*H44</f>
        <v>1560</v>
      </c>
      <c r="K44" s="44">
        <f>+I44*J44</f>
        <v>1560</v>
      </c>
      <c r="L44" s="370">
        <f>SUM(K44:K51)</f>
        <v>4080</v>
      </c>
      <c r="N44" s="66">
        <f t="shared" si="19"/>
        <v>11.764705882352942</v>
      </c>
      <c r="O44" s="67">
        <f t="shared" si="20"/>
        <v>10</v>
      </c>
      <c r="P44" s="68">
        <f t="shared" ref="P44:P51" si="25">+IFERROR(K44/N44,0)</f>
        <v>132.6</v>
      </c>
      <c r="Q44" s="68">
        <f t="shared" ref="Q44:Q51" si="26">+IFERROR(K44/O44,0)</f>
        <v>156</v>
      </c>
      <c r="R44" s="69">
        <f t="shared" ref="R44:R51" si="27">+B44*C44*E44</f>
        <v>132.6</v>
      </c>
      <c r="T44" s="70" t="str">
        <f>IFERROR(VLOOKUP(A44,VLOOKUPS!$A$3:$D$31,2,0),"Ander")</f>
        <v>Ander</v>
      </c>
      <c r="U44" s="71">
        <f t="shared" ref="U44:U51" si="28">IF(T44="Syngenta",K44,0)</f>
        <v>0</v>
      </c>
      <c r="V44" s="71">
        <f t="shared" ref="V44:V51" si="29">IF(T44="Ander",K44,0)</f>
        <v>1560</v>
      </c>
    </row>
    <row r="45" spans="1:22" x14ac:dyDescent="0.25">
      <c r="A45" s="9" t="s">
        <v>1</v>
      </c>
      <c r="B45" s="10">
        <v>7.3</v>
      </c>
      <c r="C45" s="11">
        <f>+C44</f>
        <v>1</v>
      </c>
      <c r="D45" s="46">
        <f t="shared" si="23"/>
        <v>73</v>
      </c>
      <c r="E45" s="12">
        <v>28</v>
      </c>
      <c r="F45" s="47">
        <f t="shared" ref="F45:F51" si="30">+B45*C45*E45</f>
        <v>204.4</v>
      </c>
      <c r="G45" s="374"/>
      <c r="H45" s="13">
        <v>18</v>
      </c>
      <c r="I45" s="48">
        <f t="shared" si="24"/>
        <v>5</v>
      </c>
      <c r="J45" s="47">
        <f t="shared" ref="J45:J51" si="31">+E45*H45</f>
        <v>504</v>
      </c>
      <c r="K45" s="47">
        <f t="shared" ref="K45:K51" si="32">+I45*J45</f>
        <v>2520</v>
      </c>
      <c r="L45" s="371"/>
      <c r="N45" s="66">
        <f t="shared" si="19"/>
        <v>12.328767123287671</v>
      </c>
      <c r="O45" s="67">
        <f t="shared" si="20"/>
        <v>10</v>
      </c>
      <c r="P45" s="68">
        <f t="shared" si="25"/>
        <v>204.4</v>
      </c>
      <c r="Q45" s="68">
        <f t="shared" si="26"/>
        <v>252</v>
      </c>
      <c r="R45" s="69">
        <f t="shared" si="27"/>
        <v>204.4</v>
      </c>
      <c r="T45" s="70" t="str">
        <f>IFERROR(VLOOKUP(A45,VLOOKUPS!$A$3:$D$31,2,0),"Ander")</f>
        <v>Ander</v>
      </c>
      <c r="U45" s="71">
        <f t="shared" si="28"/>
        <v>0</v>
      </c>
      <c r="V45" s="71">
        <f t="shared" si="29"/>
        <v>2520</v>
      </c>
    </row>
    <row r="46" spans="1:22" x14ac:dyDescent="0.25">
      <c r="A46" s="9"/>
      <c r="B46" s="10"/>
      <c r="C46" s="11"/>
      <c r="D46" s="46">
        <f t="shared" si="23"/>
        <v>0</v>
      </c>
      <c r="E46" s="12"/>
      <c r="F46" s="47">
        <f t="shared" si="30"/>
        <v>0</v>
      </c>
      <c r="G46" s="374"/>
      <c r="H46" s="13"/>
      <c r="I46" s="48">
        <f t="shared" si="24"/>
        <v>0</v>
      </c>
      <c r="J46" s="47">
        <f t="shared" si="31"/>
        <v>0</v>
      </c>
      <c r="K46" s="47">
        <f t="shared" si="32"/>
        <v>0</v>
      </c>
      <c r="L46" s="371"/>
      <c r="N46" s="66">
        <f t="shared" si="19"/>
        <v>0</v>
      </c>
      <c r="O46" s="67">
        <f t="shared" si="20"/>
        <v>0</v>
      </c>
      <c r="P46" s="68">
        <f t="shared" si="25"/>
        <v>0</v>
      </c>
      <c r="Q46" s="68">
        <f t="shared" si="26"/>
        <v>0</v>
      </c>
      <c r="R46" s="69">
        <f t="shared" si="27"/>
        <v>0</v>
      </c>
      <c r="T46" s="70" t="str">
        <f>IFERROR(VLOOKUP(A46,VLOOKUPS!$A$3:$D$31,2,0),"Ander")</f>
        <v>Ander</v>
      </c>
      <c r="U46" s="71">
        <f t="shared" si="28"/>
        <v>0</v>
      </c>
      <c r="V46" s="71">
        <f t="shared" si="29"/>
        <v>0</v>
      </c>
    </row>
    <row r="47" spans="1:22" x14ac:dyDescent="0.25">
      <c r="A47" s="9"/>
      <c r="B47" s="10"/>
      <c r="C47" s="11"/>
      <c r="D47" s="46">
        <f t="shared" si="23"/>
        <v>0</v>
      </c>
      <c r="E47" s="12"/>
      <c r="F47" s="47">
        <f t="shared" si="30"/>
        <v>0</v>
      </c>
      <c r="G47" s="374"/>
      <c r="H47" s="13"/>
      <c r="I47" s="48">
        <f t="shared" si="24"/>
        <v>0</v>
      </c>
      <c r="J47" s="47">
        <f t="shared" si="31"/>
        <v>0</v>
      </c>
      <c r="K47" s="47">
        <f t="shared" si="32"/>
        <v>0</v>
      </c>
      <c r="L47" s="371"/>
      <c r="N47" s="66"/>
      <c r="O47" s="67"/>
      <c r="P47" s="68"/>
      <c r="Q47" s="68"/>
      <c r="R47" s="69"/>
      <c r="T47" s="70" t="str">
        <f>IFERROR(VLOOKUP(A47,VLOOKUPS!$A$3:$D$31,2,0),"Ander")</f>
        <v>Ander</v>
      </c>
      <c r="U47" s="71">
        <f t="shared" si="28"/>
        <v>0</v>
      </c>
      <c r="V47" s="71">
        <f t="shared" si="29"/>
        <v>0</v>
      </c>
    </row>
    <row r="48" spans="1:22" x14ac:dyDescent="0.25">
      <c r="A48" s="9"/>
      <c r="B48" s="10"/>
      <c r="C48" s="11"/>
      <c r="D48" s="46">
        <f t="shared" si="23"/>
        <v>0</v>
      </c>
      <c r="E48" s="12"/>
      <c r="F48" s="47">
        <f t="shared" si="30"/>
        <v>0</v>
      </c>
      <c r="G48" s="374"/>
      <c r="H48" s="13"/>
      <c r="I48" s="48">
        <f t="shared" si="24"/>
        <v>0</v>
      </c>
      <c r="J48" s="47">
        <f t="shared" si="31"/>
        <v>0</v>
      </c>
      <c r="K48" s="47">
        <f t="shared" si="32"/>
        <v>0</v>
      </c>
      <c r="L48" s="371"/>
      <c r="N48" s="66"/>
      <c r="O48" s="67"/>
      <c r="P48" s="68"/>
      <c r="Q48" s="68"/>
      <c r="R48" s="69"/>
      <c r="T48" s="70" t="str">
        <f>IFERROR(VLOOKUP(A48,VLOOKUPS!$A$3:$D$31,2,0),"Ander")</f>
        <v>Ander</v>
      </c>
      <c r="U48" s="71">
        <f t="shared" si="28"/>
        <v>0</v>
      </c>
      <c r="V48" s="71">
        <f t="shared" si="29"/>
        <v>0</v>
      </c>
    </row>
    <row r="49" spans="1:22" x14ac:dyDescent="0.25">
      <c r="A49" s="9"/>
      <c r="B49" s="10"/>
      <c r="C49" s="11"/>
      <c r="D49" s="46">
        <f t="shared" si="23"/>
        <v>0</v>
      </c>
      <c r="E49" s="12"/>
      <c r="F49" s="47">
        <f t="shared" si="30"/>
        <v>0</v>
      </c>
      <c r="G49" s="374"/>
      <c r="H49" s="13"/>
      <c r="I49" s="48">
        <f t="shared" si="24"/>
        <v>0</v>
      </c>
      <c r="J49" s="47">
        <f t="shared" si="31"/>
        <v>0</v>
      </c>
      <c r="K49" s="47">
        <f t="shared" si="32"/>
        <v>0</v>
      </c>
      <c r="L49" s="371"/>
      <c r="N49" s="66">
        <f t="shared" si="19"/>
        <v>0</v>
      </c>
      <c r="O49" s="67">
        <f t="shared" si="20"/>
        <v>0</v>
      </c>
      <c r="P49" s="68">
        <f t="shared" si="25"/>
        <v>0</v>
      </c>
      <c r="Q49" s="68">
        <f t="shared" si="26"/>
        <v>0</v>
      </c>
      <c r="R49" s="69">
        <f t="shared" si="27"/>
        <v>0</v>
      </c>
      <c r="T49" s="70" t="str">
        <f>IFERROR(VLOOKUP(A49,VLOOKUPS!$A$3:$D$31,2,0),"Ander")</f>
        <v>Ander</v>
      </c>
      <c r="U49" s="71">
        <f t="shared" si="28"/>
        <v>0</v>
      </c>
      <c r="V49" s="71">
        <f t="shared" si="29"/>
        <v>0</v>
      </c>
    </row>
    <row r="50" spans="1:22" x14ac:dyDescent="0.25">
      <c r="A50" s="9"/>
      <c r="B50" s="10"/>
      <c r="C50" s="11"/>
      <c r="D50" s="46">
        <f t="shared" si="23"/>
        <v>0</v>
      </c>
      <c r="E50" s="12"/>
      <c r="F50" s="47">
        <f t="shared" si="30"/>
        <v>0</v>
      </c>
      <c r="G50" s="374"/>
      <c r="H50" s="13"/>
      <c r="I50" s="48">
        <f t="shared" si="24"/>
        <v>0</v>
      </c>
      <c r="J50" s="47">
        <f t="shared" si="31"/>
        <v>0</v>
      </c>
      <c r="K50" s="47">
        <f t="shared" si="32"/>
        <v>0</v>
      </c>
      <c r="L50" s="371"/>
      <c r="N50" s="66">
        <f t="shared" si="19"/>
        <v>0</v>
      </c>
      <c r="O50" s="67">
        <f t="shared" si="20"/>
        <v>0</v>
      </c>
      <c r="P50" s="68">
        <f t="shared" si="25"/>
        <v>0</v>
      </c>
      <c r="Q50" s="68">
        <f t="shared" si="26"/>
        <v>0</v>
      </c>
      <c r="R50" s="69">
        <f t="shared" si="27"/>
        <v>0</v>
      </c>
      <c r="T50" s="70" t="str">
        <f>IFERROR(VLOOKUP(A50,VLOOKUPS!$A$3:$D$31,2,0),"Ander")</f>
        <v>Ander</v>
      </c>
      <c r="U50" s="71">
        <f t="shared" si="28"/>
        <v>0</v>
      </c>
      <c r="V50" s="71">
        <f t="shared" si="29"/>
        <v>0</v>
      </c>
    </row>
    <row r="51" spans="1:22" ht="15.75" thickBot="1" x14ac:dyDescent="0.3">
      <c r="A51" s="14"/>
      <c r="B51" s="15"/>
      <c r="C51" s="16"/>
      <c r="D51" s="49">
        <f t="shared" si="23"/>
        <v>0</v>
      </c>
      <c r="E51" s="17"/>
      <c r="F51" s="50">
        <f t="shared" si="30"/>
        <v>0</v>
      </c>
      <c r="G51" s="375"/>
      <c r="H51" s="18"/>
      <c r="I51" s="51">
        <f t="shared" si="24"/>
        <v>0</v>
      </c>
      <c r="J51" s="50">
        <f t="shared" si="31"/>
        <v>0</v>
      </c>
      <c r="K51" s="50">
        <f t="shared" si="32"/>
        <v>0</v>
      </c>
      <c r="L51" s="372"/>
      <c r="N51" s="66">
        <f t="shared" si="19"/>
        <v>0</v>
      </c>
      <c r="O51" s="67">
        <f t="shared" si="20"/>
        <v>0</v>
      </c>
      <c r="P51" s="68">
        <f t="shared" si="25"/>
        <v>0</v>
      </c>
      <c r="Q51" s="68">
        <f t="shared" si="26"/>
        <v>0</v>
      </c>
      <c r="R51" s="69">
        <f t="shared" si="27"/>
        <v>0</v>
      </c>
      <c r="T51" s="70" t="str">
        <f>IFERROR(VLOOKUP(A51,VLOOKUPS!$A$3:$D$31,2,0),"Ander")</f>
        <v>Ander</v>
      </c>
      <c r="U51" s="71">
        <f t="shared" si="28"/>
        <v>0</v>
      </c>
      <c r="V51" s="71">
        <f t="shared" si="29"/>
        <v>0</v>
      </c>
    </row>
    <row r="52" spans="1:22" ht="15.75" thickBot="1" x14ac:dyDescent="0.3">
      <c r="N52" s="66"/>
      <c r="O52" s="67"/>
      <c r="P52" s="68"/>
      <c r="Q52" s="68"/>
      <c r="R52" s="69"/>
      <c r="U52" s="72">
        <f>SUM(U44:U51)</f>
        <v>0</v>
      </c>
      <c r="V52" s="72">
        <f>SUM(V44:V51)</f>
        <v>4080</v>
      </c>
    </row>
    <row r="53" spans="1:22" ht="18.75" thickTop="1" thickBot="1" x14ac:dyDescent="0.3">
      <c r="A53" s="412" t="s">
        <v>64</v>
      </c>
      <c r="B53" s="413"/>
      <c r="C53" s="413"/>
      <c r="D53" s="413"/>
      <c r="E53" s="413"/>
      <c r="F53" s="413"/>
      <c r="G53" s="413"/>
      <c r="H53" s="413"/>
      <c r="I53" s="413"/>
      <c r="J53" s="413"/>
      <c r="K53" s="413"/>
      <c r="L53" s="414"/>
      <c r="N53" s="66"/>
      <c r="O53" s="67"/>
      <c r="P53" s="68"/>
      <c r="Q53" s="68"/>
      <c r="R53" s="69"/>
      <c r="U53" s="71"/>
      <c r="V53" s="71"/>
    </row>
    <row r="54" spans="1:22" ht="43.5" thickBot="1" x14ac:dyDescent="0.3">
      <c r="A54" s="37" t="s">
        <v>1</v>
      </c>
      <c r="B54" s="38" t="s">
        <v>62</v>
      </c>
      <c r="C54" s="39" t="s">
        <v>2</v>
      </c>
      <c r="D54" s="40" t="s">
        <v>93</v>
      </c>
      <c r="E54" s="39" t="s">
        <v>61</v>
      </c>
      <c r="F54" s="40" t="s">
        <v>94</v>
      </c>
      <c r="G54" s="41" t="s">
        <v>60</v>
      </c>
      <c r="H54" s="39" t="s">
        <v>59</v>
      </c>
      <c r="I54" s="103" t="s">
        <v>56</v>
      </c>
      <c r="J54" s="40" t="s">
        <v>57</v>
      </c>
      <c r="K54" s="40" t="s">
        <v>58</v>
      </c>
      <c r="L54" s="42" t="s">
        <v>0</v>
      </c>
      <c r="N54" s="66"/>
      <c r="O54" s="67"/>
      <c r="P54" s="68"/>
      <c r="Q54" s="68"/>
      <c r="R54" s="69"/>
      <c r="U54" s="71"/>
      <c r="V54" s="71"/>
    </row>
    <row r="55" spans="1:22" x14ac:dyDescent="0.25">
      <c r="A55" s="4" t="s">
        <v>1</v>
      </c>
      <c r="B55" s="5">
        <v>2</v>
      </c>
      <c r="C55" s="6">
        <v>1</v>
      </c>
      <c r="D55" s="43">
        <f>+L18*B55*C55</f>
        <v>20</v>
      </c>
      <c r="E55" s="7">
        <v>69</v>
      </c>
      <c r="F55" s="44">
        <f>+B55*C55*E55</f>
        <v>138</v>
      </c>
      <c r="G55" s="373">
        <f>SUM(F55:F64)</f>
        <v>313.20000000000005</v>
      </c>
      <c r="H55" s="8">
        <v>20</v>
      </c>
      <c r="I55" s="45">
        <f t="shared" ref="I55:I64" si="33">+IFERROR(ROUNDUP(D55/H55,0),0)</f>
        <v>1</v>
      </c>
      <c r="J55" s="44">
        <f>+E55*H55</f>
        <v>1380</v>
      </c>
      <c r="K55" s="44">
        <f>+I55*J55</f>
        <v>1380</v>
      </c>
      <c r="L55" s="370">
        <f>SUM(K55:K64)</f>
        <v>5540</v>
      </c>
      <c r="N55" s="66">
        <f t="shared" si="19"/>
        <v>10</v>
      </c>
      <c r="O55" s="67">
        <f t="shared" si="20"/>
        <v>10</v>
      </c>
      <c r="P55" s="68">
        <f t="shared" ref="P55:P64" si="34">+IFERROR(K55/N55,0)</f>
        <v>138</v>
      </c>
      <c r="Q55" s="68">
        <f t="shared" ref="Q55:Q64" si="35">+IFERROR(K55/O55,0)</f>
        <v>138</v>
      </c>
      <c r="R55" s="69">
        <f t="shared" ref="R55:R64" si="36">+B55*C55*E55</f>
        <v>138</v>
      </c>
      <c r="T55" s="70" t="str">
        <f>IFERROR(VLOOKUP(A55,VLOOKUPS!$A$3:$D$31,2,0),"Ander")</f>
        <v>Ander</v>
      </c>
      <c r="U55" s="71">
        <f t="shared" ref="U55:U64" si="37">IF(T55="Syngenta",K55,0)</f>
        <v>0</v>
      </c>
      <c r="V55" s="71">
        <f t="shared" ref="V55:V64" si="38">IF(T55="Ander",K55,0)</f>
        <v>1380</v>
      </c>
    </row>
    <row r="56" spans="1:22" x14ac:dyDescent="0.25">
      <c r="A56" s="9" t="s">
        <v>1</v>
      </c>
      <c r="B56" s="10">
        <v>0.6</v>
      </c>
      <c r="C56" s="11">
        <f>+C55</f>
        <v>1</v>
      </c>
      <c r="D56" s="46">
        <f>+L18*B56*C56</f>
        <v>6</v>
      </c>
      <c r="E56" s="12">
        <v>148</v>
      </c>
      <c r="F56" s="47">
        <f t="shared" ref="F56:F64" si="39">+B56*C56*E56</f>
        <v>88.8</v>
      </c>
      <c r="G56" s="374"/>
      <c r="H56" s="13">
        <v>20</v>
      </c>
      <c r="I56" s="48">
        <f t="shared" si="33"/>
        <v>1</v>
      </c>
      <c r="J56" s="47">
        <f t="shared" ref="J56:J64" si="40">+E56*H56</f>
        <v>2960</v>
      </c>
      <c r="K56" s="47">
        <f t="shared" ref="K56:K64" si="41">+I56*J56</f>
        <v>2960</v>
      </c>
      <c r="L56" s="371"/>
      <c r="N56" s="66">
        <f t="shared" si="19"/>
        <v>33.333333333333336</v>
      </c>
      <c r="O56" s="67">
        <f t="shared" si="20"/>
        <v>10</v>
      </c>
      <c r="P56" s="68">
        <f t="shared" si="34"/>
        <v>88.8</v>
      </c>
      <c r="Q56" s="68">
        <f t="shared" si="35"/>
        <v>296</v>
      </c>
      <c r="R56" s="69">
        <f t="shared" si="36"/>
        <v>88.8</v>
      </c>
      <c r="T56" s="70" t="str">
        <f>IFERROR(VLOOKUP(A56,VLOOKUPS!$A$3:$D$31,2,0),"Ander")</f>
        <v>Ander</v>
      </c>
      <c r="U56" s="71">
        <f t="shared" si="37"/>
        <v>0</v>
      </c>
      <c r="V56" s="71">
        <f t="shared" si="38"/>
        <v>2960</v>
      </c>
    </row>
    <row r="57" spans="1:22" x14ac:dyDescent="0.25">
      <c r="A57" s="9" t="s">
        <v>1</v>
      </c>
      <c r="B57" s="10">
        <v>1.8</v>
      </c>
      <c r="C57" s="11">
        <v>1</v>
      </c>
      <c r="D57" s="46">
        <f>L18*B57*C57</f>
        <v>18</v>
      </c>
      <c r="E57" s="12">
        <v>48</v>
      </c>
      <c r="F57" s="47">
        <f t="shared" si="39"/>
        <v>86.4</v>
      </c>
      <c r="G57" s="374"/>
      <c r="H57" s="13">
        <v>25</v>
      </c>
      <c r="I57" s="48">
        <f t="shared" si="33"/>
        <v>1</v>
      </c>
      <c r="J57" s="47">
        <f t="shared" si="40"/>
        <v>1200</v>
      </c>
      <c r="K57" s="47">
        <f t="shared" si="41"/>
        <v>1200</v>
      </c>
      <c r="L57" s="371"/>
      <c r="N57" s="66">
        <f t="shared" si="19"/>
        <v>13.888888888888889</v>
      </c>
      <c r="O57" s="67">
        <f t="shared" si="20"/>
        <v>10</v>
      </c>
      <c r="P57" s="68">
        <f t="shared" si="34"/>
        <v>86.399999999999991</v>
      </c>
      <c r="Q57" s="68">
        <f t="shared" si="35"/>
        <v>120</v>
      </c>
      <c r="R57" s="69">
        <f t="shared" si="36"/>
        <v>86.4</v>
      </c>
      <c r="T57" s="70" t="str">
        <f>IFERROR(VLOOKUP(A57,VLOOKUPS!$A$3:$D$31,2,0),"Ander")</f>
        <v>Ander</v>
      </c>
      <c r="U57" s="71">
        <f t="shared" si="37"/>
        <v>0</v>
      </c>
      <c r="V57" s="71">
        <f t="shared" si="38"/>
        <v>1200</v>
      </c>
    </row>
    <row r="58" spans="1:22" x14ac:dyDescent="0.25">
      <c r="A58" s="9"/>
      <c r="B58" s="10"/>
      <c r="C58" s="11"/>
      <c r="D58" s="46">
        <f>L18*B58*C58</f>
        <v>0</v>
      </c>
      <c r="E58" s="12"/>
      <c r="F58" s="47">
        <f t="shared" si="39"/>
        <v>0</v>
      </c>
      <c r="G58" s="374"/>
      <c r="H58" s="13"/>
      <c r="I58" s="48">
        <f t="shared" si="33"/>
        <v>0</v>
      </c>
      <c r="J58" s="47">
        <f t="shared" si="40"/>
        <v>0</v>
      </c>
      <c r="K58" s="47">
        <f t="shared" si="41"/>
        <v>0</v>
      </c>
      <c r="L58" s="371"/>
      <c r="N58" s="66"/>
      <c r="O58" s="67"/>
      <c r="P58" s="68"/>
      <c r="Q58" s="68"/>
      <c r="R58" s="69"/>
      <c r="T58" s="70" t="str">
        <f>IFERROR(VLOOKUP(A58,VLOOKUPS!$A$3:$D$31,2,0),"Ander")</f>
        <v>Ander</v>
      </c>
      <c r="U58" s="71">
        <f t="shared" si="37"/>
        <v>0</v>
      </c>
      <c r="V58" s="71">
        <f t="shared" si="38"/>
        <v>0</v>
      </c>
    </row>
    <row r="59" spans="1:22" x14ac:dyDescent="0.25">
      <c r="A59" s="9"/>
      <c r="B59" s="10"/>
      <c r="C59" s="11"/>
      <c r="D59" s="46">
        <f>L18*B59*C59</f>
        <v>0</v>
      </c>
      <c r="E59" s="12"/>
      <c r="F59" s="47">
        <f t="shared" si="39"/>
        <v>0</v>
      </c>
      <c r="G59" s="374"/>
      <c r="H59" s="13"/>
      <c r="I59" s="48">
        <f t="shared" si="33"/>
        <v>0</v>
      </c>
      <c r="J59" s="47">
        <f t="shared" si="40"/>
        <v>0</v>
      </c>
      <c r="K59" s="47">
        <f t="shared" si="41"/>
        <v>0</v>
      </c>
      <c r="L59" s="371"/>
      <c r="N59" s="66"/>
      <c r="O59" s="67"/>
      <c r="P59" s="68"/>
      <c r="Q59" s="68"/>
      <c r="R59" s="69"/>
      <c r="T59" s="70" t="str">
        <f>IFERROR(VLOOKUP(A59,VLOOKUPS!$A$3:$D$31,2,0),"Ander")</f>
        <v>Ander</v>
      </c>
      <c r="U59" s="71">
        <f t="shared" si="37"/>
        <v>0</v>
      </c>
      <c r="V59" s="71">
        <f t="shared" si="38"/>
        <v>0</v>
      </c>
    </row>
    <row r="60" spans="1:22" x14ac:dyDescent="0.25">
      <c r="A60" s="9"/>
      <c r="B60" s="10"/>
      <c r="C60" s="11"/>
      <c r="D60" s="46">
        <f t="shared" ref="D60:D61" si="42">L19*B60*C60</f>
        <v>0</v>
      </c>
      <c r="E60" s="12"/>
      <c r="F60" s="47">
        <f t="shared" si="39"/>
        <v>0</v>
      </c>
      <c r="G60" s="374"/>
      <c r="H60" s="13"/>
      <c r="I60" s="48">
        <f t="shared" si="33"/>
        <v>0</v>
      </c>
      <c r="J60" s="47">
        <f t="shared" si="40"/>
        <v>0</v>
      </c>
      <c r="K60" s="47">
        <f t="shared" si="41"/>
        <v>0</v>
      </c>
      <c r="L60" s="371"/>
      <c r="N60" s="66"/>
      <c r="O60" s="67"/>
      <c r="P60" s="68"/>
      <c r="Q60" s="68"/>
      <c r="R60" s="69"/>
      <c r="T60" s="70" t="str">
        <f>IFERROR(VLOOKUP(A60,VLOOKUPS!$A$3:$D$31,2,0),"Ander")</f>
        <v>Ander</v>
      </c>
      <c r="U60" s="71">
        <f t="shared" si="37"/>
        <v>0</v>
      </c>
      <c r="V60" s="71">
        <f t="shared" si="38"/>
        <v>0</v>
      </c>
    </row>
    <row r="61" spans="1:22" x14ac:dyDescent="0.25">
      <c r="A61" s="9"/>
      <c r="B61" s="10"/>
      <c r="C61" s="11"/>
      <c r="D61" s="46">
        <f t="shared" si="42"/>
        <v>0</v>
      </c>
      <c r="E61" s="12"/>
      <c r="F61" s="47">
        <f t="shared" si="39"/>
        <v>0</v>
      </c>
      <c r="G61" s="374"/>
      <c r="H61" s="13"/>
      <c r="I61" s="48">
        <f t="shared" si="33"/>
        <v>0</v>
      </c>
      <c r="J61" s="47">
        <f t="shared" si="40"/>
        <v>0</v>
      </c>
      <c r="K61" s="47">
        <f t="shared" si="41"/>
        <v>0</v>
      </c>
      <c r="L61" s="371"/>
      <c r="N61" s="66"/>
      <c r="O61" s="67"/>
      <c r="P61" s="68"/>
      <c r="Q61" s="68"/>
      <c r="R61" s="69"/>
      <c r="T61" s="70" t="str">
        <f>IFERROR(VLOOKUP(A61,VLOOKUPS!$A$3:$D$31,2,0),"Ander")</f>
        <v>Ander</v>
      </c>
      <c r="U61" s="71">
        <f t="shared" si="37"/>
        <v>0</v>
      </c>
      <c r="V61" s="71">
        <f t="shared" si="38"/>
        <v>0</v>
      </c>
    </row>
    <row r="62" spans="1:22" x14ac:dyDescent="0.25">
      <c r="A62" s="9"/>
      <c r="B62" s="10"/>
      <c r="C62" s="11"/>
      <c r="D62" s="46">
        <f>L18*B62*C62</f>
        <v>0</v>
      </c>
      <c r="E62" s="12"/>
      <c r="F62" s="47">
        <f t="shared" si="39"/>
        <v>0</v>
      </c>
      <c r="G62" s="374"/>
      <c r="H62" s="13"/>
      <c r="I62" s="48">
        <f t="shared" si="33"/>
        <v>0</v>
      </c>
      <c r="J62" s="47">
        <f t="shared" si="40"/>
        <v>0</v>
      </c>
      <c r="K62" s="47">
        <f t="shared" si="41"/>
        <v>0</v>
      </c>
      <c r="L62" s="371"/>
      <c r="N62" s="66">
        <f t="shared" si="19"/>
        <v>0</v>
      </c>
      <c r="O62" s="67">
        <f t="shared" si="20"/>
        <v>0</v>
      </c>
      <c r="P62" s="68">
        <f t="shared" si="34"/>
        <v>0</v>
      </c>
      <c r="Q62" s="68">
        <f t="shared" si="35"/>
        <v>0</v>
      </c>
      <c r="R62" s="69">
        <f t="shared" si="36"/>
        <v>0</v>
      </c>
      <c r="T62" s="70" t="str">
        <f>IFERROR(VLOOKUP(A62,VLOOKUPS!$A$3:$D$31,2,0),"Ander")</f>
        <v>Ander</v>
      </c>
      <c r="U62" s="71">
        <f t="shared" si="37"/>
        <v>0</v>
      </c>
      <c r="V62" s="71">
        <f t="shared" si="38"/>
        <v>0</v>
      </c>
    </row>
    <row r="63" spans="1:22" x14ac:dyDescent="0.25">
      <c r="A63" s="9"/>
      <c r="B63" s="10"/>
      <c r="C63" s="11"/>
      <c r="D63" s="46">
        <f>L18*B63*C63</f>
        <v>0</v>
      </c>
      <c r="E63" s="12"/>
      <c r="F63" s="47">
        <f t="shared" si="39"/>
        <v>0</v>
      </c>
      <c r="G63" s="374"/>
      <c r="H63" s="13"/>
      <c r="I63" s="48">
        <f t="shared" si="33"/>
        <v>0</v>
      </c>
      <c r="J63" s="47">
        <f t="shared" si="40"/>
        <v>0</v>
      </c>
      <c r="K63" s="47">
        <f t="shared" si="41"/>
        <v>0</v>
      </c>
      <c r="L63" s="371"/>
      <c r="N63" s="66">
        <f t="shared" si="19"/>
        <v>0</v>
      </c>
      <c r="O63" s="67">
        <f t="shared" si="20"/>
        <v>0</v>
      </c>
      <c r="P63" s="68">
        <f t="shared" si="34"/>
        <v>0</v>
      </c>
      <c r="Q63" s="68">
        <f t="shared" si="35"/>
        <v>0</v>
      </c>
      <c r="R63" s="69">
        <f t="shared" si="36"/>
        <v>0</v>
      </c>
      <c r="T63" s="70" t="str">
        <f>IFERROR(VLOOKUP(A63,VLOOKUPS!$A$3:$D$31,2,0),"Ander")</f>
        <v>Ander</v>
      </c>
      <c r="U63" s="71">
        <f t="shared" si="37"/>
        <v>0</v>
      </c>
      <c r="V63" s="71">
        <f t="shared" si="38"/>
        <v>0</v>
      </c>
    </row>
    <row r="64" spans="1:22" ht="15.75" thickBot="1" x14ac:dyDescent="0.3">
      <c r="A64" s="14"/>
      <c r="B64" s="15"/>
      <c r="C64" s="16"/>
      <c r="D64" s="49">
        <f>L18*B64*C64</f>
        <v>0</v>
      </c>
      <c r="E64" s="17"/>
      <c r="F64" s="50">
        <f t="shared" si="39"/>
        <v>0</v>
      </c>
      <c r="G64" s="375"/>
      <c r="H64" s="18"/>
      <c r="I64" s="51">
        <f t="shared" si="33"/>
        <v>0</v>
      </c>
      <c r="J64" s="50">
        <f t="shared" si="40"/>
        <v>0</v>
      </c>
      <c r="K64" s="50">
        <f t="shared" si="41"/>
        <v>0</v>
      </c>
      <c r="L64" s="372"/>
      <c r="N64" s="66">
        <f t="shared" si="19"/>
        <v>0</v>
      </c>
      <c r="O64" s="67">
        <f t="shared" si="20"/>
        <v>0</v>
      </c>
      <c r="P64" s="68">
        <f t="shared" si="34"/>
        <v>0</v>
      </c>
      <c r="Q64" s="68">
        <f t="shared" si="35"/>
        <v>0</v>
      </c>
      <c r="R64" s="69">
        <f t="shared" si="36"/>
        <v>0</v>
      </c>
      <c r="T64" s="70" t="str">
        <f>IFERROR(VLOOKUP(A64,VLOOKUPS!$A$3:$D$31,2,0),"Ander")</f>
        <v>Ander</v>
      </c>
      <c r="U64" s="71">
        <f t="shared" si="37"/>
        <v>0</v>
      </c>
      <c r="V64" s="71">
        <f t="shared" si="38"/>
        <v>0</v>
      </c>
    </row>
    <row r="65" spans="1:22" ht="15.75" thickBot="1" x14ac:dyDescent="0.3">
      <c r="N65" s="66"/>
      <c r="O65" s="67"/>
      <c r="P65" s="68"/>
      <c r="Q65" s="68"/>
      <c r="R65" s="69"/>
      <c r="U65" s="72">
        <f>SUM(U55:U64)</f>
        <v>0</v>
      </c>
      <c r="V65" s="72">
        <f>SUM(V55:V64)</f>
        <v>5540</v>
      </c>
    </row>
    <row r="66" spans="1:22" ht="18.75" thickTop="1" thickBot="1" x14ac:dyDescent="0.35">
      <c r="A66" s="409" t="s">
        <v>67</v>
      </c>
      <c r="B66" s="410"/>
      <c r="C66" s="410"/>
      <c r="D66" s="410"/>
      <c r="E66" s="410"/>
      <c r="F66" s="410"/>
      <c r="G66" s="410"/>
      <c r="H66" s="410"/>
      <c r="I66" s="410"/>
      <c r="J66" s="410"/>
      <c r="K66" s="410"/>
      <c r="L66" s="411"/>
      <c r="N66" s="66"/>
      <c r="O66" s="67"/>
      <c r="P66" s="68"/>
      <c r="Q66" s="68"/>
      <c r="R66" s="69"/>
      <c r="U66" s="71"/>
      <c r="V66" s="71"/>
    </row>
    <row r="67" spans="1:22" ht="43.5" thickBot="1" x14ac:dyDescent="0.3">
      <c r="A67" s="37" t="s">
        <v>1</v>
      </c>
      <c r="B67" s="38" t="s">
        <v>62</v>
      </c>
      <c r="C67" s="39" t="s">
        <v>2</v>
      </c>
      <c r="D67" s="40" t="s">
        <v>93</v>
      </c>
      <c r="E67" s="39" t="s">
        <v>61</v>
      </c>
      <c r="F67" s="40" t="s">
        <v>94</v>
      </c>
      <c r="G67" s="41" t="s">
        <v>60</v>
      </c>
      <c r="H67" s="39" t="s">
        <v>59</v>
      </c>
      <c r="I67" s="103" t="s">
        <v>56</v>
      </c>
      <c r="J67" s="40" t="s">
        <v>57</v>
      </c>
      <c r="K67" s="40" t="s">
        <v>58</v>
      </c>
      <c r="L67" s="42" t="s">
        <v>0</v>
      </c>
      <c r="N67" s="66"/>
      <c r="O67" s="67"/>
      <c r="P67" s="68"/>
      <c r="Q67" s="68"/>
      <c r="R67" s="69"/>
      <c r="U67" s="71"/>
      <c r="V67" s="71"/>
    </row>
    <row r="68" spans="1:22" x14ac:dyDescent="0.25">
      <c r="A68" s="4" t="s">
        <v>1</v>
      </c>
      <c r="B68" s="5">
        <v>0.5</v>
      </c>
      <c r="C68" s="6">
        <v>1</v>
      </c>
      <c r="D68" s="43">
        <f>+L18*B68*C68</f>
        <v>5</v>
      </c>
      <c r="E68" s="7">
        <v>250</v>
      </c>
      <c r="F68" s="44">
        <f>+B68*C68*E68</f>
        <v>125</v>
      </c>
      <c r="G68" s="373">
        <f>SUM(F68:F71)</f>
        <v>125</v>
      </c>
      <c r="H68" s="8">
        <v>5</v>
      </c>
      <c r="I68" s="45">
        <f t="shared" ref="I68:I71" si="43">+IFERROR(ROUNDUP(D68/H68,0),0)</f>
        <v>1</v>
      </c>
      <c r="J68" s="44">
        <f>+E68*H68</f>
        <v>1250</v>
      </c>
      <c r="K68" s="44">
        <f>+I68*J68</f>
        <v>1250</v>
      </c>
      <c r="L68" s="370">
        <f>SUM(K68:K71)</f>
        <v>1250</v>
      </c>
      <c r="N68" s="66">
        <f t="shared" si="19"/>
        <v>10</v>
      </c>
      <c r="O68" s="67">
        <f t="shared" si="20"/>
        <v>10</v>
      </c>
      <c r="P68" s="68">
        <f t="shared" ref="P68:P71" si="44">+IFERROR(K68/N68,0)</f>
        <v>125</v>
      </c>
      <c r="Q68" s="68">
        <f t="shared" ref="Q68:Q71" si="45">+IFERROR(K68/O68,0)</f>
        <v>125</v>
      </c>
      <c r="R68" s="69">
        <f t="shared" ref="R68:R71" si="46">+B68*C68*E68</f>
        <v>125</v>
      </c>
      <c r="T68" s="70" t="str">
        <f>IFERROR(VLOOKUP(A68,VLOOKUPS!$A$3:$D$31,2,0),"Ander")</f>
        <v>Ander</v>
      </c>
      <c r="U68" s="71">
        <f t="shared" ref="U68:U71" si="47">IF(T68="Syngenta",K68,0)</f>
        <v>0</v>
      </c>
      <c r="V68" s="71">
        <f t="shared" ref="V68:V71" si="48">IF(T68="Ander",K68,0)</f>
        <v>1250</v>
      </c>
    </row>
    <row r="69" spans="1:22" x14ac:dyDescent="0.25">
      <c r="A69" s="9"/>
      <c r="B69" s="10"/>
      <c r="C69" s="11"/>
      <c r="D69" s="46">
        <f>+L18*B69*C69</f>
        <v>0</v>
      </c>
      <c r="E69" s="12"/>
      <c r="F69" s="47">
        <f t="shared" ref="F69:F71" si="49">+B69*C69*E69</f>
        <v>0</v>
      </c>
      <c r="G69" s="374"/>
      <c r="H69" s="13"/>
      <c r="I69" s="48">
        <f t="shared" si="43"/>
        <v>0</v>
      </c>
      <c r="J69" s="47">
        <f t="shared" ref="J69:J71" si="50">+E69*H69</f>
        <v>0</v>
      </c>
      <c r="K69" s="47">
        <f t="shared" ref="K69:K71" si="51">+I69*J69</f>
        <v>0</v>
      </c>
      <c r="L69" s="371"/>
      <c r="N69" s="66">
        <f t="shared" si="19"/>
        <v>0</v>
      </c>
      <c r="O69" s="67">
        <f t="shared" si="20"/>
        <v>0</v>
      </c>
      <c r="P69" s="68">
        <f t="shared" si="44"/>
        <v>0</v>
      </c>
      <c r="Q69" s="68">
        <f t="shared" si="45"/>
        <v>0</v>
      </c>
      <c r="R69" s="69">
        <f t="shared" si="46"/>
        <v>0</v>
      </c>
      <c r="T69" s="70" t="str">
        <f>IFERROR(VLOOKUP(A69,VLOOKUPS!$A$3:$D$31,2,0),"Ander")</f>
        <v>Ander</v>
      </c>
      <c r="U69" s="71">
        <f t="shared" si="47"/>
        <v>0</v>
      </c>
      <c r="V69" s="71">
        <f t="shared" si="48"/>
        <v>0</v>
      </c>
    </row>
    <row r="70" spans="1:22" x14ac:dyDescent="0.25">
      <c r="A70" s="9"/>
      <c r="B70" s="10"/>
      <c r="C70" s="11"/>
      <c r="D70" s="46">
        <f>L18*B70*C70</f>
        <v>0</v>
      </c>
      <c r="E70" s="12"/>
      <c r="F70" s="47">
        <f t="shared" si="49"/>
        <v>0</v>
      </c>
      <c r="G70" s="374"/>
      <c r="H70" s="13"/>
      <c r="I70" s="48">
        <f t="shared" si="43"/>
        <v>0</v>
      </c>
      <c r="J70" s="47">
        <f t="shared" si="50"/>
        <v>0</v>
      </c>
      <c r="K70" s="47">
        <f t="shared" si="51"/>
        <v>0</v>
      </c>
      <c r="L70" s="371"/>
      <c r="N70" s="66">
        <f t="shared" si="19"/>
        <v>0</v>
      </c>
      <c r="O70" s="67">
        <f t="shared" si="20"/>
        <v>0</v>
      </c>
      <c r="P70" s="68">
        <f t="shared" si="44"/>
        <v>0</v>
      </c>
      <c r="Q70" s="68">
        <f t="shared" si="45"/>
        <v>0</v>
      </c>
      <c r="R70" s="69">
        <f t="shared" si="46"/>
        <v>0</v>
      </c>
      <c r="T70" s="70" t="str">
        <f>IFERROR(VLOOKUP(A70,VLOOKUPS!$A$3:$D$31,2,0),"Ander")</f>
        <v>Ander</v>
      </c>
      <c r="U70" s="71">
        <f t="shared" si="47"/>
        <v>0</v>
      </c>
      <c r="V70" s="71">
        <f t="shared" si="48"/>
        <v>0</v>
      </c>
    </row>
    <row r="71" spans="1:22" ht="15.75" thickBot="1" x14ac:dyDescent="0.3">
      <c r="A71" s="14"/>
      <c r="B71" s="15"/>
      <c r="C71" s="16"/>
      <c r="D71" s="49">
        <f>+L18*B71*C71</f>
        <v>0</v>
      </c>
      <c r="E71" s="17"/>
      <c r="F71" s="50">
        <f t="shared" si="49"/>
        <v>0</v>
      </c>
      <c r="G71" s="375"/>
      <c r="H71" s="18"/>
      <c r="I71" s="51">
        <f t="shared" si="43"/>
        <v>0</v>
      </c>
      <c r="J71" s="50">
        <f t="shared" si="50"/>
        <v>0</v>
      </c>
      <c r="K71" s="50">
        <f t="shared" si="51"/>
        <v>0</v>
      </c>
      <c r="L71" s="372"/>
      <c r="N71" s="66">
        <f t="shared" si="19"/>
        <v>0</v>
      </c>
      <c r="O71" s="67">
        <f t="shared" si="20"/>
        <v>0</v>
      </c>
      <c r="P71" s="68">
        <f t="shared" si="44"/>
        <v>0</v>
      </c>
      <c r="Q71" s="68">
        <f t="shared" si="45"/>
        <v>0</v>
      </c>
      <c r="R71" s="69">
        <f t="shared" si="46"/>
        <v>0</v>
      </c>
      <c r="T71" s="70" t="str">
        <f>IFERROR(VLOOKUP(A71,VLOOKUPS!$A$3:$D$31,2,0),"Ander")</f>
        <v>Ander</v>
      </c>
      <c r="U71" s="71">
        <f t="shared" si="47"/>
        <v>0</v>
      </c>
      <c r="V71" s="71">
        <f t="shared" si="48"/>
        <v>0</v>
      </c>
    </row>
    <row r="72" spans="1:22" ht="15.75" thickBot="1" x14ac:dyDescent="0.3">
      <c r="U72" s="72">
        <f>SUM(U68:U71)</f>
        <v>0</v>
      </c>
      <c r="V72" s="72">
        <f>SUM(V68:V71)</f>
        <v>1250</v>
      </c>
    </row>
    <row r="73" spans="1:22" ht="15.75" thickTop="1" x14ac:dyDescent="0.25">
      <c r="U73" s="73"/>
      <c r="V73" s="73"/>
    </row>
    <row r="74" spans="1:22" ht="15" customHeight="1" thickBot="1" x14ac:dyDescent="0.3">
      <c r="B74" s="395" t="s">
        <v>89</v>
      </c>
      <c r="C74" s="396"/>
      <c r="D74" s="396"/>
      <c r="E74" s="396"/>
      <c r="F74" s="396"/>
      <c r="G74" s="396"/>
      <c r="H74" s="396"/>
      <c r="I74" s="396"/>
      <c r="J74" s="396"/>
      <c r="K74" s="397"/>
    </row>
    <row r="75" spans="1:22" ht="15.75" thickBot="1" x14ac:dyDescent="0.3">
      <c r="B75" s="398"/>
      <c r="C75" s="399"/>
      <c r="D75" s="399"/>
      <c r="E75" s="399"/>
      <c r="F75" s="399"/>
      <c r="G75" s="399"/>
      <c r="H75" s="399"/>
      <c r="I75" s="399"/>
      <c r="J75" s="399"/>
      <c r="K75" s="400"/>
      <c r="T75" s="74" t="s">
        <v>76</v>
      </c>
      <c r="U75" s="105">
        <f>U72+U65+U52+U41+U30</f>
        <v>0</v>
      </c>
      <c r="V75" s="106">
        <f>V72+V65+V52+V41+V30</f>
        <v>22130</v>
      </c>
    </row>
    <row r="76" spans="1:22" x14ac:dyDescent="0.25">
      <c r="B76" s="36"/>
      <c r="C76" s="111"/>
      <c r="D76" s="111"/>
      <c r="E76" s="111"/>
      <c r="F76" s="111"/>
      <c r="T76" s="27" t="s">
        <v>77</v>
      </c>
      <c r="U76" s="75">
        <f>V75+U75-L14</f>
        <v>0</v>
      </c>
    </row>
    <row r="77" spans="1:22" x14ac:dyDescent="0.25">
      <c r="B77" s="36"/>
      <c r="C77" s="111"/>
      <c r="D77" s="111"/>
      <c r="E77" s="111"/>
      <c r="F77" s="111"/>
    </row>
    <row r="78" spans="1:22" x14ac:dyDescent="0.25">
      <c r="B78" s="36"/>
      <c r="C78" s="111"/>
      <c r="D78" s="111"/>
      <c r="E78" s="111"/>
      <c r="F78" s="111"/>
    </row>
  </sheetData>
  <sheetProtection selectLockedCells="1"/>
  <mergeCells count="48">
    <mergeCell ref="B74:K75"/>
    <mergeCell ref="G33:G40"/>
    <mergeCell ref="L33:L40"/>
    <mergeCell ref="A42:L42"/>
    <mergeCell ref="G44:G51"/>
    <mergeCell ref="L44:L51"/>
    <mergeCell ref="A53:L53"/>
    <mergeCell ref="G55:G64"/>
    <mergeCell ref="L55:L64"/>
    <mergeCell ref="A66:L66"/>
    <mergeCell ref="G68:G71"/>
    <mergeCell ref="L68:L71"/>
    <mergeCell ref="A31:L31"/>
    <mergeCell ref="B16:C16"/>
    <mergeCell ref="G16:H16"/>
    <mergeCell ref="J16:K16"/>
    <mergeCell ref="B18:C18"/>
    <mergeCell ref="G18:H18"/>
    <mergeCell ref="J18:K18"/>
    <mergeCell ref="A20:L20"/>
    <mergeCell ref="G21:H22"/>
    <mergeCell ref="I21:I22"/>
    <mergeCell ref="G24:G29"/>
    <mergeCell ref="L24:L29"/>
    <mergeCell ref="B14:C14"/>
    <mergeCell ref="G14:H14"/>
    <mergeCell ref="J14:K14"/>
    <mergeCell ref="B15:C15"/>
    <mergeCell ref="G15:H15"/>
    <mergeCell ref="J15:K15"/>
    <mergeCell ref="B12:C12"/>
    <mergeCell ref="G12:H12"/>
    <mergeCell ref="J12:K12"/>
    <mergeCell ref="B13:C13"/>
    <mergeCell ref="G13:H13"/>
    <mergeCell ref="J13:K13"/>
    <mergeCell ref="B10:C10"/>
    <mergeCell ref="G10:H10"/>
    <mergeCell ref="J10:K10"/>
    <mergeCell ref="B11:C11"/>
    <mergeCell ref="G11:H11"/>
    <mergeCell ref="J11:K11"/>
    <mergeCell ref="A8:C8"/>
    <mergeCell ref="F8:H8"/>
    <mergeCell ref="J8:L8"/>
    <mergeCell ref="B9:C9"/>
    <mergeCell ref="G9:H9"/>
    <mergeCell ref="J9:K9"/>
  </mergeCells>
  <dataValidations count="1">
    <dataValidation allowBlank="1" showInputMessage="1" sqref="A24:A29 A33:A40 A44:A51 A55:A64 A68:A71"/>
  </dataValidations>
  <printOptions horizontalCentered="1" verticalCentered="1"/>
  <pageMargins left="0.26" right="0.28999999999999998" top="0.19" bottom="0.18" header="0" footer="0"/>
  <pageSetup paperSize="9" scale="64"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pageSetUpPr fitToPage="1"/>
  </sheetPr>
  <dimension ref="A1:AB62"/>
  <sheetViews>
    <sheetView topLeftCell="A40" zoomScaleNormal="100" workbookViewId="0">
      <selection activeCell="J24" sqref="J24"/>
    </sheetView>
  </sheetViews>
  <sheetFormatPr defaultRowHeight="15" x14ac:dyDescent="0.25"/>
  <cols>
    <col min="1" max="1" width="23.85546875" style="27" bestFit="1" customWidth="1"/>
    <col min="2" max="2" width="9.140625" style="27" customWidth="1"/>
    <col min="3" max="3" width="10.85546875" style="27" customWidth="1"/>
    <col min="4" max="4" width="13.42578125" style="27" bestFit="1" customWidth="1"/>
    <col min="5" max="5" width="11.5703125" style="27" bestFit="1" customWidth="1"/>
    <col min="6" max="6" width="11.5703125" style="27" customWidth="1"/>
    <col min="7" max="7" width="12.5703125" style="27" bestFit="1" customWidth="1"/>
    <col min="8" max="8" width="12.42578125" style="27" customWidth="1"/>
    <col min="9" max="9" width="14.85546875" style="27" customWidth="1"/>
    <col min="10" max="12" width="9.140625" style="27"/>
    <col min="15" max="15" width="11.7109375" style="27" bestFit="1" customWidth="1"/>
    <col min="16" max="26" width="9.140625" style="27"/>
    <col min="27" max="27" width="17.85546875" style="27" bestFit="1" customWidth="1"/>
    <col min="28" max="28" width="4.5703125" style="27" bestFit="1" customWidth="1"/>
    <col min="29" max="16384" width="9.140625" style="27"/>
  </cols>
  <sheetData>
    <row r="1" spans="1:9" s="61" customFormat="1" ht="15" customHeight="1" x14ac:dyDescent="0.25"/>
    <row r="5" spans="1:9" x14ac:dyDescent="0.25">
      <c r="C5" s="76"/>
    </row>
    <row r="6" spans="1:9" x14ac:dyDescent="0.25">
      <c r="C6" s="76"/>
    </row>
    <row r="7" spans="1:9" x14ac:dyDescent="0.25">
      <c r="A7" s="445" t="s">
        <v>142</v>
      </c>
      <c r="B7" s="445"/>
      <c r="C7" s="445"/>
      <c r="D7" s="445"/>
      <c r="E7" s="445"/>
      <c r="F7" s="445"/>
      <c r="G7" s="445"/>
      <c r="H7" s="445"/>
      <c r="I7" s="445"/>
    </row>
    <row r="8" spans="1:9" x14ac:dyDescent="0.25">
      <c r="A8" s="445"/>
      <c r="B8" s="445"/>
      <c r="C8" s="445"/>
      <c r="D8" s="445"/>
      <c r="E8" s="445"/>
      <c r="F8" s="445"/>
      <c r="G8" s="445"/>
      <c r="H8" s="445"/>
      <c r="I8" s="445"/>
    </row>
    <row r="9" spans="1:9" ht="15.75" thickBot="1" x14ac:dyDescent="0.3"/>
    <row r="10" spans="1:9" ht="15.75" thickBot="1" x14ac:dyDescent="0.3">
      <c r="A10" s="404" t="s">
        <v>39</v>
      </c>
      <c r="B10" s="405"/>
      <c r="C10" s="406"/>
      <c r="G10" s="376" t="s">
        <v>48</v>
      </c>
      <c r="H10" s="377"/>
      <c r="I10" s="378"/>
    </row>
    <row r="11" spans="1:9" x14ac:dyDescent="0.25">
      <c r="A11" s="28" t="s">
        <v>40</v>
      </c>
      <c r="B11" s="407" t="str">
        <f>+'Koring 1 (dont use)'!B9</f>
        <v>Jaque Fourie</v>
      </c>
      <c r="C11" s="408"/>
      <c r="G11" s="28" t="s">
        <v>81</v>
      </c>
      <c r="H11" s="387" t="str">
        <f>+'Koring 1 (dont use)'!G9</f>
        <v>Bakkies Botha</v>
      </c>
      <c r="I11" s="388"/>
    </row>
    <row r="12" spans="1:9" x14ac:dyDescent="0.25">
      <c r="A12" s="29" t="s">
        <v>47</v>
      </c>
      <c r="B12" s="424" t="str">
        <f>+'Koring 1 (dont use)'!B10</f>
        <v>Japan</v>
      </c>
      <c r="C12" s="425"/>
      <c r="G12" s="29" t="s">
        <v>82</v>
      </c>
      <c r="H12" s="446" t="str">
        <f>+'Koring 1 (dont use)'!G10</f>
        <v xml:space="preserve">Bus 524 </v>
      </c>
      <c r="I12" s="447"/>
    </row>
    <row r="13" spans="1:9" x14ac:dyDescent="0.25">
      <c r="A13" s="30"/>
      <c r="B13" s="424">
        <f>+'Koring 1 (dont use)'!B11</f>
        <v>0</v>
      </c>
      <c r="C13" s="425"/>
      <c r="G13" s="29" t="s">
        <v>83</v>
      </c>
      <c r="H13" s="446" t="str">
        <f>+'Koring 1 (dont use)'!G11</f>
        <v>Brakfontein</v>
      </c>
      <c r="I13" s="447"/>
    </row>
    <row r="14" spans="1:9" x14ac:dyDescent="0.25">
      <c r="A14" s="29" t="s">
        <v>45</v>
      </c>
      <c r="B14" s="424" t="str">
        <f>+'Koring 1 (dont use)'!B12</f>
        <v>0001</v>
      </c>
      <c r="C14" s="425"/>
      <c r="G14" s="29" t="s">
        <v>84</v>
      </c>
      <c r="H14" s="446" t="str">
        <f>+'Koring 1 (dont use)'!G12</f>
        <v>Humansdorp</v>
      </c>
      <c r="I14" s="447"/>
    </row>
    <row r="15" spans="1:9" x14ac:dyDescent="0.25">
      <c r="A15" s="29" t="s">
        <v>41</v>
      </c>
      <c r="B15" s="424">
        <f>+'Koring 1 (dont use)'!B13</f>
        <v>0</v>
      </c>
      <c r="C15" s="425"/>
      <c r="G15" s="29" t="s">
        <v>85</v>
      </c>
      <c r="H15" s="446" t="str">
        <f>+'Koring 1 (dont use)'!G13</f>
        <v>2587</v>
      </c>
      <c r="I15" s="447"/>
    </row>
    <row r="16" spans="1:9" x14ac:dyDescent="0.25">
      <c r="A16" s="29" t="s">
        <v>42</v>
      </c>
      <c r="B16" s="424">
        <f>+'Koring 1 (dont use)'!B14</f>
        <v>0</v>
      </c>
      <c r="C16" s="425"/>
      <c r="G16" s="29" t="s">
        <v>86</v>
      </c>
      <c r="H16" s="446" t="str">
        <f>+'Koring 1 (dont use)'!G14</f>
        <v>0112548798</v>
      </c>
      <c r="I16" s="447"/>
    </row>
    <row r="17" spans="1:28" x14ac:dyDescent="0.25">
      <c r="A17" s="29" t="s">
        <v>43</v>
      </c>
      <c r="B17" s="424" t="str">
        <f>+'Koring 1 (dont use)'!B15</f>
        <v>0878522233</v>
      </c>
      <c r="C17" s="425"/>
      <c r="G17" s="29" t="s">
        <v>87</v>
      </c>
      <c r="H17" s="446" t="str">
        <f>+'Koring 1 (dont use)'!G15</f>
        <v>0768543221</v>
      </c>
      <c r="I17" s="447"/>
    </row>
    <row r="18" spans="1:28" ht="15.75" thickBot="1" x14ac:dyDescent="0.3">
      <c r="A18" s="31" t="s">
        <v>44</v>
      </c>
      <c r="B18" s="428" t="str">
        <f>+'Koring 1 (dont use)'!B16</f>
        <v>jfourie@gmail.com</v>
      </c>
      <c r="C18" s="429"/>
      <c r="G18" s="31" t="s">
        <v>88</v>
      </c>
      <c r="H18" s="448" t="str">
        <f>+'Koring 1 (dont use)'!G16</f>
        <v>bb@bok.co.za</v>
      </c>
      <c r="I18" s="449"/>
    </row>
    <row r="19" spans="1:28" ht="15.75" thickBot="1" x14ac:dyDescent="0.3">
      <c r="E19" s="32"/>
      <c r="G19" s="33"/>
      <c r="H19" s="33"/>
      <c r="I19" s="34"/>
    </row>
    <row r="20" spans="1:28" ht="15.75" thickBot="1" x14ac:dyDescent="0.3">
      <c r="A20" s="35" t="s">
        <v>106</v>
      </c>
      <c r="B20" s="418" t="str">
        <f>+'Koring 1 (dont use)'!B18</f>
        <v>Co</v>
      </c>
      <c r="C20" s="436"/>
      <c r="E20" s="32"/>
      <c r="G20" s="35" t="s">
        <v>69</v>
      </c>
      <c r="H20" s="418" t="str">
        <f>+'Koring 1 (dont use)'!G18</f>
        <v>2012/09/12</v>
      </c>
      <c r="I20" s="436"/>
    </row>
    <row r="21" spans="1:28" s="77" customFormat="1" x14ac:dyDescent="0.25">
      <c r="A21" s="101"/>
      <c r="B21" s="109"/>
      <c r="C21" s="109"/>
      <c r="E21" s="102"/>
      <c r="F21" s="101"/>
      <c r="G21" s="133"/>
      <c r="H21" s="133"/>
      <c r="I21" s="110"/>
    </row>
    <row r="22" spans="1:28" s="77" customFormat="1" ht="15.75" thickBot="1" x14ac:dyDescent="0.3">
      <c r="A22" s="112"/>
      <c r="B22" s="109"/>
      <c r="C22" s="109"/>
      <c r="E22" s="102"/>
      <c r="F22" s="101"/>
      <c r="G22" s="133"/>
      <c r="H22" s="133"/>
      <c r="I22" s="110"/>
    </row>
    <row r="23" spans="1:28" s="77" customFormat="1" ht="30.75" thickBot="1" x14ac:dyDescent="0.3">
      <c r="A23" s="127" t="s">
        <v>123</v>
      </c>
      <c r="B23" s="143" t="s">
        <v>129</v>
      </c>
      <c r="C23" s="144" t="s">
        <v>130</v>
      </c>
      <c r="D23" s="124" t="s">
        <v>131</v>
      </c>
      <c r="E23" s="127" t="s">
        <v>133</v>
      </c>
      <c r="F23" s="119"/>
      <c r="G23" s="119"/>
      <c r="H23" s="119"/>
    </row>
    <row r="24" spans="1:28" s="77" customFormat="1" x14ac:dyDescent="0.25">
      <c r="A24" s="139"/>
      <c r="B24" s="145"/>
      <c r="C24" s="146"/>
      <c r="D24" s="125"/>
      <c r="E24" s="128"/>
      <c r="F24" s="101"/>
      <c r="G24" s="133"/>
      <c r="H24" s="133"/>
      <c r="AA24" s="167" t="str">
        <f>+A28</f>
        <v>Totaal mielies</v>
      </c>
      <c r="AB24" s="168" t="e">
        <f>+D28/$D$47</f>
        <v>#REF!</v>
      </c>
    </row>
    <row r="25" spans="1:28" s="77" customFormat="1" x14ac:dyDescent="0.25">
      <c r="A25" s="139" t="str">
        <f>+'Koring 1 (dont use)'!G5</f>
        <v>Koring 1</v>
      </c>
      <c r="B25" s="147">
        <f>+'Koring 1 (dont use)'!L18</f>
        <v>450</v>
      </c>
      <c r="C25" s="148">
        <f>+'Koring 1 (dont use)'!L16</f>
        <v>2610</v>
      </c>
      <c r="D25" s="149">
        <f>+'Koring 1 (dont use)'!L14</f>
        <v>120200</v>
      </c>
      <c r="E25" s="150">
        <f>+'Koring 1 (dont use)'!L15</f>
        <v>1000</v>
      </c>
      <c r="F25" s="115"/>
      <c r="G25" s="116"/>
      <c r="H25" s="116"/>
      <c r="O25" s="169"/>
      <c r="AA25" s="167" t="str">
        <f>+A33</f>
        <v>Totaal sojabone</v>
      </c>
      <c r="AB25" s="168" t="e">
        <f>+D33/$D$47</f>
        <v>#REF!</v>
      </c>
    </row>
    <row r="26" spans="1:28" s="77" customFormat="1" x14ac:dyDescent="0.25">
      <c r="A26" s="139" t="e">
        <f>+#REF!</f>
        <v>#REF!</v>
      </c>
      <c r="B26" s="147" t="e">
        <f>+#REF!</f>
        <v>#REF!</v>
      </c>
      <c r="C26" s="148" t="e">
        <f>+#REF!</f>
        <v>#REF!</v>
      </c>
      <c r="D26" s="149" t="e">
        <f>+#REF!</f>
        <v>#REF!</v>
      </c>
      <c r="E26" s="150" t="e">
        <f>+#REF!</f>
        <v>#REF!</v>
      </c>
      <c r="F26" s="115"/>
      <c r="G26" s="116"/>
      <c r="H26" s="116"/>
      <c r="AA26" s="167" t="str">
        <f>+A38</f>
        <v>Totaal sonneblom</v>
      </c>
      <c r="AB26" s="168" t="e">
        <f>+D38/$D$47</f>
        <v>#REF!</v>
      </c>
    </row>
    <row r="27" spans="1:28" s="77" customFormat="1" x14ac:dyDescent="0.25">
      <c r="A27" s="139" t="e">
        <f>+#REF!</f>
        <v>#REF!</v>
      </c>
      <c r="B27" s="147" t="e">
        <f>+#REF!</f>
        <v>#REF!</v>
      </c>
      <c r="C27" s="148" t="e">
        <f>+#REF!</f>
        <v>#REF!</v>
      </c>
      <c r="D27" s="149" t="e">
        <f>+#REF!</f>
        <v>#REF!</v>
      </c>
      <c r="E27" s="150" t="e">
        <f>+#REF!</f>
        <v>#REF!</v>
      </c>
      <c r="F27" s="115"/>
      <c r="G27" s="116"/>
      <c r="H27" s="116"/>
      <c r="AA27" s="167" t="str">
        <f>+A45</f>
        <v>Totaal ander</v>
      </c>
      <c r="AB27" s="168" t="e">
        <f>+D45/$D$47</f>
        <v>#REF!</v>
      </c>
    </row>
    <row r="28" spans="1:28" s="77" customFormat="1" ht="15.75" thickBot="1" x14ac:dyDescent="0.3">
      <c r="A28" s="140" t="s">
        <v>114</v>
      </c>
      <c r="B28" s="151" t="e">
        <f>SUM(B25:B27)</f>
        <v>#REF!</v>
      </c>
      <c r="C28" s="152">
        <f>+IFERROR((((C25*B25)+(C26*B26)+(C27*B27))/B28),0)</f>
        <v>0</v>
      </c>
      <c r="D28" s="153" t="e">
        <f>SUM(D25:D27)</f>
        <v>#REF!</v>
      </c>
      <c r="E28" s="154" t="e">
        <f>SUM(E25:E27)</f>
        <v>#REF!</v>
      </c>
      <c r="F28" s="115"/>
      <c r="G28" s="116"/>
      <c r="H28" s="116"/>
    </row>
    <row r="29" spans="1:28" s="77" customFormat="1" x14ac:dyDescent="0.25">
      <c r="A29" s="141"/>
      <c r="B29" s="147"/>
      <c r="C29" s="148"/>
      <c r="D29" s="149"/>
      <c r="E29" s="114"/>
      <c r="F29" s="115"/>
      <c r="G29" s="116"/>
      <c r="H29" s="116"/>
      <c r="I29" s="155"/>
    </row>
    <row r="30" spans="1:28" s="77" customFormat="1" x14ac:dyDescent="0.25">
      <c r="A30" s="139" t="str">
        <f>+'Sojas 1'!G5</f>
        <v>Sojabone 1</v>
      </c>
      <c r="B30" s="147">
        <f>+'Sojas 1'!L18</f>
        <v>0</v>
      </c>
      <c r="C30" s="148">
        <f>+'Sojas 1'!L16</f>
        <v>932.6733333333334</v>
      </c>
      <c r="D30" s="149">
        <f>+'Sojas 1'!L14</f>
        <v>8500</v>
      </c>
      <c r="E30" s="114"/>
      <c r="F30" s="115"/>
      <c r="G30" s="116"/>
      <c r="H30" s="116"/>
      <c r="I30" s="155"/>
    </row>
    <row r="31" spans="1:28" s="77" customFormat="1" x14ac:dyDescent="0.25">
      <c r="A31" s="139" t="str">
        <f>+'Sojas 2'!G5</f>
        <v>Sojabone 2</v>
      </c>
      <c r="B31" s="147">
        <f>+'Sojas 2'!L18</f>
        <v>0</v>
      </c>
      <c r="C31" s="148">
        <f>+'Sojas 2'!L16</f>
        <v>920.63333333333344</v>
      </c>
      <c r="D31" s="149">
        <f>+'Sojas 2'!L14</f>
        <v>8500</v>
      </c>
      <c r="E31" s="114"/>
      <c r="F31" s="115"/>
      <c r="G31" s="116"/>
      <c r="H31" s="116"/>
      <c r="I31" s="155"/>
    </row>
    <row r="32" spans="1:28" s="77" customFormat="1" x14ac:dyDescent="0.25">
      <c r="A32" s="139" t="str">
        <f>+'Sojas 3'!G5</f>
        <v>Sojabone 3</v>
      </c>
      <c r="B32" s="147">
        <f>+'Sojas 3'!L18</f>
        <v>0</v>
      </c>
      <c r="C32" s="148">
        <f>+'Sojas 3'!L16</f>
        <v>920.63333333333344</v>
      </c>
      <c r="D32" s="149">
        <f>+'Sojas 3'!L14</f>
        <v>8500</v>
      </c>
      <c r="E32" s="114"/>
      <c r="F32" s="115"/>
      <c r="G32" s="116"/>
      <c r="H32" s="116"/>
      <c r="I32" s="155"/>
    </row>
    <row r="33" spans="1:9" s="77" customFormat="1" x14ac:dyDescent="0.25">
      <c r="A33" s="142" t="s">
        <v>118</v>
      </c>
      <c r="B33" s="151">
        <f>SUM(B30:B32)</f>
        <v>0</v>
      </c>
      <c r="C33" s="152">
        <f>+IFERROR((((C30*B30)+(C31*B31)+(C32*B32))/B33),0)</f>
        <v>0</v>
      </c>
      <c r="D33" s="153">
        <f>SUM(D30:D32)</f>
        <v>25500</v>
      </c>
      <c r="E33" s="114"/>
      <c r="F33" s="115"/>
      <c r="G33" s="116"/>
      <c r="H33" s="116"/>
      <c r="I33" s="155"/>
    </row>
    <row r="34" spans="1:9" s="77" customFormat="1" x14ac:dyDescent="0.25">
      <c r="A34" s="139"/>
      <c r="B34" s="147"/>
      <c r="C34" s="148"/>
      <c r="D34" s="149"/>
      <c r="E34" s="114"/>
      <c r="F34" s="115"/>
      <c r="G34" s="116"/>
      <c r="H34" s="116"/>
      <c r="I34" s="155"/>
    </row>
    <row r="35" spans="1:9" s="77" customFormat="1" x14ac:dyDescent="0.25">
      <c r="A35" s="139" t="str">
        <f>+'Sonneblom 1'!G5</f>
        <v>Sonneblom 1</v>
      </c>
      <c r="B35" s="147">
        <f>+'Sonneblom 1'!L18</f>
        <v>50</v>
      </c>
      <c r="C35" s="148">
        <f>+'Sonneblom 1'!L16</f>
        <v>832.13333333333344</v>
      </c>
      <c r="D35" s="149">
        <f>+'Sonneblom 1'!L14</f>
        <v>52094</v>
      </c>
      <c r="E35" s="114"/>
      <c r="F35" s="115"/>
      <c r="G35" s="116"/>
      <c r="H35" s="116"/>
      <c r="I35" s="155"/>
    </row>
    <row r="36" spans="1:9" s="77" customFormat="1" x14ac:dyDescent="0.25">
      <c r="A36" s="139" t="str">
        <f>+'Sonneblom 2'!G5</f>
        <v>Sonneblom 2</v>
      </c>
      <c r="B36" s="147">
        <f>+'Sonneblom 2'!L18</f>
        <v>100</v>
      </c>
      <c r="C36" s="148">
        <f>+'Sonneblom 2'!L16</f>
        <v>832.13333333333344</v>
      </c>
      <c r="D36" s="149">
        <f>+'Sonneblom 2'!L14</f>
        <v>90664</v>
      </c>
      <c r="E36" s="114"/>
      <c r="F36" s="115"/>
      <c r="G36" s="116"/>
      <c r="H36" s="116"/>
      <c r="I36" s="155"/>
    </row>
    <row r="37" spans="1:9" s="77" customFormat="1" x14ac:dyDescent="0.25">
      <c r="A37" s="139" t="str">
        <f>+'Sonneblom 3'!G5</f>
        <v>Sonneblom 3</v>
      </c>
      <c r="B37" s="147">
        <f>+'Sonneblom 3'!L18</f>
        <v>70</v>
      </c>
      <c r="C37" s="148">
        <f>+'Sonneblom 3'!L16</f>
        <v>832.13333333333344</v>
      </c>
      <c r="D37" s="149">
        <f>+'Sonneblom 3'!L14</f>
        <v>69646</v>
      </c>
      <c r="E37" s="114"/>
      <c r="F37" s="115"/>
      <c r="G37" s="116"/>
      <c r="H37" s="116"/>
      <c r="I37" s="155"/>
    </row>
    <row r="38" spans="1:9" s="77" customFormat="1" x14ac:dyDescent="0.25">
      <c r="A38" s="140" t="s">
        <v>122</v>
      </c>
      <c r="B38" s="151">
        <f>SUM(B35:B37)</f>
        <v>220</v>
      </c>
      <c r="C38" s="152">
        <f>+IFERROR((((C35*B35)+(C36*B36)+(C37*B37))/B38),0)</f>
        <v>832.13333333333355</v>
      </c>
      <c r="D38" s="153">
        <f>SUM(D35:D37)</f>
        <v>212404</v>
      </c>
      <c r="E38" s="114"/>
      <c r="F38" s="115"/>
      <c r="G38" s="116"/>
      <c r="H38" s="116"/>
      <c r="I38" s="155"/>
    </row>
    <row r="39" spans="1:9" s="77" customFormat="1" x14ac:dyDescent="0.25">
      <c r="A39" s="141"/>
      <c r="B39" s="147"/>
      <c r="C39" s="148"/>
      <c r="D39" s="149"/>
      <c r="E39" s="114"/>
      <c r="F39" s="115"/>
      <c r="G39" s="116"/>
      <c r="H39" s="116"/>
      <c r="I39" s="155"/>
    </row>
    <row r="40" spans="1:9" s="77" customFormat="1" x14ac:dyDescent="0.25">
      <c r="A40" s="139" t="str">
        <f>+'Ander 1'!G5</f>
        <v>Ander 1</v>
      </c>
      <c r="B40" s="147">
        <f>+'Ander 1'!L18</f>
        <v>50</v>
      </c>
      <c r="C40" s="148">
        <f>+'Ander 1'!L16</f>
        <v>920.63333333333344</v>
      </c>
      <c r="D40" s="149">
        <f>+'Ander 1'!L14</f>
        <v>56574</v>
      </c>
      <c r="E40" s="114"/>
      <c r="F40" s="115"/>
      <c r="G40" s="116"/>
      <c r="H40" s="116"/>
      <c r="I40" s="155"/>
    </row>
    <row r="41" spans="1:9" s="77" customFormat="1" x14ac:dyDescent="0.25">
      <c r="A41" s="139" t="str">
        <f>+'Ander 2'!G5</f>
        <v>Ander 2</v>
      </c>
      <c r="B41" s="147">
        <f>+'Ander 2'!L18</f>
        <v>25</v>
      </c>
      <c r="C41" s="148">
        <f>+'Ander 2'!L16</f>
        <v>920.63333333333344</v>
      </c>
      <c r="D41" s="149">
        <f>+'Ander 2'!L14</f>
        <v>36154</v>
      </c>
      <c r="E41" s="114"/>
      <c r="F41" s="115"/>
      <c r="G41" s="116"/>
      <c r="H41" s="116"/>
      <c r="I41" s="155"/>
    </row>
    <row r="42" spans="1:9" s="77" customFormat="1" x14ac:dyDescent="0.25">
      <c r="A42" s="139" t="str">
        <f>+'Ander 3'!G5</f>
        <v>Ander 3</v>
      </c>
      <c r="B42" s="147">
        <f>+'Ander 3'!L18</f>
        <v>15</v>
      </c>
      <c r="C42" s="148">
        <f>+'Ander 3'!L16</f>
        <v>920.63333333333344</v>
      </c>
      <c r="D42" s="149">
        <f>+'Ander 3'!L14</f>
        <v>28748</v>
      </c>
      <c r="E42" s="114"/>
      <c r="F42" s="115"/>
      <c r="G42" s="116"/>
      <c r="H42" s="116"/>
      <c r="I42" s="155"/>
    </row>
    <row r="43" spans="1:9" s="77" customFormat="1" x14ac:dyDescent="0.25">
      <c r="A43" s="139" t="str">
        <f>+'Ander 4'!G5</f>
        <v>Ander 4</v>
      </c>
      <c r="B43" s="147">
        <f>+'Ander 4'!L18</f>
        <v>30</v>
      </c>
      <c r="C43" s="148">
        <f>+'Ander 4'!L16</f>
        <v>920.63333333333344</v>
      </c>
      <c r="D43" s="149">
        <f>+'Ander 4'!L14</f>
        <v>38582</v>
      </c>
      <c r="E43" s="114"/>
      <c r="F43" s="115"/>
      <c r="G43" s="116"/>
      <c r="H43" s="116"/>
      <c r="I43" s="155"/>
    </row>
    <row r="44" spans="1:9" s="77" customFormat="1" x14ac:dyDescent="0.25">
      <c r="A44" s="139" t="str">
        <f>+'Ander 5'!G5</f>
        <v>Ander 5</v>
      </c>
      <c r="B44" s="147">
        <f>+'Ander 5'!L18</f>
        <v>10</v>
      </c>
      <c r="C44" s="148">
        <f>+'Ander 5'!L16</f>
        <v>920.63333333333344</v>
      </c>
      <c r="D44" s="149">
        <f>+'Ander 5'!L14</f>
        <v>22130</v>
      </c>
      <c r="E44" s="114"/>
      <c r="F44" s="115"/>
      <c r="G44" s="116"/>
      <c r="H44" s="116"/>
      <c r="I44" s="155"/>
    </row>
    <row r="45" spans="1:9" s="77" customFormat="1" x14ac:dyDescent="0.25">
      <c r="A45" s="140" t="s">
        <v>75</v>
      </c>
      <c r="B45" s="151">
        <f>SUM(B40:B44)</f>
        <v>130</v>
      </c>
      <c r="C45" s="152">
        <f>+IFERROR((((C40*B40)+(C41*B41)+(C42*B42)+(B43*C43)+(B44*C44))/B45),0)</f>
        <v>920.63333333333333</v>
      </c>
      <c r="D45" s="153">
        <f>SUM(D40:D44)</f>
        <v>182188</v>
      </c>
      <c r="E45" s="114"/>
      <c r="F45" s="115"/>
      <c r="G45" s="116"/>
      <c r="H45" s="116"/>
      <c r="I45" s="155"/>
    </row>
    <row r="46" spans="1:9" s="77" customFormat="1" ht="15.75" thickBot="1" x14ac:dyDescent="0.3">
      <c r="A46" s="129"/>
      <c r="B46" s="147"/>
      <c r="C46" s="156"/>
      <c r="D46" s="126"/>
      <c r="E46" s="114"/>
      <c r="F46" s="115"/>
      <c r="G46" s="116"/>
      <c r="H46" s="116"/>
      <c r="I46" s="155"/>
    </row>
    <row r="47" spans="1:9" s="77" customFormat="1" ht="15.75" thickBot="1" x14ac:dyDescent="0.3">
      <c r="A47" s="35" t="s">
        <v>132</v>
      </c>
      <c r="B47" s="170" t="e">
        <f>+B45+B38+B33+B28</f>
        <v>#REF!</v>
      </c>
      <c r="C47" s="166">
        <f>+IFERROR((((C28*B28)+(C33*B33)+(C38*B38)+(B45*C45)))/B47,0)</f>
        <v>0</v>
      </c>
      <c r="D47" s="157" t="e">
        <f t="shared" ref="D47" si="0">+D45+D38+D33+D28</f>
        <v>#REF!</v>
      </c>
      <c r="E47" s="158"/>
      <c r="F47" s="115"/>
      <c r="G47" s="116"/>
      <c r="H47" s="116"/>
      <c r="I47" s="155"/>
    </row>
    <row r="48" spans="1:9" s="77" customFormat="1" x14ac:dyDescent="0.25">
      <c r="A48" s="101"/>
      <c r="B48" s="159"/>
      <c r="C48" s="116"/>
      <c r="D48" s="113"/>
      <c r="E48" s="114"/>
      <c r="F48" s="115"/>
      <c r="G48" s="116"/>
      <c r="H48" s="116"/>
      <c r="I48" s="155"/>
    </row>
    <row r="49" spans="1:28" s="77" customFormat="1" x14ac:dyDescent="0.25">
      <c r="B49" s="159"/>
      <c r="C49" s="116"/>
      <c r="D49" s="113"/>
      <c r="E49" s="114"/>
      <c r="F49" s="115"/>
      <c r="G49" s="116"/>
      <c r="H49" s="116"/>
      <c r="I49" s="155"/>
    </row>
    <row r="50" spans="1:28" s="77" customFormat="1" ht="15.75" thickBot="1" x14ac:dyDescent="0.3">
      <c r="F50" s="115"/>
      <c r="G50" s="116"/>
      <c r="H50" s="116"/>
      <c r="I50" s="155"/>
      <c r="AA50" s="167" t="str">
        <f>+C52</f>
        <v xml:space="preserve">Saadbehandeling   </v>
      </c>
      <c r="AB50" s="168" t="e">
        <f>+D52/$D$57</f>
        <v>#REF!</v>
      </c>
    </row>
    <row r="51" spans="1:28" s="77" customFormat="1" ht="15.75" thickBot="1" x14ac:dyDescent="0.3">
      <c r="B51" s="450" t="s">
        <v>141</v>
      </c>
      <c r="C51" s="451"/>
      <c r="D51" s="452"/>
      <c r="F51" s="115"/>
      <c r="G51" s="116"/>
      <c r="H51" s="116"/>
      <c r="I51" s="155"/>
      <c r="AA51" s="167" t="str">
        <f>+C53</f>
        <v xml:space="preserve">Voor plant   </v>
      </c>
      <c r="AB51" s="168" t="e">
        <f>+D53/$D$57</f>
        <v>#REF!</v>
      </c>
    </row>
    <row r="52" spans="1:28" s="77" customFormat="1" x14ac:dyDescent="0.25">
      <c r="B52" s="160"/>
      <c r="C52" s="130" t="s">
        <v>135</v>
      </c>
      <c r="D52" s="161" t="e">
        <f>+'Koring 1 (dont use)'!L9+#REF!+#REF!+'Sojas 1'!L9+'Sojas 2'!L9+'Sojas 3'!L9+'Sonneblom 1'!L9+'Sonneblom 2'!L9+'Sonneblom 3'!L9+'Ander 1'!L9+'Ander 2'!L9+'Ander 3'!L9+'Ander 4'!L9+'Ander 5'!L9</f>
        <v>#REF!</v>
      </c>
      <c r="F52" s="115"/>
      <c r="G52" s="116"/>
      <c r="H52" s="116"/>
      <c r="I52" s="155"/>
      <c r="AA52" s="167" t="str">
        <f>+C54</f>
        <v xml:space="preserve">Voor-opkoms   </v>
      </c>
      <c r="AB52" s="168" t="e">
        <f>+D54/$D$57</f>
        <v>#REF!</v>
      </c>
    </row>
    <row r="53" spans="1:28" s="77" customFormat="1" x14ac:dyDescent="0.25">
      <c r="B53" s="162"/>
      <c r="C53" s="131" t="s">
        <v>136</v>
      </c>
      <c r="D53" s="163" t="e">
        <f>+'Koring 1 (dont use)'!L10+#REF!+#REF!+'Sojas 1'!L10+'Sojas 2'!L10+'Sojas 3'!L10+'Sonneblom 1'!L10+'Sonneblom 2'!L10+'Sonneblom 3'!L10+'Ander 1'!L10+'Ander 2'!L10+'Ander 3'!L10+'Ander 4'!L10+'Ander 5'!L10</f>
        <v>#REF!</v>
      </c>
      <c r="F53" s="101"/>
      <c r="G53" s="133"/>
      <c r="H53" s="133"/>
      <c r="I53" s="110"/>
      <c r="AA53" s="167" t="str">
        <f>+C55</f>
        <v xml:space="preserve">Na-opkoms   </v>
      </c>
      <c r="AB53" s="168" t="e">
        <f>+D55/$D$57</f>
        <v>#REF!</v>
      </c>
    </row>
    <row r="54" spans="1:28" s="77" customFormat="1" x14ac:dyDescent="0.25">
      <c r="B54" s="164"/>
      <c r="C54" s="101" t="s">
        <v>137</v>
      </c>
      <c r="D54" s="150" t="e">
        <f>+'Koring 1 (dont use)'!L11+#REF!+#REF!+'Sojas 1'!L11+'Sojas 2'!L11+'Sojas 3'!L11+'Sonneblom 1'!L11+'Sonneblom 2'!L11+'Sonneblom 3'!L11+'Ander 1'!L11+'Ander 2'!L11+'Ander 3'!L11+'Ander 4'!L11+'Ander 5'!L11</f>
        <v>#REF!</v>
      </c>
      <c r="F54" s="101"/>
      <c r="G54" s="133"/>
      <c r="H54" s="133"/>
      <c r="I54" s="110"/>
      <c r="AA54" s="167" t="str">
        <f>+C56</f>
        <v xml:space="preserve">Ander   </v>
      </c>
      <c r="AB54" s="168" t="e">
        <f>+D56/$D$57</f>
        <v>#REF!</v>
      </c>
    </row>
    <row r="55" spans="1:28" s="77" customFormat="1" x14ac:dyDescent="0.25">
      <c r="B55" s="162"/>
      <c r="C55" s="131" t="s">
        <v>138</v>
      </c>
      <c r="D55" s="163" t="e">
        <f>+'Koring 1 (dont use)'!L12+#REF!+#REF!+'Sojas 1'!L12+'Sojas 2'!L12+'Sojas 3'!L12+'Sonneblom 1'!L12+'Sonneblom 2'!L12+'Sonneblom 3'!L12+'Ander 1'!L12+'Ander 2'!L12+'Ander 3'!L12+'Ander 4'!L12+'Ander 5'!L12</f>
        <v>#REF!</v>
      </c>
      <c r="E55" s="102"/>
      <c r="F55" s="101"/>
      <c r="G55" s="133"/>
      <c r="H55" s="133"/>
      <c r="I55" s="110"/>
    </row>
    <row r="56" spans="1:28" ht="15.75" thickBot="1" x14ac:dyDescent="0.3">
      <c r="B56" s="164"/>
      <c r="C56" s="101" t="s">
        <v>139</v>
      </c>
      <c r="D56" s="150" t="e">
        <f>+'Koring 1 (dont use)'!L13+#REF!+#REF!+'Sojas 1'!L13+'Sojas 2'!L13+'Sojas 3'!L13+'Sonneblom 1'!L13+'Sonneblom 2'!L13+'Sonneblom 3'!L13+'Ander 1'!L13+'Ander 2'!L13+'Ander 3'!L13+'Ander 4'!L13+'Ander 5'!L13</f>
        <v>#REF!</v>
      </c>
    </row>
    <row r="57" spans="1:28" ht="15.75" thickBot="1" x14ac:dyDescent="0.3">
      <c r="B57" s="165"/>
      <c r="C57" s="132" t="s">
        <v>140</v>
      </c>
      <c r="D57" s="166" t="e">
        <f>SUM(D52:D56)</f>
        <v>#REF!</v>
      </c>
    </row>
    <row r="58" spans="1:28" ht="15" customHeight="1" x14ac:dyDescent="0.25"/>
    <row r="60" spans="1:28" x14ac:dyDescent="0.25">
      <c r="B60" s="36"/>
      <c r="C60" s="111"/>
      <c r="D60" s="111"/>
      <c r="E60" s="111"/>
      <c r="F60" s="111"/>
    </row>
    <row r="61" spans="1:28" ht="15" customHeight="1" x14ac:dyDescent="0.25">
      <c r="A61" s="395" t="s">
        <v>89</v>
      </c>
      <c r="B61" s="396"/>
      <c r="C61" s="396"/>
      <c r="D61" s="396"/>
      <c r="E61" s="396"/>
      <c r="F61" s="396"/>
      <c r="G61" s="396"/>
      <c r="H61" s="396"/>
      <c r="I61" s="397"/>
    </row>
    <row r="62" spans="1:28" x14ac:dyDescent="0.25">
      <c r="A62" s="398"/>
      <c r="B62" s="399"/>
      <c r="C62" s="399"/>
      <c r="D62" s="399"/>
      <c r="E62" s="399"/>
      <c r="F62" s="399"/>
      <c r="G62" s="399"/>
      <c r="H62" s="399"/>
      <c r="I62" s="400"/>
    </row>
  </sheetData>
  <sheetProtection selectLockedCells="1"/>
  <mergeCells count="23">
    <mergeCell ref="A61:I62"/>
    <mergeCell ref="B18:C18"/>
    <mergeCell ref="H18:I18"/>
    <mergeCell ref="B20:C20"/>
    <mergeCell ref="H20:I20"/>
    <mergeCell ref="B51:D51"/>
    <mergeCell ref="B16:C16"/>
    <mergeCell ref="H16:I16"/>
    <mergeCell ref="B17:C17"/>
    <mergeCell ref="H17:I17"/>
    <mergeCell ref="B14:C14"/>
    <mergeCell ref="H14:I14"/>
    <mergeCell ref="B15:C15"/>
    <mergeCell ref="H15:I15"/>
    <mergeCell ref="A7:I8"/>
    <mergeCell ref="B12:C12"/>
    <mergeCell ref="H12:I12"/>
    <mergeCell ref="B13:C13"/>
    <mergeCell ref="H13:I13"/>
    <mergeCell ref="A10:C10"/>
    <mergeCell ref="G10:I10"/>
    <mergeCell ref="B11:C11"/>
    <mergeCell ref="H11:I11"/>
  </mergeCells>
  <printOptions horizontalCentered="1" verticalCentered="1"/>
  <pageMargins left="0.26" right="0.28999999999999998" top="0.19" bottom="0.18" header="0" footer="0"/>
  <pageSetup paperSize="9" scale="82"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28430"/>
  </sheetPr>
  <dimension ref="A1:L172"/>
  <sheetViews>
    <sheetView topLeftCell="A93" zoomScale="91" zoomScaleNormal="91" workbookViewId="0">
      <selection activeCell="J53" sqref="J53"/>
    </sheetView>
  </sheetViews>
  <sheetFormatPr defaultRowHeight="14.25" x14ac:dyDescent="0.2"/>
  <cols>
    <col min="1" max="1" width="22.140625" style="203" bestFit="1" customWidth="1"/>
    <col min="2" max="7" width="17.140625" style="222" customWidth="1"/>
    <col min="8" max="11" width="9.140625" style="203"/>
    <col min="12" max="12" width="9.140625" style="203" customWidth="1"/>
    <col min="13" max="16384" width="9.140625" style="203"/>
  </cols>
  <sheetData>
    <row r="1" spans="1:12" x14ac:dyDescent="0.2">
      <c r="C1" s="292"/>
    </row>
    <row r="2" spans="1:12" ht="20.25" x14ac:dyDescent="0.3">
      <c r="A2" s="347" t="s">
        <v>36</v>
      </c>
      <c r="B2" s="348"/>
      <c r="C2" s="349"/>
      <c r="D2" s="291"/>
      <c r="E2" s="228"/>
      <c r="F2" s="228"/>
      <c r="G2" s="228"/>
    </row>
    <row r="3" spans="1:12" x14ac:dyDescent="0.2">
      <c r="A3" s="350" t="str">
        <f>A20</f>
        <v>Saadbehandeling</v>
      </c>
      <c r="B3" s="351"/>
      <c r="C3" s="290">
        <f>B38</f>
        <v>0</v>
      </c>
      <c r="D3" s="228"/>
      <c r="E3" s="228"/>
      <c r="F3" s="228"/>
      <c r="G3" s="228"/>
    </row>
    <row r="4" spans="1:12" x14ac:dyDescent="0.2">
      <c r="A4" s="350" t="str">
        <f>A53</f>
        <v>Voor plant</v>
      </c>
      <c r="B4" s="351"/>
      <c r="C4" s="288">
        <f>B66</f>
        <v>0</v>
      </c>
      <c r="D4" s="228"/>
      <c r="E4" s="228"/>
      <c r="F4" s="228"/>
      <c r="G4" s="228"/>
    </row>
    <row r="5" spans="1:12" x14ac:dyDescent="0.2">
      <c r="A5" s="350" t="str">
        <f>A81</f>
        <v>Voor-opkoms (met plant)</v>
      </c>
      <c r="B5" s="351"/>
      <c r="C5" s="288">
        <f>B94</f>
        <v>0</v>
      </c>
      <c r="D5" s="228"/>
      <c r="E5" s="228"/>
      <c r="F5" s="228"/>
      <c r="G5" s="228"/>
    </row>
    <row r="6" spans="1:12" x14ac:dyDescent="0.2">
      <c r="A6" s="350" t="str">
        <f>A109</f>
        <v>Na-opkoms</v>
      </c>
      <c r="B6" s="351"/>
      <c r="C6" s="288">
        <f>B122</f>
        <v>0</v>
      </c>
      <c r="D6" s="228"/>
      <c r="E6" s="228"/>
      <c r="F6" s="228"/>
      <c r="G6" s="228"/>
    </row>
    <row r="7" spans="1:12" x14ac:dyDescent="0.2">
      <c r="A7" s="350" t="str">
        <f>A137</f>
        <v>Ander Produkte</v>
      </c>
      <c r="B7" s="351"/>
      <c r="C7" s="288">
        <f>B150</f>
        <v>0</v>
      </c>
      <c r="D7" s="228"/>
      <c r="E7" s="228"/>
      <c r="F7" s="228"/>
      <c r="G7" s="228"/>
    </row>
    <row r="8" spans="1:12" x14ac:dyDescent="0.2">
      <c r="A8" s="350" t="s">
        <v>55</v>
      </c>
      <c r="B8" s="351"/>
      <c r="C8" s="288">
        <f>SUM(C3:C7)</f>
        <v>0</v>
      </c>
      <c r="D8" s="228"/>
      <c r="E8" s="228"/>
      <c r="F8" s="228"/>
      <c r="G8" s="228"/>
      <c r="L8" s="229"/>
    </row>
    <row r="9" spans="1:12" ht="15" x14ac:dyDescent="0.25">
      <c r="A9" s="340" t="s">
        <v>108</v>
      </c>
      <c r="B9" s="341"/>
      <c r="C9" s="294">
        <f>B165</f>
        <v>0</v>
      </c>
      <c r="D9" s="228"/>
      <c r="E9" s="228"/>
      <c r="F9" s="228"/>
      <c r="G9" s="228"/>
      <c r="L9" s="229"/>
    </row>
    <row r="10" spans="1:12" x14ac:dyDescent="0.2">
      <c r="A10" s="342" t="s">
        <v>70</v>
      </c>
      <c r="B10" s="343"/>
      <c r="C10" s="289">
        <f>B33+B61+B89+B117+B145</f>
        <v>0</v>
      </c>
      <c r="D10" s="228"/>
      <c r="E10" s="228"/>
      <c r="F10" s="228"/>
      <c r="G10" s="228"/>
      <c r="L10" s="229"/>
    </row>
    <row r="11" spans="1:12" x14ac:dyDescent="0.2">
      <c r="G11" s="230"/>
      <c r="L11" s="229"/>
    </row>
    <row r="12" spans="1:12" ht="15" hidden="1" customHeight="1" x14ac:dyDescent="0.2">
      <c r="L12" s="229"/>
    </row>
    <row r="13" spans="1:12" ht="15" hidden="1" customHeight="1" x14ac:dyDescent="0.2">
      <c r="L13" s="229"/>
    </row>
    <row r="14" spans="1:12" ht="15" hidden="1" customHeight="1" x14ac:dyDescent="0.2">
      <c r="L14" s="229"/>
    </row>
    <row r="15" spans="1:12" ht="15" hidden="1" customHeight="1" x14ac:dyDescent="0.2">
      <c r="L15" s="229"/>
    </row>
    <row r="16" spans="1:12" ht="15" hidden="1" customHeight="1" x14ac:dyDescent="0.2"/>
    <row r="17" spans="1:7" ht="15" hidden="1" customHeight="1" x14ac:dyDescent="0.2"/>
    <row r="18" spans="1:7" ht="15" hidden="1" customHeight="1" x14ac:dyDescent="0.2"/>
    <row r="20" spans="1:7" ht="20.25" x14ac:dyDescent="0.3">
      <c r="A20" s="346" t="s">
        <v>38</v>
      </c>
      <c r="B20" s="346"/>
      <c r="C20" s="346"/>
      <c r="D20" s="346"/>
      <c r="E20" s="346"/>
      <c r="F20" s="346"/>
      <c r="G20" s="346"/>
    </row>
    <row r="23" spans="1:7" x14ac:dyDescent="0.2">
      <c r="A23" s="231" t="s">
        <v>174</v>
      </c>
      <c r="B23" s="232"/>
      <c r="C23" s="345" t="s">
        <v>173</v>
      </c>
      <c r="D23" s="345"/>
    </row>
    <row r="24" spans="1:7" x14ac:dyDescent="0.2">
      <c r="A24" s="232">
        <v>0</v>
      </c>
      <c r="B24" s="232"/>
      <c r="C24" s="344">
        <v>0</v>
      </c>
      <c r="D24" s="344"/>
      <c r="G24" s="234">
        <f>+A24*C24</f>
        <v>0</v>
      </c>
    </row>
    <row r="26" spans="1:7" ht="20.25" x14ac:dyDescent="0.3">
      <c r="A26" s="321" t="s">
        <v>1</v>
      </c>
      <c r="B26" s="322" t="s">
        <v>424</v>
      </c>
      <c r="C26" s="323"/>
      <c r="D26" s="324"/>
      <c r="E26" s="322" t="s">
        <v>425</v>
      </c>
      <c r="F26" s="323"/>
      <c r="G26" s="324"/>
    </row>
    <row r="27" spans="1:7" x14ac:dyDescent="0.2">
      <c r="A27" s="321" t="s">
        <v>1</v>
      </c>
      <c r="B27" s="235"/>
      <c r="C27" s="235"/>
      <c r="D27" s="235"/>
      <c r="E27" s="235"/>
      <c r="F27" s="235"/>
      <c r="G27" s="235"/>
    </row>
    <row r="28" spans="1:7" x14ac:dyDescent="0.2">
      <c r="A28" s="236" t="s">
        <v>175</v>
      </c>
      <c r="B28" s="264"/>
      <c r="C28" s="264"/>
      <c r="D28" s="264"/>
      <c r="E28" s="268"/>
      <c r="F28" s="237"/>
      <c r="G28" s="237"/>
    </row>
    <row r="29" spans="1:7" x14ac:dyDescent="0.2">
      <c r="A29" s="236" t="s">
        <v>190</v>
      </c>
      <c r="B29" s="265"/>
      <c r="C29" s="265"/>
      <c r="D29" s="265"/>
      <c r="E29" s="269"/>
      <c r="F29" s="238"/>
      <c r="G29" s="238"/>
    </row>
    <row r="30" spans="1:7" x14ac:dyDescent="0.2">
      <c r="A30" s="239" t="s">
        <v>93</v>
      </c>
      <c r="B30" s="266">
        <f t="shared" ref="B30:D30" si="0">+B28*B29/100</f>
        <v>0</v>
      </c>
      <c r="C30" s="266">
        <f t="shared" si="0"/>
        <v>0</v>
      </c>
      <c r="D30" s="266">
        <f t="shared" si="0"/>
        <v>0</v>
      </c>
      <c r="E30" s="263">
        <f>+E28*E29/100</f>
        <v>0</v>
      </c>
      <c r="F30" s="240">
        <f t="shared" ref="F30" si="1">+F28*F29/100</f>
        <v>0</v>
      </c>
      <c r="G30" s="240">
        <f t="shared" ref="G30" si="2">+G28*G29/100</f>
        <v>0</v>
      </c>
    </row>
    <row r="31" spans="1:7" x14ac:dyDescent="0.2">
      <c r="A31" s="236" t="s">
        <v>61</v>
      </c>
      <c r="B31" s="267"/>
      <c r="C31" s="267"/>
      <c r="D31" s="267"/>
      <c r="E31" s="270"/>
      <c r="F31" s="241"/>
      <c r="G31" s="241"/>
    </row>
    <row r="32" spans="1:7" x14ac:dyDescent="0.2">
      <c r="A32" s="239" t="s">
        <v>94</v>
      </c>
      <c r="B32" s="271">
        <f t="shared" ref="B32:G32" si="3">+IFERROR(((B30*B31)/(B29/$C$24)),0)</f>
        <v>0</v>
      </c>
      <c r="C32" s="271">
        <f t="shared" si="3"/>
        <v>0</v>
      </c>
      <c r="D32" s="271">
        <f t="shared" si="3"/>
        <v>0</v>
      </c>
      <c r="E32" s="272">
        <f t="shared" ref="E32" si="4">+IFERROR(((E30*E31)/(E29/$C$24)),0)</f>
        <v>0</v>
      </c>
      <c r="F32" s="273">
        <f t="shared" ref="F32" si="5">+IFERROR(((F30*F31)/(F29/$C$24)),0)</f>
        <v>0</v>
      </c>
      <c r="G32" s="273">
        <f t="shared" si="3"/>
        <v>0</v>
      </c>
    </row>
    <row r="33" spans="1:7" x14ac:dyDescent="0.2">
      <c r="A33" s="242" t="s">
        <v>60</v>
      </c>
      <c r="B33" s="331">
        <f>SUM(B32:G32)</f>
        <v>0</v>
      </c>
      <c r="C33" s="332"/>
      <c r="D33" s="332"/>
      <c r="E33" s="332"/>
      <c r="F33" s="332"/>
      <c r="G33" s="333"/>
    </row>
    <row r="34" spans="1:7" x14ac:dyDescent="0.2">
      <c r="A34" s="236" t="s">
        <v>441</v>
      </c>
      <c r="B34" s="274"/>
      <c r="C34" s="274"/>
      <c r="D34" s="274"/>
      <c r="E34" s="274"/>
      <c r="F34" s="274"/>
      <c r="G34" s="274"/>
    </row>
    <row r="35" spans="1:7" x14ac:dyDescent="0.2">
      <c r="A35" s="239" t="s">
        <v>56</v>
      </c>
      <c r="B35" s="266">
        <f t="shared" ref="B35:E35" si="6">+IFERROR(ROUNDUP(B30/B34,0),0)</f>
        <v>0</v>
      </c>
      <c r="C35" s="266">
        <f t="shared" si="6"/>
        <v>0</v>
      </c>
      <c r="D35" s="266">
        <f t="shared" si="6"/>
        <v>0</v>
      </c>
      <c r="E35" s="263">
        <f t="shared" si="6"/>
        <v>0</v>
      </c>
      <c r="F35" s="240">
        <f t="shared" ref="F35" si="7">+IFERROR(ROUNDUP(F30/F34,0),0)</f>
        <v>0</v>
      </c>
      <c r="G35" s="240">
        <f t="shared" ref="G35" si="8">+IFERROR(ROUNDUP(G30/G34,0),0)</f>
        <v>0</v>
      </c>
    </row>
    <row r="36" spans="1:7" x14ac:dyDescent="0.2">
      <c r="A36" s="239" t="s">
        <v>57</v>
      </c>
      <c r="B36" s="298">
        <f t="shared" ref="B36:E36" si="9">+B31*B34</f>
        <v>0</v>
      </c>
      <c r="C36" s="298">
        <f t="shared" si="9"/>
        <v>0</v>
      </c>
      <c r="D36" s="298">
        <f t="shared" si="9"/>
        <v>0</v>
      </c>
      <c r="E36" s="298">
        <f t="shared" si="9"/>
        <v>0</v>
      </c>
      <c r="F36" s="298">
        <f t="shared" ref="F36" si="10">+F31*F34</f>
        <v>0</v>
      </c>
      <c r="G36" s="298">
        <f t="shared" ref="G36" si="11">+G31*G34</f>
        <v>0</v>
      </c>
    </row>
    <row r="37" spans="1:7" x14ac:dyDescent="0.2">
      <c r="A37" s="239" t="s">
        <v>58</v>
      </c>
      <c r="B37" s="299">
        <f t="shared" ref="B37:E37" si="12">+B35*B36</f>
        <v>0</v>
      </c>
      <c r="C37" s="299">
        <f t="shared" si="12"/>
        <v>0</v>
      </c>
      <c r="D37" s="299">
        <f t="shared" si="12"/>
        <v>0</v>
      </c>
      <c r="E37" s="299">
        <f t="shared" si="12"/>
        <v>0</v>
      </c>
      <c r="F37" s="299">
        <f t="shared" ref="F37" si="13">+F35*F36</f>
        <v>0</v>
      </c>
      <c r="G37" s="299">
        <f t="shared" ref="G37" si="14">+G35*G36</f>
        <v>0</v>
      </c>
    </row>
    <row r="38" spans="1:7" ht="15" x14ac:dyDescent="0.25">
      <c r="A38" s="243" t="s">
        <v>0</v>
      </c>
      <c r="B38" s="325">
        <f>SUM(B37:G37)</f>
        <v>0</v>
      </c>
      <c r="C38" s="326"/>
      <c r="D38" s="326"/>
      <c r="E38" s="326"/>
      <c r="F38" s="326"/>
      <c r="G38" s="327"/>
    </row>
    <row r="40" spans="1:7" ht="15" hidden="1" customHeight="1" x14ac:dyDescent="0.2">
      <c r="A40" s="203" t="s">
        <v>101</v>
      </c>
    </row>
    <row r="41" spans="1:7" ht="15" hidden="1" customHeight="1" x14ac:dyDescent="0.2">
      <c r="A41" s="203" t="s">
        <v>100</v>
      </c>
    </row>
    <row r="42" spans="1:7" ht="15" hidden="1" customHeight="1" x14ac:dyDescent="0.2">
      <c r="A42" s="203" t="s">
        <v>102</v>
      </c>
    </row>
    <row r="43" spans="1:7" ht="15" hidden="1" customHeight="1" x14ac:dyDescent="0.2">
      <c r="A43" s="203" t="s">
        <v>103</v>
      </c>
    </row>
    <row r="44" spans="1:7" ht="15" hidden="1" customHeight="1" x14ac:dyDescent="0.2">
      <c r="A44" s="203" t="s">
        <v>104</v>
      </c>
    </row>
    <row r="45" spans="1:7" ht="15" hidden="1" customHeight="1" x14ac:dyDescent="0.2"/>
    <row r="46" spans="1:7" ht="15" hidden="1" customHeight="1" x14ac:dyDescent="0.2">
      <c r="A46" s="244" t="s">
        <v>72</v>
      </c>
      <c r="B46" s="245" t="str">
        <f>IFERROR(VLOOKUP(B27,VLOOKUPS!$A$34:$B$76,2,0),"Ander")</f>
        <v>Ander</v>
      </c>
      <c r="C46" s="245" t="str">
        <f>IFERROR(VLOOKUP(C27,VLOOKUPS!$A$34:$B$76,2,0),"Ander")</f>
        <v>Ander</v>
      </c>
      <c r="D46" s="245" t="str">
        <f>IFERROR(VLOOKUP(D27,VLOOKUPS!$A$34:$B$76,2,0),"Ander")</f>
        <v>Ander</v>
      </c>
      <c r="E46" s="245" t="str">
        <f>IFERROR(VLOOKUP(E27,VLOOKUPS!$A$34:$B$76,2,0),"Ander")</f>
        <v>Ander</v>
      </c>
      <c r="F46" s="245" t="str">
        <f>IFERROR(VLOOKUP(F27,VLOOKUPS!$A$34:$B$76,2,0),"Ander")</f>
        <v>Ander</v>
      </c>
      <c r="G46" s="245" t="str">
        <f>IFERROR(VLOOKUP(G27,VLOOKUPS!$A$34:$B$76,2,0),"Ander")</f>
        <v>Ander</v>
      </c>
    </row>
    <row r="47" spans="1:7" ht="15" hidden="1" customHeight="1" x14ac:dyDescent="0.2">
      <c r="A47" s="246" t="s">
        <v>74</v>
      </c>
      <c r="B47" s="247">
        <f t="shared" ref="B47:F47" si="15">IF(B46="Syngenta",B37,0)</f>
        <v>0</v>
      </c>
      <c r="C47" s="247">
        <f t="shared" si="15"/>
        <v>0</v>
      </c>
      <c r="D47" s="247">
        <f t="shared" si="15"/>
        <v>0</v>
      </c>
      <c r="E47" s="247">
        <f t="shared" si="15"/>
        <v>0</v>
      </c>
      <c r="F47" s="247">
        <f t="shared" si="15"/>
        <v>0</v>
      </c>
      <c r="G47" s="247">
        <f t="shared" ref="G47" si="16">IF(G46="Syngenta",G37,0)</f>
        <v>0</v>
      </c>
    </row>
    <row r="48" spans="1:7" ht="15" hidden="1" customHeight="1" x14ac:dyDescent="0.2">
      <c r="A48" s="246" t="s">
        <v>75</v>
      </c>
      <c r="B48" s="247">
        <f t="shared" ref="B48:F48" si="17">IF(B46="Ander",B37,0)</f>
        <v>0</v>
      </c>
      <c r="C48" s="247">
        <f t="shared" si="17"/>
        <v>0</v>
      </c>
      <c r="D48" s="247">
        <f t="shared" si="17"/>
        <v>0</v>
      </c>
      <c r="E48" s="247">
        <f t="shared" si="17"/>
        <v>0</v>
      </c>
      <c r="F48" s="247">
        <f t="shared" si="17"/>
        <v>0</v>
      </c>
      <c r="G48" s="247">
        <f t="shared" ref="G48" si="18">IF(G46="Ander",G37,0)</f>
        <v>0</v>
      </c>
    </row>
    <row r="49" spans="1:7" ht="15" hidden="1" customHeight="1" x14ac:dyDescent="0.25">
      <c r="A49" s="248"/>
      <c r="B49" s="228"/>
      <c r="C49" s="228"/>
      <c r="D49" s="228"/>
      <c r="E49" s="228"/>
      <c r="F49" s="228"/>
      <c r="G49" s="249" t="s">
        <v>0</v>
      </c>
    </row>
    <row r="50" spans="1:7" ht="15" hidden="1" customHeight="1" x14ac:dyDescent="0.25">
      <c r="A50" s="248"/>
      <c r="B50" s="228"/>
      <c r="C50" s="228"/>
      <c r="D50" s="228"/>
      <c r="E50" s="228"/>
      <c r="F50" s="228"/>
      <c r="G50" s="249">
        <f>SUM(B47:G47)</f>
        <v>0</v>
      </c>
    </row>
    <row r="51" spans="1:7" ht="15" hidden="1" customHeight="1" x14ac:dyDescent="0.25">
      <c r="A51" s="248"/>
      <c r="B51" s="228"/>
      <c r="C51" s="228"/>
      <c r="D51" s="228"/>
      <c r="E51" s="228">
        <f>+A24</f>
        <v>0</v>
      </c>
      <c r="F51" s="228"/>
      <c r="G51" s="249">
        <f>SUM(B48:G48)</f>
        <v>0</v>
      </c>
    </row>
    <row r="52" spans="1:7" ht="15" hidden="1" customHeight="1" x14ac:dyDescent="0.2"/>
    <row r="53" spans="1:7" ht="20.25" x14ac:dyDescent="0.3">
      <c r="A53" s="334" t="s">
        <v>37</v>
      </c>
      <c r="B53" s="334"/>
      <c r="C53" s="334"/>
      <c r="D53" s="334"/>
      <c r="E53" s="334"/>
      <c r="F53" s="334"/>
      <c r="G53" s="334"/>
    </row>
    <row r="54" spans="1:7" ht="20.25" x14ac:dyDescent="0.3">
      <c r="A54" s="321" t="s">
        <v>1</v>
      </c>
      <c r="B54" s="322" t="s">
        <v>424</v>
      </c>
      <c r="C54" s="323"/>
      <c r="D54" s="324"/>
      <c r="E54" s="322" t="s">
        <v>425</v>
      </c>
      <c r="F54" s="323"/>
      <c r="G54" s="324"/>
    </row>
    <row r="55" spans="1:7" x14ac:dyDescent="0.2">
      <c r="A55" s="321"/>
      <c r="B55" s="235"/>
      <c r="C55" s="235"/>
      <c r="D55" s="235"/>
      <c r="E55" s="235"/>
      <c r="F55" s="235"/>
      <c r="G55" s="235"/>
    </row>
    <row r="56" spans="1:7" x14ac:dyDescent="0.2">
      <c r="A56" s="236" t="s">
        <v>62</v>
      </c>
      <c r="B56" s="300"/>
      <c r="C56" s="300"/>
      <c r="D56" s="300"/>
      <c r="E56" s="301"/>
      <c r="F56" s="302"/>
      <c r="G56" s="302"/>
    </row>
    <row r="57" spans="1:7" x14ac:dyDescent="0.2">
      <c r="A57" s="236" t="s">
        <v>186</v>
      </c>
      <c r="B57" s="265"/>
      <c r="C57" s="265"/>
      <c r="D57" s="265"/>
      <c r="E57" s="269"/>
      <c r="F57" s="238"/>
      <c r="G57" s="238"/>
    </row>
    <row r="58" spans="1:7" x14ac:dyDescent="0.2">
      <c r="A58" s="239" t="s">
        <v>93</v>
      </c>
      <c r="B58" s="266">
        <f t="shared" ref="B58:F58" si="19">B56*B57</f>
        <v>0</v>
      </c>
      <c r="C58" s="266">
        <f t="shared" si="19"/>
        <v>0</v>
      </c>
      <c r="D58" s="266">
        <f t="shared" si="19"/>
        <v>0</v>
      </c>
      <c r="E58" s="263">
        <f t="shared" si="19"/>
        <v>0</v>
      </c>
      <c r="F58" s="240">
        <f t="shared" si="19"/>
        <v>0</v>
      </c>
      <c r="G58" s="240">
        <f t="shared" ref="G58" si="20">G56*G57</f>
        <v>0</v>
      </c>
    </row>
    <row r="59" spans="1:7" x14ac:dyDescent="0.2">
      <c r="A59" s="236" t="s">
        <v>61</v>
      </c>
      <c r="B59" s="267"/>
      <c r="C59" s="267"/>
      <c r="D59" s="267"/>
      <c r="E59" s="270"/>
      <c r="F59" s="241"/>
      <c r="G59" s="241"/>
    </row>
    <row r="60" spans="1:7" x14ac:dyDescent="0.2">
      <c r="A60" s="239" t="s">
        <v>94</v>
      </c>
      <c r="B60" s="271">
        <f t="shared" ref="B60:E60" si="21">IFERROR((B58*B59)/B57,0)</f>
        <v>0</v>
      </c>
      <c r="C60" s="271">
        <f t="shared" si="21"/>
        <v>0</v>
      </c>
      <c r="D60" s="271">
        <f t="shared" si="21"/>
        <v>0</v>
      </c>
      <c r="E60" s="272">
        <f t="shared" si="21"/>
        <v>0</v>
      </c>
      <c r="F60" s="273">
        <f t="shared" ref="F60" si="22">IFERROR((F58*F59)/F57,0)</f>
        <v>0</v>
      </c>
      <c r="G60" s="273">
        <f t="shared" ref="G60" si="23">IFERROR((G58*G59)/G57,0)</f>
        <v>0</v>
      </c>
    </row>
    <row r="61" spans="1:7" x14ac:dyDescent="0.2">
      <c r="A61" s="242" t="s">
        <v>60</v>
      </c>
      <c r="B61" s="331">
        <f>SUM(B60:G60)</f>
        <v>0</v>
      </c>
      <c r="C61" s="332"/>
      <c r="D61" s="332"/>
      <c r="E61" s="332"/>
      <c r="F61" s="332"/>
      <c r="G61" s="333"/>
    </row>
    <row r="62" spans="1:7" x14ac:dyDescent="0.2">
      <c r="A62" s="236" t="s">
        <v>441</v>
      </c>
      <c r="B62" s="264"/>
      <c r="C62" s="264"/>
      <c r="D62" s="264"/>
      <c r="E62" s="275"/>
      <c r="F62" s="274"/>
      <c r="G62" s="274"/>
    </row>
    <row r="63" spans="1:7" x14ac:dyDescent="0.2">
      <c r="A63" s="239" t="s">
        <v>56</v>
      </c>
      <c r="B63" s="266">
        <f t="shared" ref="B63:E63" si="24">+IFERROR(ROUNDUP(B58/B62,0),0)</f>
        <v>0</v>
      </c>
      <c r="C63" s="266">
        <f t="shared" si="24"/>
        <v>0</v>
      </c>
      <c r="D63" s="266">
        <f t="shared" si="24"/>
        <v>0</v>
      </c>
      <c r="E63" s="263">
        <f t="shared" si="24"/>
        <v>0</v>
      </c>
      <c r="F63" s="240">
        <f t="shared" ref="F63" si="25">+IFERROR(ROUNDUP(F58/F62,0),0)</f>
        <v>0</v>
      </c>
      <c r="G63" s="240">
        <f t="shared" ref="G63" si="26">+IFERROR(ROUNDUP(G58/G62,0),0)</f>
        <v>0</v>
      </c>
    </row>
    <row r="64" spans="1:7" x14ac:dyDescent="0.2">
      <c r="A64" s="239" t="s">
        <v>57</v>
      </c>
      <c r="B64" s="298">
        <f t="shared" ref="B64:E64" si="27">+B59*B62</f>
        <v>0</v>
      </c>
      <c r="C64" s="298">
        <f t="shared" si="27"/>
        <v>0</v>
      </c>
      <c r="D64" s="298">
        <f t="shared" si="27"/>
        <v>0</v>
      </c>
      <c r="E64" s="298">
        <f t="shared" si="27"/>
        <v>0</v>
      </c>
      <c r="F64" s="298">
        <f t="shared" ref="F64" si="28">+F59*F62</f>
        <v>0</v>
      </c>
      <c r="G64" s="298">
        <f t="shared" ref="G64" si="29">+G59*G62</f>
        <v>0</v>
      </c>
    </row>
    <row r="65" spans="1:7" x14ac:dyDescent="0.2">
      <c r="A65" s="239" t="s">
        <v>58</v>
      </c>
      <c r="B65" s="299">
        <f t="shared" ref="B65:E65" si="30">+B63*B64</f>
        <v>0</v>
      </c>
      <c r="C65" s="299">
        <f t="shared" si="30"/>
        <v>0</v>
      </c>
      <c r="D65" s="299">
        <f t="shared" si="30"/>
        <v>0</v>
      </c>
      <c r="E65" s="299">
        <f t="shared" si="30"/>
        <v>0</v>
      </c>
      <c r="F65" s="299">
        <f t="shared" ref="F65" si="31">+F63*F64</f>
        <v>0</v>
      </c>
      <c r="G65" s="299">
        <f t="shared" ref="G65" si="32">+G63*G64</f>
        <v>0</v>
      </c>
    </row>
    <row r="66" spans="1:7" ht="15" x14ac:dyDescent="0.25">
      <c r="A66" s="243" t="s">
        <v>0</v>
      </c>
      <c r="B66" s="326">
        <f>SUM(B65:G65)</f>
        <v>0</v>
      </c>
      <c r="C66" s="326"/>
      <c r="D66" s="326"/>
      <c r="E66" s="326"/>
      <c r="F66" s="326"/>
      <c r="G66" s="327"/>
    </row>
    <row r="68" spans="1:7" ht="15" hidden="1" customHeight="1" x14ac:dyDescent="0.2">
      <c r="A68" s="244" t="s">
        <v>101</v>
      </c>
      <c r="B68" s="245">
        <f t="shared" ref="B68:G68" si="33">+IFERROR((B63*B62)/B56,0)</f>
        <v>0</v>
      </c>
      <c r="C68" s="245">
        <f t="shared" si="33"/>
        <v>0</v>
      </c>
      <c r="D68" s="245">
        <f t="shared" si="33"/>
        <v>0</v>
      </c>
      <c r="E68" s="245">
        <f t="shared" si="33"/>
        <v>0</v>
      </c>
      <c r="F68" s="245">
        <f t="shared" si="33"/>
        <v>0</v>
      </c>
      <c r="G68" s="245">
        <f t="shared" si="33"/>
        <v>0</v>
      </c>
    </row>
    <row r="69" spans="1:7" ht="15" hidden="1" customHeight="1" x14ac:dyDescent="0.2">
      <c r="A69" s="246" t="s">
        <v>100</v>
      </c>
      <c r="B69" s="247">
        <f>+IFERROR(B57*#REF!,0)</f>
        <v>0</v>
      </c>
      <c r="C69" s="247">
        <f>+IFERROR(C57*#REF!,0)</f>
        <v>0</v>
      </c>
      <c r="D69" s="247">
        <f>+IFERROR(D57*#REF!,0)</f>
        <v>0</v>
      </c>
      <c r="E69" s="247">
        <f>+IFERROR(E57*#REF!,0)</f>
        <v>0</v>
      </c>
      <c r="F69" s="247">
        <f>+IFERROR(F57*#REF!,0)</f>
        <v>0</v>
      </c>
      <c r="G69" s="247">
        <f>+IFERROR(G57*#REF!,0)</f>
        <v>0</v>
      </c>
    </row>
    <row r="70" spans="1:7" ht="15" hidden="1" customHeight="1" x14ac:dyDescent="0.2">
      <c r="A70" s="250" t="s">
        <v>102</v>
      </c>
      <c r="B70" s="251">
        <f t="shared" ref="B70:G70" si="34">+IFERROR(B65/B68,0)</f>
        <v>0</v>
      </c>
      <c r="C70" s="251">
        <f t="shared" si="34"/>
        <v>0</v>
      </c>
      <c r="D70" s="251">
        <f t="shared" si="34"/>
        <v>0</v>
      </c>
      <c r="E70" s="251">
        <f t="shared" si="34"/>
        <v>0</v>
      </c>
      <c r="F70" s="251">
        <f t="shared" si="34"/>
        <v>0</v>
      </c>
      <c r="G70" s="251">
        <f t="shared" si="34"/>
        <v>0</v>
      </c>
    </row>
    <row r="71" spans="1:7" ht="15" hidden="1" customHeight="1" x14ac:dyDescent="0.2">
      <c r="A71" s="246" t="s">
        <v>103</v>
      </c>
      <c r="B71" s="247">
        <f t="shared" ref="B71:G71" si="35">+IFERROR(B65/B69,0)</f>
        <v>0</v>
      </c>
      <c r="C71" s="247">
        <f t="shared" si="35"/>
        <v>0</v>
      </c>
      <c r="D71" s="247">
        <f t="shared" si="35"/>
        <v>0</v>
      </c>
      <c r="E71" s="247">
        <f t="shared" si="35"/>
        <v>0</v>
      </c>
      <c r="F71" s="247">
        <f t="shared" si="35"/>
        <v>0</v>
      </c>
      <c r="G71" s="247">
        <f t="shared" si="35"/>
        <v>0</v>
      </c>
    </row>
    <row r="72" spans="1:7" ht="15" hidden="1" customHeight="1" x14ac:dyDescent="0.2">
      <c r="A72" s="250" t="s">
        <v>104</v>
      </c>
      <c r="B72" s="251">
        <f t="shared" ref="B72:G72" si="36">+B56*B57*B59</f>
        <v>0</v>
      </c>
      <c r="C72" s="251">
        <f t="shared" si="36"/>
        <v>0</v>
      </c>
      <c r="D72" s="251">
        <f t="shared" si="36"/>
        <v>0</v>
      </c>
      <c r="E72" s="251">
        <f t="shared" si="36"/>
        <v>0</v>
      </c>
      <c r="F72" s="251">
        <f t="shared" si="36"/>
        <v>0</v>
      </c>
      <c r="G72" s="251">
        <f t="shared" si="36"/>
        <v>0</v>
      </c>
    </row>
    <row r="73" spans="1:7" ht="15" hidden="1" customHeight="1" x14ac:dyDescent="0.2"/>
    <row r="74" spans="1:7" ht="15" hidden="1" customHeight="1" x14ac:dyDescent="0.2">
      <c r="A74" s="244" t="s">
        <v>72</v>
      </c>
      <c r="B74" s="245" t="str">
        <f>IFERROR(VLOOKUP(B55,VLOOKUPS!$A$34:$B$76,2,0),"Ander")</f>
        <v>Ander</v>
      </c>
      <c r="C74" s="245" t="str">
        <f>IFERROR(VLOOKUP(C55,VLOOKUPS!$A$34:$B$76,2,0),"Ander")</f>
        <v>Ander</v>
      </c>
      <c r="D74" s="245" t="str">
        <f>IFERROR(VLOOKUP(D55,VLOOKUPS!$A$34:$B$76,2,0),"Ander")</f>
        <v>Ander</v>
      </c>
      <c r="E74" s="245" t="str">
        <f>IFERROR(VLOOKUP(E55,VLOOKUPS!$A$34:$B$76,2,0),"Ander")</f>
        <v>Ander</v>
      </c>
      <c r="F74" s="245" t="str">
        <f>IFERROR(VLOOKUP(F55,VLOOKUPS!$A$34:$B$76,2,0),"Ander")</f>
        <v>Ander</v>
      </c>
      <c r="G74" s="245" t="str">
        <f>IFERROR(VLOOKUP(G55,VLOOKUPS!$A$34:$B$76,2,0),"Ander")</f>
        <v>Ander</v>
      </c>
    </row>
    <row r="75" spans="1:7" ht="15" hidden="1" customHeight="1" x14ac:dyDescent="0.2">
      <c r="A75" s="246" t="s">
        <v>74</v>
      </c>
      <c r="B75" s="247">
        <f t="shared" ref="B75:F75" si="37">IF(B74="Syngenta",B65,0)</f>
        <v>0</v>
      </c>
      <c r="C75" s="247">
        <f t="shared" si="37"/>
        <v>0</v>
      </c>
      <c r="D75" s="247">
        <f t="shared" si="37"/>
        <v>0</v>
      </c>
      <c r="E75" s="247">
        <f t="shared" si="37"/>
        <v>0</v>
      </c>
      <c r="F75" s="247">
        <f t="shared" si="37"/>
        <v>0</v>
      </c>
      <c r="G75" s="247">
        <f t="shared" ref="G75" si="38">IF(G74="Syngenta",G65,0)</f>
        <v>0</v>
      </c>
    </row>
    <row r="76" spans="1:7" ht="15" hidden="1" customHeight="1" x14ac:dyDescent="0.2">
      <c r="A76" s="246" t="s">
        <v>75</v>
      </c>
      <c r="B76" s="247">
        <f t="shared" ref="B76:F76" si="39">IF(B74="Ander",B65,0)</f>
        <v>0</v>
      </c>
      <c r="C76" s="247">
        <f t="shared" si="39"/>
        <v>0</v>
      </c>
      <c r="D76" s="247">
        <f t="shared" si="39"/>
        <v>0</v>
      </c>
      <c r="E76" s="247">
        <f t="shared" si="39"/>
        <v>0</v>
      </c>
      <c r="F76" s="247">
        <f t="shared" si="39"/>
        <v>0</v>
      </c>
      <c r="G76" s="247">
        <f t="shared" ref="G76" si="40">IF(G74="Ander",G65,0)</f>
        <v>0</v>
      </c>
    </row>
    <row r="77" spans="1:7" ht="15" hidden="1" customHeight="1" x14ac:dyDescent="0.25">
      <c r="A77" s="248"/>
      <c r="B77" s="228"/>
      <c r="C77" s="228"/>
      <c r="D77" s="228"/>
      <c r="E77" s="228"/>
      <c r="F77" s="228"/>
      <c r="G77" s="249" t="s">
        <v>0</v>
      </c>
    </row>
    <row r="78" spans="1:7" ht="15" hidden="1" customHeight="1" x14ac:dyDescent="0.25">
      <c r="A78" s="248"/>
      <c r="B78" s="228"/>
      <c r="C78" s="228"/>
      <c r="D78" s="228"/>
      <c r="E78" s="228"/>
      <c r="F78" s="228" t="s">
        <v>73</v>
      </c>
      <c r="G78" s="249">
        <f>SUM(B75:G75)</f>
        <v>0</v>
      </c>
    </row>
    <row r="79" spans="1:7" ht="15" hidden="1" customHeight="1" x14ac:dyDescent="0.25">
      <c r="A79" s="248"/>
      <c r="B79" s="228"/>
      <c r="C79" s="228"/>
      <c r="D79" s="228"/>
      <c r="E79" s="228"/>
      <c r="F79" s="228" t="s">
        <v>67</v>
      </c>
      <c r="G79" s="249">
        <f>SUM(B76:G76)</f>
        <v>0</v>
      </c>
    </row>
    <row r="80" spans="1:7" ht="15" hidden="1" customHeight="1" x14ac:dyDescent="0.2"/>
    <row r="81" spans="1:7" ht="20.25" x14ac:dyDescent="0.3">
      <c r="A81" s="334" t="s">
        <v>107</v>
      </c>
      <c r="B81" s="334"/>
      <c r="C81" s="334"/>
      <c r="D81" s="334"/>
      <c r="E81" s="334"/>
      <c r="F81" s="334"/>
      <c r="G81" s="334"/>
    </row>
    <row r="82" spans="1:7" ht="20.25" x14ac:dyDescent="0.3">
      <c r="A82" s="321" t="s">
        <v>1</v>
      </c>
      <c r="B82" s="322" t="s">
        <v>424</v>
      </c>
      <c r="C82" s="323"/>
      <c r="D82" s="324"/>
      <c r="E82" s="322" t="s">
        <v>425</v>
      </c>
      <c r="F82" s="323"/>
      <c r="G82" s="324"/>
    </row>
    <row r="83" spans="1:7" x14ac:dyDescent="0.2">
      <c r="A83" s="321"/>
      <c r="B83" s="235"/>
      <c r="C83" s="235"/>
      <c r="D83" s="235"/>
      <c r="E83" s="235"/>
      <c r="F83" s="235"/>
      <c r="G83" s="235"/>
    </row>
    <row r="84" spans="1:7" x14ac:dyDescent="0.2">
      <c r="A84" s="236" t="s">
        <v>62</v>
      </c>
      <c r="B84" s="276"/>
      <c r="C84" s="264"/>
      <c r="D84" s="284"/>
      <c r="E84" s="264"/>
      <c r="F84" s="284"/>
      <c r="G84" s="264"/>
    </row>
    <row r="85" spans="1:7" x14ac:dyDescent="0.2">
      <c r="A85" s="236" t="s">
        <v>186</v>
      </c>
      <c r="B85" s="277"/>
      <c r="C85" s="265"/>
      <c r="D85" s="281"/>
      <c r="E85" s="265"/>
      <c r="F85" s="281"/>
      <c r="G85" s="265"/>
    </row>
    <row r="86" spans="1:7" x14ac:dyDescent="0.2">
      <c r="A86" s="239" t="s">
        <v>93</v>
      </c>
      <c r="B86" s="278">
        <f t="shared" ref="B86:G86" si="41">+B84*B85</f>
        <v>0</v>
      </c>
      <c r="C86" s="266">
        <f t="shared" si="41"/>
        <v>0</v>
      </c>
      <c r="D86" s="282">
        <f t="shared" si="41"/>
        <v>0</v>
      </c>
      <c r="E86" s="266">
        <f t="shared" si="41"/>
        <v>0</v>
      </c>
      <c r="F86" s="282">
        <f t="shared" si="41"/>
        <v>0</v>
      </c>
      <c r="G86" s="266">
        <f t="shared" si="41"/>
        <v>0</v>
      </c>
    </row>
    <row r="87" spans="1:7" x14ac:dyDescent="0.2">
      <c r="A87" s="236" t="s">
        <v>61</v>
      </c>
      <c r="B87" s="279"/>
      <c r="C87" s="267"/>
      <c r="D87" s="283"/>
      <c r="E87" s="267"/>
      <c r="F87" s="283"/>
      <c r="G87" s="267"/>
    </row>
    <row r="88" spans="1:7" x14ac:dyDescent="0.2">
      <c r="A88" s="239" t="s">
        <v>94</v>
      </c>
      <c r="B88" s="285">
        <f t="shared" ref="B88:G88" si="42">IFERROR((B86*B87)/B85,0)</f>
        <v>0</v>
      </c>
      <c r="C88" s="271">
        <f t="shared" si="42"/>
        <v>0</v>
      </c>
      <c r="D88" s="286">
        <f>IFERROR((D86*D87)/D85,0)</f>
        <v>0</v>
      </c>
      <c r="E88" s="271">
        <f t="shared" si="42"/>
        <v>0</v>
      </c>
      <c r="F88" s="271">
        <f t="shared" si="42"/>
        <v>0</v>
      </c>
      <c r="G88" s="271">
        <f t="shared" si="42"/>
        <v>0</v>
      </c>
    </row>
    <row r="89" spans="1:7" x14ac:dyDescent="0.2">
      <c r="A89" s="242" t="s">
        <v>60</v>
      </c>
      <c r="B89" s="335">
        <f>SUM(B88:G88)</f>
        <v>0</v>
      </c>
      <c r="C89" s="336"/>
      <c r="D89" s="336"/>
      <c r="E89" s="336"/>
      <c r="F89" s="336"/>
      <c r="G89" s="337"/>
    </row>
    <row r="90" spans="1:7" x14ac:dyDescent="0.2">
      <c r="A90" s="236" t="s">
        <v>441</v>
      </c>
      <c r="B90" s="264"/>
      <c r="C90" s="264"/>
      <c r="D90" s="264"/>
      <c r="E90" s="264"/>
      <c r="F90" s="264"/>
      <c r="G90" s="264"/>
    </row>
    <row r="91" spans="1:7" x14ac:dyDescent="0.2">
      <c r="A91" s="239" t="s">
        <v>56</v>
      </c>
      <c r="B91" s="266">
        <f t="shared" ref="B91:G91" si="43">+IFERROR(ROUNDUP(B86/B90,0),0)</f>
        <v>0</v>
      </c>
      <c r="C91" s="266">
        <f t="shared" si="43"/>
        <v>0</v>
      </c>
      <c r="D91" s="266">
        <f t="shared" si="43"/>
        <v>0</v>
      </c>
      <c r="E91" s="266">
        <f t="shared" si="43"/>
        <v>0</v>
      </c>
      <c r="F91" s="266">
        <f t="shared" si="43"/>
        <v>0</v>
      </c>
      <c r="G91" s="266">
        <f t="shared" si="43"/>
        <v>0</v>
      </c>
    </row>
    <row r="92" spans="1:7" x14ac:dyDescent="0.2">
      <c r="A92" s="239" t="s">
        <v>57</v>
      </c>
      <c r="B92" s="298">
        <f t="shared" ref="B92:G92" si="44">+B87*B90</f>
        <v>0</v>
      </c>
      <c r="C92" s="298">
        <f t="shared" si="44"/>
        <v>0</v>
      </c>
      <c r="D92" s="298">
        <f t="shared" si="44"/>
        <v>0</v>
      </c>
      <c r="E92" s="298">
        <f t="shared" si="44"/>
        <v>0</v>
      </c>
      <c r="F92" s="298">
        <f t="shared" si="44"/>
        <v>0</v>
      </c>
      <c r="G92" s="298">
        <f t="shared" si="44"/>
        <v>0</v>
      </c>
    </row>
    <row r="93" spans="1:7" x14ac:dyDescent="0.2">
      <c r="A93" s="239" t="s">
        <v>58</v>
      </c>
      <c r="B93" s="299">
        <f t="shared" ref="B93:G93" si="45">+B91*B92</f>
        <v>0</v>
      </c>
      <c r="C93" s="299">
        <f t="shared" si="45"/>
        <v>0</v>
      </c>
      <c r="D93" s="299">
        <f t="shared" si="45"/>
        <v>0</v>
      </c>
      <c r="E93" s="299">
        <f t="shared" si="45"/>
        <v>0</v>
      </c>
      <c r="F93" s="299">
        <f t="shared" si="45"/>
        <v>0</v>
      </c>
      <c r="G93" s="299">
        <f t="shared" si="45"/>
        <v>0</v>
      </c>
    </row>
    <row r="94" spans="1:7" ht="15" x14ac:dyDescent="0.25">
      <c r="A94" s="243" t="s">
        <v>0</v>
      </c>
      <c r="B94" s="326">
        <f>SUM(B93:G93)</f>
        <v>0</v>
      </c>
      <c r="C94" s="326"/>
      <c r="D94" s="326"/>
      <c r="E94" s="326"/>
      <c r="F94" s="326"/>
      <c r="G94" s="327"/>
    </row>
    <row r="96" spans="1:7" ht="15" hidden="1" customHeight="1" x14ac:dyDescent="0.2">
      <c r="A96" s="244" t="s">
        <v>101</v>
      </c>
      <c r="B96" s="245">
        <f t="shared" ref="B96:G96" si="46">+IFERROR((B91*B90)/B84,0)</f>
        <v>0</v>
      </c>
      <c r="C96" s="245">
        <f t="shared" si="46"/>
        <v>0</v>
      </c>
      <c r="D96" s="303">
        <f t="shared" si="46"/>
        <v>0</v>
      </c>
      <c r="E96" s="303">
        <f t="shared" si="46"/>
        <v>0</v>
      </c>
      <c r="F96" s="245">
        <f t="shared" si="46"/>
        <v>0</v>
      </c>
      <c r="G96" s="245">
        <f t="shared" si="46"/>
        <v>0</v>
      </c>
    </row>
    <row r="97" spans="1:7" ht="15" hidden="1" customHeight="1" x14ac:dyDescent="0.2">
      <c r="A97" s="246" t="s">
        <v>100</v>
      </c>
      <c r="B97" s="247">
        <f>+IFERROR(B85*#REF!,0)</f>
        <v>0</v>
      </c>
      <c r="C97" s="247">
        <f>+IFERROR(C85*#REF!,0)</f>
        <v>0</v>
      </c>
      <c r="D97" s="247">
        <f>+IFERROR(D85*#REF!,0)</f>
        <v>0</v>
      </c>
      <c r="E97" s="247">
        <f>+IFERROR(E85*#REF!,0)</f>
        <v>0</v>
      </c>
      <c r="F97" s="247">
        <f>+IFERROR(F85*#REF!,0)</f>
        <v>0</v>
      </c>
      <c r="G97" s="247">
        <f>+IFERROR(G85*#REF!,0)</f>
        <v>0</v>
      </c>
    </row>
    <row r="98" spans="1:7" ht="15" hidden="1" customHeight="1" x14ac:dyDescent="0.2">
      <c r="A98" s="250" t="s">
        <v>102</v>
      </c>
      <c r="B98" s="251">
        <f t="shared" ref="B98:G98" si="47">+IFERROR(B93/B96,0)</f>
        <v>0</v>
      </c>
      <c r="C98" s="251">
        <f t="shared" si="47"/>
        <v>0</v>
      </c>
      <c r="D98" s="251">
        <f t="shared" si="47"/>
        <v>0</v>
      </c>
      <c r="E98" s="251">
        <f t="shared" si="47"/>
        <v>0</v>
      </c>
      <c r="F98" s="251">
        <f t="shared" si="47"/>
        <v>0</v>
      </c>
      <c r="G98" s="251">
        <f t="shared" si="47"/>
        <v>0</v>
      </c>
    </row>
    <row r="99" spans="1:7" ht="15" hidden="1" customHeight="1" x14ac:dyDescent="0.2">
      <c r="A99" s="246" t="s">
        <v>103</v>
      </c>
      <c r="B99" s="247">
        <f t="shared" ref="B99:G99" si="48">+IFERROR(B93/B97,0)</f>
        <v>0</v>
      </c>
      <c r="C99" s="247">
        <f t="shared" si="48"/>
        <v>0</v>
      </c>
      <c r="D99" s="247">
        <f t="shared" si="48"/>
        <v>0</v>
      </c>
      <c r="E99" s="247">
        <f t="shared" si="48"/>
        <v>0</v>
      </c>
      <c r="F99" s="247">
        <f t="shared" si="48"/>
        <v>0</v>
      </c>
      <c r="G99" s="247">
        <f t="shared" si="48"/>
        <v>0</v>
      </c>
    </row>
    <row r="100" spans="1:7" ht="15" hidden="1" customHeight="1" x14ac:dyDescent="0.2">
      <c r="A100" s="250" t="s">
        <v>104</v>
      </c>
      <c r="B100" s="251">
        <f t="shared" ref="B100:G100" si="49">+B84*B85*B87</f>
        <v>0</v>
      </c>
      <c r="C100" s="251">
        <f t="shared" si="49"/>
        <v>0</v>
      </c>
      <c r="D100" s="251">
        <f t="shared" si="49"/>
        <v>0</v>
      </c>
      <c r="E100" s="251">
        <f t="shared" si="49"/>
        <v>0</v>
      </c>
      <c r="F100" s="251">
        <f t="shared" si="49"/>
        <v>0</v>
      </c>
      <c r="G100" s="251">
        <f t="shared" si="49"/>
        <v>0</v>
      </c>
    </row>
    <row r="101" spans="1:7" ht="15" hidden="1" customHeight="1" x14ac:dyDescent="0.2"/>
    <row r="102" spans="1:7" ht="15" hidden="1" customHeight="1" x14ac:dyDescent="0.2">
      <c r="A102" s="244" t="s">
        <v>72</v>
      </c>
      <c r="B102" s="245" t="str">
        <f>IFERROR(VLOOKUP(B83,VLOOKUPS!$A$34:$B$76,2,0),"Ander")</f>
        <v>Ander</v>
      </c>
      <c r="C102" s="245" t="str">
        <f>IFERROR(VLOOKUP(C83,VLOOKUPS!$A$34:$B$76,2,0),"Ander")</f>
        <v>Ander</v>
      </c>
      <c r="D102" s="245" t="str">
        <f>IFERROR(VLOOKUP(D83,VLOOKUPS!$A$34:$B$76,2,0),"Ander")</f>
        <v>Ander</v>
      </c>
      <c r="E102" s="245" t="str">
        <f>IFERROR(VLOOKUP(E83,VLOOKUPS!$A$34:$B$76,2,0),"Ander")</f>
        <v>Ander</v>
      </c>
      <c r="F102" s="245" t="str">
        <f>IFERROR(VLOOKUP(F83,VLOOKUPS!$A$34:$B$76,2,0),"Ander")</f>
        <v>Ander</v>
      </c>
      <c r="G102" s="245" t="str">
        <f>IFERROR(VLOOKUP(G83,VLOOKUPS!$A$34:$B$76,2,0),"Ander")</f>
        <v>Ander</v>
      </c>
    </row>
    <row r="103" spans="1:7" ht="15" hidden="1" customHeight="1" x14ac:dyDescent="0.2">
      <c r="A103" s="246" t="s">
        <v>74</v>
      </c>
      <c r="B103" s="247">
        <f t="shared" ref="B103:F103" si="50">IF(B102="Syngenta",B93,0)</f>
        <v>0</v>
      </c>
      <c r="C103" s="247">
        <f t="shared" si="50"/>
        <v>0</v>
      </c>
      <c r="D103" s="247">
        <f t="shared" si="50"/>
        <v>0</v>
      </c>
      <c r="E103" s="247">
        <f t="shared" si="50"/>
        <v>0</v>
      </c>
      <c r="F103" s="247">
        <f t="shared" si="50"/>
        <v>0</v>
      </c>
      <c r="G103" s="247">
        <f t="shared" ref="G103" si="51">IF(G102="Syngenta",G93,0)</f>
        <v>0</v>
      </c>
    </row>
    <row r="104" spans="1:7" ht="15" hidden="1" customHeight="1" x14ac:dyDescent="0.2">
      <c r="A104" s="246" t="s">
        <v>75</v>
      </c>
      <c r="B104" s="247">
        <f t="shared" ref="B104:F104" si="52">IF(B102="Ander",B93,0)</f>
        <v>0</v>
      </c>
      <c r="C104" s="247">
        <f t="shared" si="52"/>
        <v>0</v>
      </c>
      <c r="D104" s="247">
        <f t="shared" si="52"/>
        <v>0</v>
      </c>
      <c r="E104" s="247">
        <f t="shared" si="52"/>
        <v>0</v>
      </c>
      <c r="F104" s="247">
        <f t="shared" si="52"/>
        <v>0</v>
      </c>
      <c r="G104" s="247">
        <f t="shared" ref="G104" si="53">IF(G102="Ander",G93,0)</f>
        <v>0</v>
      </c>
    </row>
    <row r="105" spans="1:7" ht="15" hidden="1" customHeight="1" x14ac:dyDescent="0.25">
      <c r="A105" s="248"/>
      <c r="B105" s="228"/>
      <c r="C105" s="228"/>
      <c r="D105" s="228"/>
      <c r="E105" s="228"/>
      <c r="F105" s="228"/>
      <c r="G105" s="249" t="s">
        <v>0</v>
      </c>
    </row>
    <row r="106" spans="1:7" ht="15" hidden="1" customHeight="1" x14ac:dyDescent="0.25">
      <c r="A106" s="248"/>
      <c r="B106" s="228"/>
      <c r="C106" s="228"/>
      <c r="D106" s="228"/>
      <c r="E106" s="228"/>
      <c r="F106" s="228" t="s">
        <v>73</v>
      </c>
      <c r="G106" s="249">
        <f>SUM(B103:G103)</f>
        <v>0</v>
      </c>
    </row>
    <row r="107" spans="1:7" ht="15" hidden="1" customHeight="1" x14ac:dyDescent="0.25">
      <c r="A107" s="248"/>
      <c r="B107" s="228"/>
      <c r="C107" s="228"/>
      <c r="D107" s="228"/>
      <c r="E107" s="228"/>
      <c r="F107" s="228" t="s">
        <v>67</v>
      </c>
      <c r="G107" s="249">
        <f>SUM(B104:G104)</f>
        <v>0</v>
      </c>
    </row>
    <row r="108" spans="1:7" ht="15" hidden="1" customHeight="1" x14ac:dyDescent="0.2"/>
    <row r="109" spans="1:7" ht="20.25" x14ac:dyDescent="0.3">
      <c r="A109" s="334" t="s">
        <v>64</v>
      </c>
      <c r="B109" s="334"/>
      <c r="C109" s="334"/>
      <c r="D109" s="334"/>
      <c r="E109" s="334"/>
      <c r="F109" s="334"/>
      <c r="G109" s="334"/>
    </row>
    <row r="110" spans="1:7" ht="20.25" x14ac:dyDescent="0.3">
      <c r="A110" s="321" t="s">
        <v>1</v>
      </c>
      <c r="B110" s="322" t="s">
        <v>424</v>
      </c>
      <c r="C110" s="323"/>
      <c r="D110" s="324"/>
      <c r="E110" s="322" t="s">
        <v>425</v>
      </c>
      <c r="F110" s="323"/>
      <c r="G110" s="324"/>
    </row>
    <row r="111" spans="1:7" x14ac:dyDescent="0.2">
      <c r="A111" s="321"/>
      <c r="B111" s="235"/>
      <c r="C111" s="235"/>
      <c r="D111" s="235"/>
      <c r="E111" s="235"/>
      <c r="F111" s="235"/>
      <c r="G111" s="235"/>
    </row>
    <row r="112" spans="1:7" x14ac:dyDescent="0.2">
      <c r="A112" s="236" t="s">
        <v>62</v>
      </c>
      <c r="B112" s="264"/>
      <c r="C112" s="284"/>
      <c r="D112" s="264"/>
      <c r="E112" s="284"/>
      <c r="F112" s="264"/>
      <c r="G112" s="268"/>
    </row>
    <row r="113" spans="1:8" x14ac:dyDescent="0.2">
      <c r="A113" s="236" t="s">
        <v>186</v>
      </c>
      <c r="B113" s="265"/>
      <c r="C113" s="281"/>
      <c r="D113" s="265"/>
      <c r="E113" s="281"/>
      <c r="F113" s="265"/>
      <c r="G113" s="269"/>
    </row>
    <row r="114" spans="1:8" x14ac:dyDescent="0.2">
      <c r="A114" s="239" t="s">
        <v>93</v>
      </c>
      <c r="B114" s="266">
        <f>B112*B113</f>
        <v>0</v>
      </c>
      <c r="C114" s="282">
        <f>C112*C113</f>
        <v>0</v>
      </c>
      <c r="D114" s="266">
        <f t="shared" ref="D114:G114" si="54">D112*D113</f>
        <v>0</v>
      </c>
      <c r="E114" s="282">
        <f t="shared" si="54"/>
        <v>0</v>
      </c>
      <c r="F114" s="266">
        <f t="shared" si="54"/>
        <v>0</v>
      </c>
      <c r="G114" s="282">
        <f t="shared" si="54"/>
        <v>0</v>
      </c>
      <c r="H114" s="293"/>
    </row>
    <row r="115" spans="1:8" x14ac:dyDescent="0.2">
      <c r="A115" s="236" t="s">
        <v>61</v>
      </c>
      <c r="B115" s="267"/>
      <c r="C115" s="283"/>
      <c r="D115" s="267"/>
      <c r="E115" s="283"/>
      <c r="F115" s="267"/>
      <c r="G115" s="270"/>
    </row>
    <row r="116" spans="1:8" x14ac:dyDescent="0.2">
      <c r="A116" s="239" t="s">
        <v>94</v>
      </c>
      <c r="B116" s="280">
        <f t="shared" ref="B116:G116" si="55">IFERROR((B114*B115)/B113,0)</f>
        <v>0</v>
      </c>
      <c r="C116" s="280">
        <f t="shared" si="55"/>
        <v>0</v>
      </c>
      <c r="D116" s="280">
        <f t="shared" si="55"/>
        <v>0</v>
      </c>
      <c r="E116" s="280">
        <f t="shared" si="55"/>
        <v>0</v>
      </c>
      <c r="F116" s="280">
        <f t="shared" si="55"/>
        <v>0</v>
      </c>
      <c r="G116" s="280">
        <f t="shared" si="55"/>
        <v>0</v>
      </c>
    </row>
    <row r="117" spans="1:8" x14ac:dyDescent="0.2">
      <c r="A117" s="242" t="s">
        <v>60</v>
      </c>
      <c r="B117" s="338">
        <f>SUM(B116:G116)</f>
        <v>0</v>
      </c>
      <c r="C117" s="338"/>
      <c r="D117" s="338"/>
      <c r="E117" s="338"/>
      <c r="F117" s="338"/>
      <c r="G117" s="339"/>
    </row>
    <row r="118" spans="1:8" x14ac:dyDescent="0.2">
      <c r="A118" s="236" t="s">
        <v>441</v>
      </c>
      <c r="B118" s="264"/>
      <c r="C118" s="237"/>
      <c r="D118" s="237"/>
      <c r="E118" s="237"/>
      <c r="F118" s="237"/>
      <c r="G118" s="237"/>
    </row>
    <row r="119" spans="1:8" x14ac:dyDescent="0.2">
      <c r="A119" s="239" t="s">
        <v>56</v>
      </c>
      <c r="B119" s="266">
        <f t="shared" ref="B119:G119" si="56">+IFERROR(ROUNDUP(B114/B118,0),0)</f>
        <v>0</v>
      </c>
      <c r="C119" s="266">
        <f t="shared" si="56"/>
        <v>0</v>
      </c>
      <c r="D119" s="266">
        <f t="shared" si="56"/>
        <v>0</v>
      </c>
      <c r="E119" s="266">
        <f t="shared" si="56"/>
        <v>0</v>
      </c>
      <c r="F119" s="266">
        <f t="shared" si="56"/>
        <v>0</v>
      </c>
      <c r="G119" s="263">
        <f t="shared" si="56"/>
        <v>0</v>
      </c>
    </row>
    <row r="120" spans="1:8" x14ac:dyDescent="0.2">
      <c r="A120" s="239" t="s">
        <v>57</v>
      </c>
      <c r="B120" s="298">
        <f t="shared" ref="B120:G120" si="57">+B115*B118</f>
        <v>0</v>
      </c>
      <c r="C120" s="298">
        <f t="shared" si="57"/>
        <v>0</v>
      </c>
      <c r="D120" s="298">
        <f t="shared" si="57"/>
        <v>0</v>
      </c>
      <c r="E120" s="298">
        <f t="shared" si="57"/>
        <v>0</v>
      </c>
      <c r="F120" s="298">
        <f t="shared" si="57"/>
        <v>0</v>
      </c>
      <c r="G120" s="298">
        <f t="shared" si="57"/>
        <v>0</v>
      </c>
    </row>
    <row r="121" spans="1:8" x14ac:dyDescent="0.2">
      <c r="A121" s="239" t="s">
        <v>58</v>
      </c>
      <c r="B121" s="299">
        <f t="shared" ref="B121:G121" si="58">+B119*B120</f>
        <v>0</v>
      </c>
      <c r="C121" s="299">
        <f t="shared" si="58"/>
        <v>0</v>
      </c>
      <c r="D121" s="299">
        <f t="shared" si="58"/>
        <v>0</v>
      </c>
      <c r="E121" s="299">
        <f t="shared" si="58"/>
        <v>0</v>
      </c>
      <c r="F121" s="299">
        <f t="shared" si="58"/>
        <v>0</v>
      </c>
      <c r="G121" s="299">
        <f t="shared" si="58"/>
        <v>0</v>
      </c>
    </row>
    <row r="122" spans="1:8" ht="15" x14ac:dyDescent="0.25">
      <c r="A122" s="243" t="s">
        <v>0</v>
      </c>
      <c r="B122" s="326">
        <f>SUM(B121:G121)</f>
        <v>0</v>
      </c>
      <c r="C122" s="326"/>
      <c r="D122" s="326"/>
      <c r="E122" s="326"/>
      <c r="F122" s="326"/>
      <c r="G122" s="327"/>
    </row>
    <row r="124" spans="1:8" hidden="1" x14ac:dyDescent="0.2">
      <c r="A124" s="244" t="s">
        <v>101</v>
      </c>
      <c r="B124" s="245">
        <f t="shared" ref="B124:G124" si="59">+IFERROR((B119*B118)/B112,0)</f>
        <v>0</v>
      </c>
      <c r="C124" s="245">
        <f t="shared" si="59"/>
        <v>0</v>
      </c>
      <c r="D124" s="245">
        <f t="shared" si="59"/>
        <v>0</v>
      </c>
      <c r="E124" s="245">
        <f t="shared" si="59"/>
        <v>0</v>
      </c>
      <c r="F124" s="245">
        <f t="shared" si="59"/>
        <v>0</v>
      </c>
      <c r="G124" s="245">
        <f t="shared" si="59"/>
        <v>0</v>
      </c>
    </row>
    <row r="125" spans="1:8" hidden="1" x14ac:dyDescent="0.2">
      <c r="A125" s="246" t="s">
        <v>100</v>
      </c>
      <c r="B125" s="247">
        <f>+IFERROR(B113*#REF!,0)</f>
        <v>0</v>
      </c>
      <c r="C125" s="247">
        <f>+IFERROR(C113*#REF!,0)</f>
        <v>0</v>
      </c>
      <c r="D125" s="247">
        <f>+IFERROR(D113*#REF!,0)</f>
        <v>0</v>
      </c>
      <c r="E125" s="247">
        <f>+IFERROR(E113*#REF!,0)</f>
        <v>0</v>
      </c>
      <c r="F125" s="247">
        <f>+IFERROR(F113*#REF!,0)</f>
        <v>0</v>
      </c>
      <c r="G125" s="247">
        <f>+IFERROR(G113*#REF!,0)</f>
        <v>0</v>
      </c>
    </row>
    <row r="126" spans="1:8" hidden="1" x14ac:dyDescent="0.2">
      <c r="A126" s="250" t="s">
        <v>102</v>
      </c>
      <c r="B126" s="251">
        <f t="shared" ref="B126:G126" si="60">+IFERROR(B121/B124,0)</f>
        <v>0</v>
      </c>
      <c r="C126" s="251">
        <f t="shared" si="60"/>
        <v>0</v>
      </c>
      <c r="D126" s="251">
        <f t="shared" si="60"/>
        <v>0</v>
      </c>
      <c r="E126" s="251">
        <f t="shared" si="60"/>
        <v>0</v>
      </c>
      <c r="F126" s="251">
        <f t="shared" si="60"/>
        <v>0</v>
      </c>
      <c r="G126" s="251">
        <f t="shared" si="60"/>
        <v>0</v>
      </c>
    </row>
    <row r="127" spans="1:8" hidden="1" x14ac:dyDescent="0.2">
      <c r="A127" s="246" t="s">
        <v>103</v>
      </c>
      <c r="B127" s="247">
        <f t="shared" ref="B127:G127" si="61">+IFERROR(B121/B125,0)</f>
        <v>0</v>
      </c>
      <c r="C127" s="247">
        <f t="shared" si="61"/>
        <v>0</v>
      </c>
      <c r="D127" s="247">
        <f t="shared" si="61"/>
        <v>0</v>
      </c>
      <c r="E127" s="247">
        <f t="shared" si="61"/>
        <v>0</v>
      </c>
      <c r="F127" s="247">
        <f t="shared" si="61"/>
        <v>0</v>
      </c>
      <c r="G127" s="247">
        <f t="shared" si="61"/>
        <v>0</v>
      </c>
    </row>
    <row r="128" spans="1:8" hidden="1" x14ac:dyDescent="0.2">
      <c r="A128" s="250" t="s">
        <v>104</v>
      </c>
      <c r="B128" s="251">
        <f t="shared" ref="B128:G128" si="62">+B112*B113*B115</f>
        <v>0</v>
      </c>
      <c r="C128" s="251">
        <f t="shared" si="62"/>
        <v>0</v>
      </c>
      <c r="D128" s="251">
        <f t="shared" si="62"/>
        <v>0</v>
      </c>
      <c r="E128" s="251">
        <f t="shared" si="62"/>
        <v>0</v>
      </c>
      <c r="F128" s="251">
        <f t="shared" si="62"/>
        <v>0</v>
      </c>
      <c r="G128" s="251">
        <f t="shared" si="62"/>
        <v>0</v>
      </c>
    </row>
    <row r="129" spans="1:8" hidden="1" x14ac:dyDescent="0.2"/>
    <row r="130" spans="1:8" hidden="1" x14ac:dyDescent="0.2">
      <c r="A130" s="244" t="s">
        <v>72</v>
      </c>
      <c r="B130" s="245" t="str">
        <f>IFERROR(VLOOKUP(B111,VLOOKUPS!$A$34:$B$76,2,0),"Ander")</f>
        <v>Ander</v>
      </c>
      <c r="C130" s="245" t="str">
        <f>IFERROR(VLOOKUP(C111,VLOOKUPS!$A$34:$B$76,2,0),"Ander")</f>
        <v>Ander</v>
      </c>
      <c r="D130" s="245" t="str">
        <f>IFERROR(VLOOKUP(D111,VLOOKUPS!$A$34:$B$76,2,0),"Ander")</f>
        <v>Ander</v>
      </c>
      <c r="E130" s="245" t="str">
        <f>IFERROR(VLOOKUP(E111,VLOOKUPS!$A$34:$B$76,2,0),"Ander")</f>
        <v>Ander</v>
      </c>
      <c r="F130" s="245" t="str">
        <f>IFERROR(VLOOKUP(F111,VLOOKUPS!$A$34:$B$76,2,0),"Ander")</f>
        <v>Ander</v>
      </c>
      <c r="G130" s="245" t="str">
        <f>IFERROR(VLOOKUP(G111,VLOOKUPS!$A$34:$B$76,2,0),"Ander")</f>
        <v>Ander</v>
      </c>
    </row>
    <row r="131" spans="1:8" hidden="1" x14ac:dyDescent="0.2">
      <c r="A131" s="246" t="s">
        <v>74</v>
      </c>
      <c r="B131" s="247">
        <f t="shared" ref="B131:F131" si="63">IF(B130="Syngenta",B121,0)</f>
        <v>0</v>
      </c>
      <c r="C131" s="247">
        <f t="shared" si="63"/>
        <v>0</v>
      </c>
      <c r="D131" s="247">
        <f t="shared" si="63"/>
        <v>0</v>
      </c>
      <c r="E131" s="247">
        <f t="shared" si="63"/>
        <v>0</v>
      </c>
      <c r="F131" s="247">
        <f t="shared" si="63"/>
        <v>0</v>
      </c>
      <c r="G131" s="247">
        <f t="shared" ref="G131" si="64">IF(G130="Syngenta",G121,0)</f>
        <v>0</v>
      </c>
    </row>
    <row r="132" spans="1:8" hidden="1" x14ac:dyDescent="0.2">
      <c r="A132" s="246" t="s">
        <v>75</v>
      </c>
      <c r="B132" s="247">
        <f t="shared" ref="B132:F132" si="65">IF(B130="Ander",B121,0)</f>
        <v>0</v>
      </c>
      <c r="C132" s="247">
        <f t="shared" si="65"/>
        <v>0</v>
      </c>
      <c r="D132" s="247">
        <f t="shared" si="65"/>
        <v>0</v>
      </c>
      <c r="E132" s="247">
        <f t="shared" si="65"/>
        <v>0</v>
      </c>
      <c r="F132" s="247">
        <f t="shared" si="65"/>
        <v>0</v>
      </c>
      <c r="G132" s="247">
        <f t="shared" ref="G132" si="66">IF(G130="Ander",G121,0)</f>
        <v>0</v>
      </c>
    </row>
    <row r="133" spans="1:8" ht="15" hidden="1" x14ac:dyDescent="0.25">
      <c r="A133" s="246"/>
      <c r="B133" s="247"/>
      <c r="C133" s="247"/>
      <c r="D133" s="247"/>
      <c r="E133" s="247"/>
      <c r="F133" s="247"/>
      <c r="G133" s="249" t="s">
        <v>0</v>
      </c>
    </row>
    <row r="134" spans="1:8" ht="15" hidden="1" x14ac:dyDescent="0.25">
      <c r="A134" s="246"/>
      <c r="B134" s="247"/>
      <c r="C134" s="247"/>
      <c r="D134" s="247"/>
      <c r="E134" s="247"/>
      <c r="F134" s="247" t="s">
        <v>73</v>
      </c>
      <c r="G134" s="249">
        <f>SUM(B131:G131)</f>
        <v>0</v>
      </c>
    </row>
    <row r="135" spans="1:8" ht="15" hidden="1" x14ac:dyDescent="0.25">
      <c r="A135" s="246"/>
      <c r="B135" s="247"/>
      <c r="C135" s="247"/>
      <c r="D135" s="247"/>
      <c r="E135" s="247"/>
      <c r="F135" s="247" t="s">
        <v>67</v>
      </c>
      <c r="G135" s="249">
        <f>SUM(B132:G132)</f>
        <v>0</v>
      </c>
    </row>
    <row r="136" spans="1:8" hidden="1" x14ac:dyDescent="0.2"/>
    <row r="137" spans="1:8" ht="20.25" x14ac:dyDescent="0.3">
      <c r="A137" s="334" t="s">
        <v>426</v>
      </c>
      <c r="B137" s="334"/>
      <c r="C137" s="334"/>
      <c r="D137" s="334"/>
      <c r="E137" s="334"/>
      <c r="F137" s="334"/>
      <c r="G137" s="334"/>
    </row>
    <row r="138" spans="1:8" ht="20.25" x14ac:dyDescent="0.3">
      <c r="A138" s="321" t="s">
        <v>1</v>
      </c>
      <c r="B138" s="322" t="s">
        <v>443</v>
      </c>
      <c r="C138" s="323"/>
      <c r="D138" s="324"/>
      <c r="E138" s="322" t="s">
        <v>443</v>
      </c>
      <c r="F138" s="323"/>
      <c r="G138" s="324"/>
    </row>
    <row r="139" spans="1:8" x14ac:dyDescent="0.2">
      <c r="A139" s="321"/>
      <c r="B139" s="235"/>
      <c r="C139" s="235"/>
      <c r="D139" s="235"/>
      <c r="E139" s="235"/>
      <c r="F139" s="235"/>
      <c r="G139" s="235"/>
    </row>
    <row r="140" spans="1:8" x14ac:dyDescent="0.2">
      <c r="A140" s="236" t="s">
        <v>62</v>
      </c>
      <c r="B140" s="264"/>
      <c r="C140" s="264"/>
      <c r="D140" s="264"/>
      <c r="E140" s="264"/>
      <c r="F140" s="264"/>
      <c r="G140" s="268"/>
    </row>
    <row r="141" spans="1:8" x14ac:dyDescent="0.2">
      <c r="A141" s="236" t="s">
        <v>186</v>
      </c>
      <c r="B141" s="265"/>
      <c r="C141" s="265"/>
      <c r="D141" s="265"/>
      <c r="E141" s="265"/>
      <c r="F141" s="265"/>
      <c r="G141" s="269"/>
    </row>
    <row r="142" spans="1:8" x14ac:dyDescent="0.2">
      <c r="A142" s="239" t="s">
        <v>93</v>
      </c>
      <c r="B142" s="266">
        <f>B140*B141</f>
        <v>0</v>
      </c>
      <c r="C142" s="266">
        <f>C140*C141</f>
        <v>0</v>
      </c>
      <c r="D142" s="266">
        <f t="shared" ref="D142" si="67">D140*D141</f>
        <v>0</v>
      </c>
      <c r="E142" s="266">
        <f t="shared" ref="E142" si="68">E140*E141</f>
        <v>0</v>
      </c>
      <c r="F142" s="266">
        <f t="shared" ref="F142" si="69">F140*F141</f>
        <v>0</v>
      </c>
      <c r="G142" s="282">
        <f t="shared" ref="G142" si="70">G140*G141</f>
        <v>0</v>
      </c>
      <c r="H142" s="293"/>
    </row>
    <row r="143" spans="1:8" x14ac:dyDescent="0.2">
      <c r="A143" s="236" t="s">
        <v>61</v>
      </c>
      <c r="B143" s="267"/>
      <c r="C143" s="267"/>
      <c r="D143" s="267"/>
      <c r="E143" s="267"/>
      <c r="F143" s="267"/>
      <c r="G143" s="270"/>
    </row>
    <row r="144" spans="1:8" x14ac:dyDescent="0.2">
      <c r="A144" s="239" t="s">
        <v>94</v>
      </c>
      <c r="B144" s="280">
        <f t="shared" ref="B144:G144" si="71">IFERROR((B142*B143)/B141,0)</f>
        <v>0</v>
      </c>
      <c r="C144" s="280">
        <f t="shared" si="71"/>
        <v>0</v>
      </c>
      <c r="D144" s="280">
        <f t="shared" si="71"/>
        <v>0</v>
      </c>
      <c r="E144" s="280">
        <f t="shared" si="71"/>
        <v>0</v>
      </c>
      <c r="F144" s="280">
        <f t="shared" si="71"/>
        <v>0</v>
      </c>
      <c r="G144" s="287">
        <f t="shared" si="71"/>
        <v>0</v>
      </c>
    </row>
    <row r="145" spans="1:7" x14ac:dyDescent="0.2">
      <c r="A145" s="242" t="s">
        <v>60</v>
      </c>
      <c r="B145" s="331">
        <f>SUM(B144:G144)</f>
        <v>0</v>
      </c>
      <c r="C145" s="332"/>
      <c r="D145" s="332"/>
      <c r="E145" s="332"/>
      <c r="F145" s="332"/>
      <c r="G145" s="333"/>
    </row>
    <row r="146" spans="1:7" x14ac:dyDescent="0.2">
      <c r="A146" s="236" t="s">
        <v>441</v>
      </c>
      <c r="B146" s="274"/>
      <c r="C146" s="274"/>
      <c r="D146" s="274"/>
      <c r="E146" s="274"/>
      <c r="F146" s="274"/>
      <c r="G146" s="274"/>
    </row>
    <row r="147" spans="1:7" x14ac:dyDescent="0.2">
      <c r="A147" s="239" t="s">
        <v>56</v>
      </c>
      <c r="B147" s="266">
        <f t="shared" ref="B147:G147" si="72">+IFERROR(ROUNDUP(B142/B146,0),0)</f>
        <v>0</v>
      </c>
      <c r="C147" s="266">
        <f t="shared" si="72"/>
        <v>0</v>
      </c>
      <c r="D147" s="266">
        <f t="shared" si="72"/>
        <v>0</v>
      </c>
      <c r="E147" s="266">
        <f t="shared" si="72"/>
        <v>0</v>
      </c>
      <c r="F147" s="266">
        <f t="shared" si="72"/>
        <v>0</v>
      </c>
      <c r="G147" s="263">
        <f t="shared" si="72"/>
        <v>0</v>
      </c>
    </row>
    <row r="148" spans="1:7" x14ac:dyDescent="0.2">
      <c r="A148" s="239" t="s">
        <v>57</v>
      </c>
      <c r="B148" s="298">
        <f t="shared" ref="B148:G148" si="73">+B143*B146</f>
        <v>0</v>
      </c>
      <c r="C148" s="298">
        <f t="shared" si="73"/>
        <v>0</v>
      </c>
      <c r="D148" s="298">
        <f t="shared" si="73"/>
        <v>0</v>
      </c>
      <c r="E148" s="298">
        <f t="shared" si="73"/>
        <v>0</v>
      </c>
      <c r="F148" s="298">
        <f t="shared" si="73"/>
        <v>0</v>
      </c>
      <c r="G148" s="298">
        <f t="shared" si="73"/>
        <v>0</v>
      </c>
    </row>
    <row r="149" spans="1:7" x14ac:dyDescent="0.2">
      <c r="A149" s="239" t="s">
        <v>58</v>
      </c>
      <c r="B149" s="299">
        <f t="shared" ref="B149:G149" si="74">+B147*B148</f>
        <v>0</v>
      </c>
      <c r="C149" s="299">
        <f t="shared" si="74"/>
        <v>0</v>
      </c>
      <c r="D149" s="299">
        <f t="shared" si="74"/>
        <v>0</v>
      </c>
      <c r="E149" s="299">
        <f t="shared" si="74"/>
        <v>0</v>
      </c>
      <c r="F149" s="299">
        <f t="shared" si="74"/>
        <v>0</v>
      </c>
      <c r="G149" s="299">
        <f t="shared" si="74"/>
        <v>0</v>
      </c>
    </row>
    <row r="150" spans="1:7" ht="15" x14ac:dyDescent="0.25">
      <c r="A150" s="243" t="s">
        <v>0</v>
      </c>
      <c r="B150" s="325">
        <f>SUM(B149:G149)</f>
        <v>0</v>
      </c>
      <c r="C150" s="326"/>
      <c r="D150" s="326"/>
      <c r="E150" s="326"/>
      <c r="F150" s="326"/>
      <c r="G150" s="327"/>
    </row>
    <row r="152" spans="1:7" hidden="1" x14ac:dyDescent="0.2">
      <c r="A152" s="244" t="s">
        <v>101</v>
      </c>
      <c r="B152" s="245">
        <f t="shared" ref="B152:G152" si="75">+IFERROR((B147*B146)/B140,0)</f>
        <v>0</v>
      </c>
      <c r="C152" s="245">
        <f t="shared" si="75"/>
        <v>0</v>
      </c>
      <c r="D152" s="245">
        <f t="shared" si="75"/>
        <v>0</v>
      </c>
      <c r="E152" s="245">
        <f t="shared" si="75"/>
        <v>0</v>
      </c>
      <c r="F152" s="245">
        <f t="shared" si="75"/>
        <v>0</v>
      </c>
      <c r="G152" s="245">
        <f t="shared" si="75"/>
        <v>0</v>
      </c>
    </row>
    <row r="153" spans="1:7" hidden="1" x14ac:dyDescent="0.2">
      <c r="A153" s="246" t="s">
        <v>100</v>
      </c>
      <c r="B153" s="247">
        <f>+IFERROR(B141*#REF!,0)</f>
        <v>0</v>
      </c>
      <c r="C153" s="247">
        <f>+IFERROR(C141*#REF!,0)</f>
        <v>0</v>
      </c>
      <c r="D153" s="247">
        <f>+IFERROR(D141*#REF!,0)</f>
        <v>0</v>
      </c>
      <c r="E153" s="247">
        <f>+IFERROR(E141*#REF!,0)</f>
        <v>0</v>
      </c>
      <c r="F153" s="247">
        <f>+IFERROR(F141*#REF!,0)</f>
        <v>0</v>
      </c>
      <c r="G153" s="247">
        <f>+IFERROR(G141*#REF!,0)</f>
        <v>0</v>
      </c>
    </row>
    <row r="154" spans="1:7" hidden="1" x14ac:dyDescent="0.2">
      <c r="A154" s="250" t="s">
        <v>102</v>
      </c>
      <c r="B154" s="251">
        <f t="shared" ref="B154:G154" si="76">+IFERROR(B149/B152,0)</f>
        <v>0</v>
      </c>
      <c r="C154" s="251">
        <f t="shared" si="76"/>
        <v>0</v>
      </c>
      <c r="D154" s="251">
        <f t="shared" si="76"/>
        <v>0</v>
      </c>
      <c r="E154" s="251">
        <f t="shared" si="76"/>
        <v>0</v>
      </c>
      <c r="F154" s="251">
        <f t="shared" si="76"/>
        <v>0</v>
      </c>
      <c r="G154" s="251">
        <f t="shared" si="76"/>
        <v>0</v>
      </c>
    </row>
    <row r="155" spans="1:7" hidden="1" x14ac:dyDescent="0.2">
      <c r="A155" s="246" t="s">
        <v>103</v>
      </c>
      <c r="B155" s="247">
        <f t="shared" ref="B155:G155" si="77">+IFERROR(B149/B153,0)</f>
        <v>0</v>
      </c>
      <c r="C155" s="247">
        <f t="shared" si="77"/>
        <v>0</v>
      </c>
      <c r="D155" s="247">
        <f t="shared" si="77"/>
        <v>0</v>
      </c>
      <c r="E155" s="247">
        <f t="shared" si="77"/>
        <v>0</v>
      </c>
      <c r="F155" s="247">
        <f t="shared" si="77"/>
        <v>0</v>
      </c>
      <c r="G155" s="247">
        <f t="shared" si="77"/>
        <v>0</v>
      </c>
    </row>
    <row r="156" spans="1:7" hidden="1" x14ac:dyDescent="0.2">
      <c r="A156" s="250" t="s">
        <v>104</v>
      </c>
      <c r="B156" s="251">
        <f t="shared" ref="B156:G156" si="78">+B140*B141*B143</f>
        <v>0</v>
      </c>
      <c r="C156" s="251">
        <f t="shared" si="78"/>
        <v>0</v>
      </c>
      <c r="D156" s="251">
        <f t="shared" si="78"/>
        <v>0</v>
      </c>
      <c r="E156" s="251">
        <f t="shared" si="78"/>
        <v>0</v>
      </c>
      <c r="F156" s="251">
        <f t="shared" si="78"/>
        <v>0</v>
      </c>
      <c r="G156" s="251">
        <f t="shared" si="78"/>
        <v>0</v>
      </c>
    </row>
    <row r="157" spans="1:7" hidden="1" x14ac:dyDescent="0.2"/>
    <row r="158" spans="1:7" hidden="1" x14ac:dyDescent="0.2">
      <c r="A158" s="244" t="s">
        <v>72</v>
      </c>
      <c r="B158" s="245" t="str">
        <f>IFERROR(VLOOKUP(B139,VLOOKUPS!$A$34:$B$76,2,0),"Ander")</f>
        <v>Ander</v>
      </c>
      <c r="C158" s="245" t="str">
        <f>IFERROR(VLOOKUP(C139,VLOOKUPS!$A$34:$B$76,2,0),"Ander")</f>
        <v>Ander</v>
      </c>
      <c r="D158" s="245" t="str">
        <f>IFERROR(VLOOKUP(D139,VLOOKUPS!$A$34:$B$76,2,0),"Ander")</f>
        <v>Ander</v>
      </c>
      <c r="E158" s="245" t="str">
        <f>IFERROR(VLOOKUP(E139,VLOOKUPS!$A$34:$B$76,2,0),"Ander")</f>
        <v>Ander</v>
      </c>
      <c r="F158" s="245" t="str">
        <f>IFERROR(VLOOKUP(F139,VLOOKUPS!$A$34:$B$76,2,0),"Ander")</f>
        <v>Ander</v>
      </c>
      <c r="G158" s="245" t="str">
        <f>IFERROR(VLOOKUP(G139,VLOOKUPS!$A$34:$B$76,2,0),"Ander")</f>
        <v>Ander</v>
      </c>
    </row>
    <row r="159" spans="1:7" hidden="1" x14ac:dyDescent="0.2">
      <c r="A159" s="246" t="s">
        <v>74</v>
      </c>
      <c r="B159" s="247">
        <f t="shared" ref="B159:F159" si="79">IF(B158="Syngenta",B149,0)</f>
        <v>0</v>
      </c>
      <c r="C159" s="247">
        <f t="shared" si="79"/>
        <v>0</v>
      </c>
      <c r="D159" s="247">
        <f t="shared" si="79"/>
        <v>0</v>
      </c>
      <c r="E159" s="247">
        <f t="shared" si="79"/>
        <v>0</v>
      </c>
      <c r="F159" s="247">
        <f t="shared" si="79"/>
        <v>0</v>
      </c>
      <c r="G159" s="247">
        <f t="shared" ref="G159" si="80">IF(G158="Syngenta",G149,0)</f>
        <v>0</v>
      </c>
    </row>
    <row r="160" spans="1:7" hidden="1" x14ac:dyDescent="0.2">
      <c r="A160" s="246" t="s">
        <v>75</v>
      </c>
      <c r="B160" s="247">
        <f t="shared" ref="B160:F160" si="81">IF(B158="Ander",B149,0)</f>
        <v>0</v>
      </c>
      <c r="C160" s="247">
        <f t="shared" si="81"/>
        <v>0</v>
      </c>
      <c r="D160" s="247">
        <f t="shared" si="81"/>
        <v>0</v>
      </c>
      <c r="E160" s="247">
        <f t="shared" si="81"/>
        <v>0</v>
      </c>
      <c r="F160" s="247">
        <f t="shared" si="81"/>
        <v>0</v>
      </c>
      <c r="G160" s="247">
        <f t="shared" ref="G160" si="82">IF(G158="Ander",G149,0)</f>
        <v>0</v>
      </c>
    </row>
    <row r="161" spans="1:7" ht="15" hidden="1" x14ac:dyDescent="0.25">
      <c r="A161" s="246"/>
      <c r="B161" s="247"/>
      <c r="C161" s="247"/>
      <c r="D161" s="247"/>
      <c r="E161" s="247"/>
      <c r="F161" s="247"/>
      <c r="G161" s="249" t="s">
        <v>0</v>
      </c>
    </row>
    <row r="162" spans="1:7" ht="15" hidden="1" x14ac:dyDescent="0.25">
      <c r="A162" s="246"/>
      <c r="B162" s="247"/>
      <c r="C162" s="247"/>
      <c r="D162" s="247"/>
      <c r="E162" s="247"/>
      <c r="F162" s="247" t="s">
        <v>73</v>
      </c>
      <c r="G162" s="249">
        <f>SUM(B159:G159)</f>
        <v>0</v>
      </c>
    </row>
    <row r="163" spans="1:7" ht="15" hidden="1" x14ac:dyDescent="0.25">
      <c r="A163" s="246"/>
      <c r="B163" s="247"/>
      <c r="C163" s="247"/>
      <c r="D163" s="247"/>
      <c r="E163" s="247"/>
      <c r="F163" s="247" t="s">
        <v>67</v>
      </c>
      <c r="G163" s="249">
        <f>SUM(B160:G160)</f>
        <v>0</v>
      </c>
    </row>
    <row r="164" spans="1:7" hidden="1" x14ac:dyDescent="0.2"/>
    <row r="165" spans="1:7" ht="18" x14ac:dyDescent="0.25">
      <c r="A165" s="295" t="s">
        <v>192</v>
      </c>
      <c r="B165" s="328">
        <f>F159+G134+G106+G78+G50</f>
        <v>0</v>
      </c>
      <c r="C165" s="329"/>
      <c r="D165" s="329"/>
      <c r="E165" s="329"/>
      <c r="F165" s="329"/>
      <c r="G165" s="330"/>
    </row>
    <row r="167" spans="1:7" x14ac:dyDescent="0.2">
      <c r="B167" s="234">
        <f>+B139</f>
        <v>0</v>
      </c>
      <c r="C167" s="234">
        <f t="shared" ref="C167:G167" si="83">+C139</f>
        <v>0</v>
      </c>
      <c r="D167" s="234">
        <f t="shared" si="83"/>
        <v>0</v>
      </c>
      <c r="E167" s="234">
        <f t="shared" si="83"/>
        <v>0</v>
      </c>
      <c r="F167" s="234">
        <f t="shared" si="83"/>
        <v>0</v>
      </c>
      <c r="G167" s="234">
        <f t="shared" si="83"/>
        <v>0</v>
      </c>
    </row>
    <row r="171" spans="1:7" x14ac:dyDescent="0.2">
      <c r="G171" s="222" t="s">
        <v>493</v>
      </c>
    </row>
    <row r="172" spans="1:7" ht="6.75" customHeight="1" x14ac:dyDescent="0.2">
      <c r="A172" s="225"/>
      <c r="B172" s="252"/>
      <c r="C172" s="252"/>
      <c r="D172" s="252"/>
      <c r="E172" s="252"/>
      <c r="F172" s="252"/>
      <c r="G172" s="252"/>
    </row>
  </sheetData>
  <mergeCells count="42">
    <mergeCell ref="A2:C2"/>
    <mergeCell ref="A8:B8"/>
    <mergeCell ref="B38:G38"/>
    <mergeCell ref="A3:B3"/>
    <mergeCell ref="A4:B4"/>
    <mergeCell ref="A5:B5"/>
    <mergeCell ref="A6:B6"/>
    <mergeCell ref="A7:B7"/>
    <mergeCell ref="B66:G66"/>
    <mergeCell ref="A9:B9"/>
    <mergeCell ref="A10:B10"/>
    <mergeCell ref="C24:D24"/>
    <mergeCell ref="C23:D23"/>
    <mergeCell ref="A20:G20"/>
    <mergeCell ref="A53:G53"/>
    <mergeCell ref="B54:D54"/>
    <mergeCell ref="E54:G54"/>
    <mergeCell ref="A54:A55"/>
    <mergeCell ref="B26:D26"/>
    <mergeCell ref="E26:G26"/>
    <mergeCell ref="A26:A27"/>
    <mergeCell ref="B33:G33"/>
    <mergeCell ref="B61:G61"/>
    <mergeCell ref="A81:G81"/>
    <mergeCell ref="B94:G94"/>
    <mergeCell ref="A109:G109"/>
    <mergeCell ref="B122:G122"/>
    <mergeCell ref="A137:G137"/>
    <mergeCell ref="A82:A83"/>
    <mergeCell ref="B82:D82"/>
    <mergeCell ref="E82:G82"/>
    <mergeCell ref="A110:A111"/>
    <mergeCell ref="B110:D110"/>
    <mergeCell ref="E110:G110"/>
    <mergeCell ref="B89:G89"/>
    <mergeCell ref="B117:G117"/>
    <mergeCell ref="A138:A139"/>
    <mergeCell ref="B138:D138"/>
    <mergeCell ref="E138:G138"/>
    <mergeCell ref="B150:G150"/>
    <mergeCell ref="B165:G165"/>
    <mergeCell ref="B145:G145"/>
  </mergeCells>
  <dataValidations count="4">
    <dataValidation type="list" allowBlank="1" showInputMessage="1" showErrorMessage="1" sqref="B27:D27">
      <formula1>_options41</formula1>
    </dataValidation>
    <dataValidation type="list" allowBlank="1" showInputMessage="1" showErrorMessage="1" sqref="B55:D55">
      <formula1>_options43</formula1>
    </dataValidation>
    <dataValidation type="list" allowBlank="1" showInputMessage="1" showErrorMessage="1" sqref="B83:D83">
      <formula1>_options45</formula1>
    </dataValidation>
    <dataValidation type="list" allowBlank="1" showInputMessage="1" showErrorMessage="1" sqref="B111:D111">
      <formula1>_options47</formula1>
    </dataValidation>
  </dataValidations>
  <pageMargins left="0.7" right="0.7" top="0.75" bottom="0.75" header="0.3" footer="0.3"/>
  <pageSetup orientation="portrait" r:id="rId1"/>
  <customProperties>
    <customPr name="SSCSheetTrackingNo" r:id="rId2"/>
  </customProperties>
  <drawing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S33"/>
  <sheetViews>
    <sheetView topLeftCell="C1" workbookViewId="0">
      <selection activeCell="I34" sqref="I34"/>
    </sheetView>
  </sheetViews>
  <sheetFormatPr defaultRowHeight="15" x14ac:dyDescent="0.25"/>
  <cols>
    <col min="1" max="1" width="15.140625" style="36" bestFit="1" customWidth="1"/>
    <col min="2" max="2" width="21.140625" style="36" bestFit="1" customWidth="1"/>
    <col min="3" max="4" width="9.140625" style="36"/>
    <col min="5" max="5" width="15.140625" style="36" bestFit="1" customWidth="1"/>
    <col min="6" max="6" width="15.5703125" style="36" bestFit="1" customWidth="1"/>
    <col min="7" max="8" width="9.140625" style="36"/>
    <col min="9" max="9" width="15.140625" style="36" bestFit="1" customWidth="1"/>
    <col min="10" max="10" width="21.140625" style="36" bestFit="1" customWidth="1"/>
    <col min="11" max="12" width="9.140625" style="36"/>
    <col min="13" max="13" width="15.140625" style="36" bestFit="1" customWidth="1"/>
    <col min="14" max="14" width="21.42578125" style="36" customWidth="1"/>
    <col min="15" max="15" width="10.7109375" style="36" customWidth="1"/>
    <col min="16" max="16" width="9.140625" style="36"/>
    <col min="17" max="17" width="15.140625" style="36" bestFit="1" customWidth="1"/>
    <col min="18" max="18" width="21.140625" style="36" bestFit="1" customWidth="1"/>
    <col min="19" max="19" width="8.28515625" style="36" customWidth="1"/>
    <col min="20" max="16384" width="9.140625" style="36"/>
  </cols>
  <sheetData>
    <row r="1" spans="1:19" x14ac:dyDescent="0.25">
      <c r="A1" s="453" t="s">
        <v>64</v>
      </c>
      <c r="B1" s="453"/>
      <c r="C1" s="453"/>
      <c r="E1" s="453" t="s">
        <v>65</v>
      </c>
      <c r="F1" s="453"/>
      <c r="G1" s="453"/>
      <c r="I1" s="453" t="s">
        <v>66</v>
      </c>
      <c r="J1" s="453"/>
      <c r="K1" s="453"/>
      <c r="M1" s="453" t="s">
        <v>111</v>
      </c>
      <c r="N1" s="453"/>
      <c r="O1" s="453"/>
      <c r="Q1" s="453" t="s">
        <v>110</v>
      </c>
      <c r="R1" s="453"/>
      <c r="S1" s="453"/>
    </row>
    <row r="2" spans="1:19" x14ac:dyDescent="0.25">
      <c r="A2" s="96" t="s">
        <v>35</v>
      </c>
      <c r="B2" s="96" t="s">
        <v>54</v>
      </c>
      <c r="C2" s="96" t="s">
        <v>53</v>
      </c>
      <c r="D2" s="97"/>
      <c r="E2" s="96" t="s">
        <v>35</v>
      </c>
      <c r="F2" s="96" t="s">
        <v>54</v>
      </c>
      <c r="G2" s="96" t="s">
        <v>53</v>
      </c>
      <c r="H2" s="97"/>
      <c r="I2" s="96" t="s">
        <v>35</v>
      </c>
      <c r="J2" s="96" t="s">
        <v>54</v>
      </c>
      <c r="K2" s="96" t="s">
        <v>53</v>
      </c>
      <c r="M2" s="96" t="s">
        <v>35</v>
      </c>
      <c r="N2" s="96" t="s">
        <v>54</v>
      </c>
      <c r="O2" s="96" t="s">
        <v>53</v>
      </c>
      <c r="Q2" s="96" t="s">
        <v>35</v>
      </c>
      <c r="R2" s="96" t="s">
        <v>54</v>
      </c>
      <c r="S2" s="96" t="s">
        <v>53</v>
      </c>
    </row>
    <row r="3" spans="1:19" x14ac:dyDescent="0.25">
      <c r="A3" s="36" t="s">
        <v>49</v>
      </c>
      <c r="B3" s="36" t="s">
        <v>21</v>
      </c>
      <c r="C3" s="36" t="s">
        <v>30</v>
      </c>
      <c r="E3" s="36" t="s">
        <v>51</v>
      </c>
      <c r="F3" s="36" t="s">
        <v>4</v>
      </c>
      <c r="G3" s="36" t="s">
        <v>32</v>
      </c>
      <c r="I3" s="36" t="s">
        <v>51</v>
      </c>
      <c r="J3" s="36" t="s">
        <v>4</v>
      </c>
      <c r="K3" s="36" t="s">
        <v>32</v>
      </c>
      <c r="M3" s="36" t="s">
        <v>51</v>
      </c>
      <c r="N3" s="36" t="s">
        <v>4</v>
      </c>
      <c r="O3" s="36" t="s">
        <v>32</v>
      </c>
      <c r="Q3" s="36" t="s">
        <v>49</v>
      </c>
      <c r="R3" s="36" t="s">
        <v>21</v>
      </c>
      <c r="S3" s="36" t="s">
        <v>30</v>
      </c>
    </row>
    <row r="4" spans="1:19" x14ac:dyDescent="0.25">
      <c r="A4" s="36" t="s">
        <v>49</v>
      </c>
      <c r="B4" s="36" t="s">
        <v>3</v>
      </c>
      <c r="C4" s="36" t="s">
        <v>30</v>
      </c>
      <c r="E4" s="36" t="s">
        <v>52</v>
      </c>
      <c r="F4" s="36" t="s">
        <v>5</v>
      </c>
      <c r="G4" s="36" t="s">
        <v>32</v>
      </c>
      <c r="I4" s="36" t="s">
        <v>51</v>
      </c>
      <c r="J4" s="36" t="s">
        <v>10</v>
      </c>
      <c r="K4" s="36" t="s">
        <v>32</v>
      </c>
      <c r="M4" s="36" t="s">
        <v>52</v>
      </c>
      <c r="N4" s="36" t="s">
        <v>5</v>
      </c>
      <c r="O4" s="36" t="s">
        <v>32</v>
      </c>
      <c r="Q4" s="36" t="s">
        <v>49</v>
      </c>
      <c r="R4" s="36" t="s">
        <v>3</v>
      </c>
      <c r="S4" s="36" t="s">
        <v>30</v>
      </c>
    </row>
    <row r="5" spans="1:19" x14ac:dyDescent="0.25">
      <c r="A5" s="36" t="s">
        <v>49</v>
      </c>
      <c r="B5" s="36" t="s">
        <v>24</v>
      </c>
      <c r="C5" s="98" t="s">
        <v>30</v>
      </c>
      <c r="D5" s="99"/>
      <c r="E5" s="36" t="s">
        <v>52</v>
      </c>
      <c r="F5" s="36" t="s">
        <v>6</v>
      </c>
      <c r="G5" s="36" t="s">
        <v>32</v>
      </c>
      <c r="I5" s="36" t="s">
        <v>51</v>
      </c>
      <c r="J5" s="36" t="s">
        <v>11</v>
      </c>
      <c r="K5" s="36" t="s">
        <v>32</v>
      </c>
      <c r="M5" s="36" t="s">
        <v>52</v>
      </c>
      <c r="N5" s="36" t="s">
        <v>6</v>
      </c>
      <c r="O5" s="36" t="s">
        <v>32</v>
      </c>
      <c r="Q5" s="36" t="s">
        <v>49</v>
      </c>
      <c r="R5" s="36" t="s">
        <v>24</v>
      </c>
      <c r="S5" s="98" t="s">
        <v>30</v>
      </c>
    </row>
    <row r="6" spans="1:19" x14ac:dyDescent="0.25">
      <c r="A6" s="36" t="s">
        <v>51</v>
      </c>
      <c r="B6" s="36" t="s">
        <v>4</v>
      </c>
      <c r="C6" s="36" t="s">
        <v>32</v>
      </c>
      <c r="E6" s="36" t="s">
        <v>52</v>
      </c>
      <c r="F6" s="36" t="s">
        <v>7</v>
      </c>
      <c r="G6" s="36" t="s">
        <v>32</v>
      </c>
      <c r="I6" s="36" t="s">
        <v>51</v>
      </c>
      <c r="J6" s="36" t="s">
        <v>19</v>
      </c>
      <c r="K6" s="36" t="s">
        <v>32</v>
      </c>
      <c r="M6" s="36" t="s">
        <v>52</v>
      </c>
      <c r="N6" s="36" t="s">
        <v>7</v>
      </c>
      <c r="O6" s="36" t="s">
        <v>32</v>
      </c>
      <c r="Q6" s="36" t="s">
        <v>51</v>
      </c>
      <c r="R6" s="36" t="s">
        <v>4</v>
      </c>
      <c r="S6" s="36" t="s">
        <v>32</v>
      </c>
    </row>
    <row r="7" spans="1:19" x14ac:dyDescent="0.25">
      <c r="A7" s="36" t="s">
        <v>51</v>
      </c>
      <c r="B7" s="36" t="s">
        <v>10</v>
      </c>
      <c r="C7" s="36" t="s">
        <v>32</v>
      </c>
      <c r="E7" s="36" t="s">
        <v>52</v>
      </c>
      <c r="F7" s="36" t="s">
        <v>8</v>
      </c>
      <c r="G7" s="36" t="s">
        <v>32</v>
      </c>
      <c r="M7" s="36" t="s">
        <v>49</v>
      </c>
      <c r="N7" s="36" t="s">
        <v>25</v>
      </c>
      <c r="O7" s="36" t="s">
        <v>33</v>
      </c>
      <c r="Q7" s="36" t="s">
        <v>52</v>
      </c>
      <c r="R7" s="36" t="s">
        <v>5</v>
      </c>
      <c r="S7" s="36" t="s">
        <v>32</v>
      </c>
    </row>
    <row r="8" spans="1:19" x14ac:dyDescent="0.25">
      <c r="A8" s="36" t="s">
        <v>51</v>
      </c>
      <c r="B8" s="36" t="s">
        <v>11</v>
      </c>
      <c r="C8" s="36" t="s">
        <v>32</v>
      </c>
      <c r="E8" s="36" t="s">
        <v>52</v>
      </c>
      <c r="F8" s="36" t="s">
        <v>9</v>
      </c>
      <c r="G8" s="36" t="s">
        <v>32</v>
      </c>
      <c r="M8" s="36" t="s">
        <v>49</v>
      </c>
      <c r="N8" s="36" t="s">
        <v>26</v>
      </c>
      <c r="O8" s="36" t="s">
        <v>33</v>
      </c>
      <c r="Q8" s="36" t="s">
        <v>52</v>
      </c>
      <c r="R8" s="36" t="s">
        <v>6</v>
      </c>
      <c r="S8" s="36" t="s">
        <v>32</v>
      </c>
    </row>
    <row r="9" spans="1:19" x14ac:dyDescent="0.25">
      <c r="A9" s="36" t="s">
        <v>49</v>
      </c>
      <c r="B9" s="36" t="s">
        <v>112</v>
      </c>
      <c r="C9" s="36" t="s">
        <v>32</v>
      </c>
      <c r="E9" s="36" t="s">
        <v>51</v>
      </c>
      <c r="F9" s="36" t="s">
        <v>10</v>
      </c>
      <c r="G9" s="36" t="s">
        <v>32</v>
      </c>
      <c r="M9" s="36" t="s">
        <v>52</v>
      </c>
      <c r="N9" s="36" t="s">
        <v>8</v>
      </c>
      <c r="O9" s="36" t="s">
        <v>32</v>
      </c>
      <c r="Q9" s="36" t="s">
        <v>52</v>
      </c>
      <c r="R9" s="36" t="s">
        <v>7</v>
      </c>
      <c r="S9" s="36" t="s">
        <v>32</v>
      </c>
    </row>
    <row r="10" spans="1:19" x14ac:dyDescent="0.25">
      <c r="A10" s="36" t="s">
        <v>49</v>
      </c>
      <c r="B10" s="36" t="s">
        <v>13</v>
      </c>
      <c r="C10" s="36" t="s">
        <v>32</v>
      </c>
      <c r="E10" s="36" t="s">
        <v>51</v>
      </c>
      <c r="F10" s="36" t="s">
        <v>11</v>
      </c>
      <c r="G10" s="36" t="s">
        <v>32</v>
      </c>
      <c r="M10" s="36" t="s">
        <v>52</v>
      </c>
      <c r="N10" s="36" t="s">
        <v>9</v>
      </c>
      <c r="O10" s="36" t="s">
        <v>32</v>
      </c>
      <c r="Q10" s="36" t="s">
        <v>49</v>
      </c>
      <c r="R10" s="36" t="s">
        <v>25</v>
      </c>
      <c r="S10" s="36" t="s">
        <v>33</v>
      </c>
    </row>
    <row r="11" spans="1:19" x14ac:dyDescent="0.25">
      <c r="A11" s="36" t="s">
        <v>49</v>
      </c>
      <c r="B11" s="36" t="s">
        <v>15</v>
      </c>
      <c r="C11" s="36" t="s">
        <v>32</v>
      </c>
      <c r="E11" s="36" t="s">
        <v>52</v>
      </c>
      <c r="F11" s="36" t="s">
        <v>17</v>
      </c>
      <c r="G11" s="36" t="s">
        <v>32</v>
      </c>
      <c r="M11" s="36" t="s">
        <v>51</v>
      </c>
      <c r="N11" s="36" t="s">
        <v>10</v>
      </c>
      <c r="O11" s="36" t="s">
        <v>32</v>
      </c>
      <c r="Q11" s="36" t="s">
        <v>49</v>
      </c>
      <c r="R11" s="36" t="s">
        <v>26</v>
      </c>
      <c r="S11" s="36" t="s">
        <v>33</v>
      </c>
    </row>
    <row r="12" spans="1:19" x14ac:dyDescent="0.25">
      <c r="A12" s="36" t="s">
        <v>49</v>
      </c>
      <c r="B12" s="36" t="s">
        <v>16</v>
      </c>
      <c r="C12" s="36" t="s">
        <v>32</v>
      </c>
      <c r="E12" s="36" t="s">
        <v>51</v>
      </c>
      <c r="F12" s="36" t="s">
        <v>19</v>
      </c>
      <c r="G12" s="36" t="s">
        <v>32</v>
      </c>
      <c r="M12" s="36" t="s">
        <v>51</v>
      </c>
      <c r="N12" s="36" t="s">
        <v>11</v>
      </c>
      <c r="O12" s="36" t="s">
        <v>32</v>
      </c>
      <c r="Q12" s="36" t="s">
        <v>52</v>
      </c>
      <c r="R12" s="36" t="s">
        <v>8</v>
      </c>
      <c r="S12" s="36" t="s">
        <v>32</v>
      </c>
    </row>
    <row r="13" spans="1:19" x14ac:dyDescent="0.25">
      <c r="A13" s="36" t="s">
        <v>49</v>
      </c>
      <c r="B13" s="36" t="s">
        <v>18</v>
      </c>
      <c r="C13" s="36" t="s">
        <v>32</v>
      </c>
      <c r="E13" s="36" t="s">
        <v>68</v>
      </c>
      <c r="F13" s="36" t="s">
        <v>12</v>
      </c>
      <c r="G13" s="36" t="s">
        <v>34</v>
      </c>
      <c r="M13" s="36" t="s">
        <v>49</v>
      </c>
      <c r="N13" s="36" t="s">
        <v>112</v>
      </c>
      <c r="O13" s="36" t="s">
        <v>32</v>
      </c>
      <c r="Q13" s="36" t="s">
        <v>52</v>
      </c>
      <c r="R13" s="36" t="s">
        <v>9</v>
      </c>
      <c r="S13" s="36" t="s">
        <v>32</v>
      </c>
    </row>
    <row r="14" spans="1:19" x14ac:dyDescent="0.25">
      <c r="A14" s="36" t="s">
        <v>49</v>
      </c>
      <c r="B14" s="36" t="s">
        <v>20</v>
      </c>
      <c r="C14" s="36" t="s">
        <v>32</v>
      </c>
      <c r="E14" s="36" t="s">
        <v>68</v>
      </c>
      <c r="F14" s="36" t="s">
        <v>14</v>
      </c>
      <c r="G14" s="36" t="s">
        <v>34</v>
      </c>
      <c r="M14" s="36" t="s">
        <v>68</v>
      </c>
      <c r="N14" s="36" t="s">
        <v>12</v>
      </c>
      <c r="O14" s="36" t="s">
        <v>34</v>
      </c>
      <c r="Q14" s="36" t="s">
        <v>51</v>
      </c>
      <c r="R14" s="36" t="s">
        <v>10</v>
      </c>
      <c r="S14" s="36" t="s">
        <v>32</v>
      </c>
    </row>
    <row r="15" spans="1:19" x14ac:dyDescent="0.25">
      <c r="A15" s="36" t="s">
        <v>51</v>
      </c>
      <c r="B15" s="36" t="s">
        <v>19</v>
      </c>
      <c r="C15" s="36" t="s">
        <v>32</v>
      </c>
      <c r="E15" s="36" t="s">
        <v>49</v>
      </c>
      <c r="F15" s="36" t="s">
        <v>25</v>
      </c>
      <c r="G15" s="36" t="s">
        <v>33</v>
      </c>
      <c r="M15" s="36" t="s">
        <v>68</v>
      </c>
      <c r="N15" s="36" t="s">
        <v>14</v>
      </c>
      <c r="O15" s="36" t="s">
        <v>34</v>
      </c>
      <c r="Q15" s="36" t="s">
        <v>51</v>
      </c>
      <c r="R15" s="36" t="s">
        <v>11</v>
      </c>
      <c r="S15" s="36" t="s">
        <v>32</v>
      </c>
    </row>
    <row r="16" spans="1:19" x14ac:dyDescent="0.25">
      <c r="A16" s="36" t="s">
        <v>49</v>
      </c>
      <c r="B16" s="36" t="s">
        <v>22</v>
      </c>
      <c r="C16" s="36" t="s">
        <v>32</v>
      </c>
      <c r="E16" s="36" t="s">
        <v>49</v>
      </c>
      <c r="F16" s="36" t="s">
        <v>26</v>
      </c>
      <c r="G16" s="36" t="s">
        <v>33</v>
      </c>
      <c r="M16" s="36" t="s">
        <v>49</v>
      </c>
      <c r="N16" s="36" t="s">
        <v>13</v>
      </c>
      <c r="O16" s="36" t="s">
        <v>32</v>
      </c>
      <c r="Q16" s="36" t="s">
        <v>49</v>
      </c>
      <c r="R16" s="36" t="s">
        <v>112</v>
      </c>
      <c r="S16" s="36" t="s">
        <v>32</v>
      </c>
    </row>
    <row r="17" spans="1:19" x14ac:dyDescent="0.25">
      <c r="A17" s="36" t="s">
        <v>49</v>
      </c>
      <c r="B17" s="36" t="s">
        <v>25</v>
      </c>
      <c r="C17" s="36" t="s">
        <v>33</v>
      </c>
      <c r="M17" s="36" t="s">
        <v>49</v>
      </c>
      <c r="N17" s="36" t="s">
        <v>15</v>
      </c>
      <c r="O17" s="36" t="s">
        <v>32</v>
      </c>
      <c r="Q17" s="36" t="s">
        <v>68</v>
      </c>
      <c r="R17" s="36" t="s">
        <v>12</v>
      </c>
      <c r="S17" s="36" t="s">
        <v>34</v>
      </c>
    </row>
    <row r="18" spans="1:19" x14ac:dyDescent="0.25">
      <c r="A18" s="36" t="s">
        <v>49</v>
      </c>
      <c r="B18" s="36" t="s">
        <v>26</v>
      </c>
      <c r="C18" s="36" t="s">
        <v>33</v>
      </c>
      <c r="M18" s="36" t="s">
        <v>49</v>
      </c>
      <c r="N18" s="36" t="s">
        <v>16</v>
      </c>
      <c r="O18" s="36" t="s">
        <v>32</v>
      </c>
      <c r="Q18" s="36" t="s">
        <v>68</v>
      </c>
      <c r="R18" s="36" t="s">
        <v>14</v>
      </c>
      <c r="S18" s="36" t="s">
        <v>34</v>
      </c>
    </row>
    <row r="19" spans="1:19" x14ac:dyDescent="0.25">
      <c r="A19" s="36" t="s">
        <v>68</v>
      </c>
      <c r="B19" s="36" t="s">
        <v>12</v>
      </c>
      <c r="C19" s="36" t="s">
        <v>34</v>
      </c>
      <c r="M19" s="36" t="s">
        <v>52</v>
      </c>
      <c r="N19" s="36" t="s">
        <v>17</v>
      </c>
      <c r="O19" s="36" t="s">
        <v>32</v>
      </c>
      <c r="Q19" s="36" t="s">
        <v>49</v>
      </c>
      <c r="R19" s="36" t="s">
        <v>13</v>
      </c>
      <c r="S19" s="36" t="s">
        <v>32</v>
      </c>
    </row>
    <row r="20" spans="1:19" x14ac:dyDescent="0.25">
      <c r="A20" s="36" t="s">
        <v>68</v>
      </c>
      <c r="B20" s="36" t="s">
        <v>14</v>
      </c>
      <c r="C20" s="36" t="s">
        <v>34</v>
      </c>
      <c r="M20" s="36" t="s">
        <v>49</v>
      </c>
      <c r="N20" s="36" t="s">
        <v>18</v>
      </c>
      <c r="O20" s="36" t="s">
        <v>32</v>
      </c>
      <c r="Q20" s="36" t="s">
        <v>49</v>
      </c>
      <c r="R20" s="36" t="s">
        <v>15</v>
      </c>
      <c r="S20" s="36" t="s">
        <v>32</v>
      </c>
    </row>
    <row r="21" spans="1:19" x14ac:dyDescent="0.25">
      <c r="M21" s="36" t="s">
        <v>49</v>
      </c>
      <c r="N21" s="36" t="s">
        <v>20</v>
      </c>
      <c r="O21" s="36" t="s">
        <v>32</v>
      </c>
      <c r="Q21" s="36" t="s">
        <v>49</v>
      </c>
      <c r="R21" s="36" t="s">
        <v>16</v>
      </c>
      <c r="S21" s="36" t="s">
        <v>32</v>
      </c>
    </row>
    <row r="22" spans="1:19" x14ac:dyDescent="0.25">
      <c r="M22" s="36" t="s">
        <v>51</v>
      </c>
      <c r="N22" s="36" t="s">
        <v>19</v>
      </c>
      <c r="O22" s="36" t="s">
        <v>32</v>
      </c>
      <c r="Q22" s="36" t="s">
        <v>52</v>
      </c>
      <c r="R22" s="36" t="s">
        <v>17</v>
      </c>
      <c r="S22" s="36" t="s">
        <v>32</v>
      </c>
    </row>
    <row r="23" spans="1:19" x14ac:dyDescent="0.25">
      <c r="M23" s="36" t="s">
        <v>49</v>
      </c>
      <c r="N23" s="36" t="s">
        <v>22</v>
      </c>
      <c r="O23" s="36" t="s">
        <v>32</v>
      </c>
      <c r="Q23" s="36" t="s">
        <v>49</v>
      </c>
      <c r="R23" s="36" t="s">
        <v>18</v>
      </c>
      <c r="S23" s="36" t="s">
        <v>32</v>
      </c>
    </row>
    <row r="24" spans="1:19" x14ac:dyDescent="0.25">
      <c r="Q24" s="36" t="s">
        <v>49</v>
      </c>
      <c r="R24" s="36" t="s">
        <v>20</v>
      </c>
      <c r="S24" s="36" t="s">
        <v>32</v>
      </c>
    </row>
    <row r="25" spans="1:19" x14ac:dyDescent="0.25">
      <c r="Q25" s="36" t="s">
        <v>51</v>
      </c>
      <c r="R25" s="36" t="s">
        <v>19</v>
      </c>
      <c r="S25" s="36" t="s">
        <v>32</v>
      </c>
    </row>
    <row r="26" spans="1:19" x14ac:dyDescent="0.25">
      <c r="O26" s="98"/>
      <c r="Q26" s="36" t="s">
        <v>49</v>
      </c>
      <c r="R26" s="36" t="s">
        <v>22</v>
      </c>
      <c r="S26" s="36" t="s">
        <v>32</v>
      </c>
    </row>
    <row r="27" spans="1:19" x14ac:dyDescent="0.25">
      <c r="A27" s="453" t="s">
        <v>63</v>
      </c>
      <c r="B27" s="453"/>
      <c r="C27" s="453"/>
      <c r="E27" s="454" t="s">
        <v>38</v>
      </c>
      <c r="F27" s="454"/>
      <c r="G27" s="454"/>
      <c r="I27" s="453" t="s">
        <v>67</v>
      </c>
      <c r="J27" s="453"/>
      <c r="K27" s="453"/>
    </row>
    <row r="28" spans="1:19" x14ac:dyDescent="0.25">
      <c r="A28" s="96" t="s">
        <v>35</v>
      </c>
      <c r="B28" s="96" t="s">
        <v>54</v>
      </c>
      <c r="C28" s="96" t="s">
        <v>53</v>
      </c>
      <c r="E28" s="96" t="s">
        <v>35</v>
      </c>
      <c r="F28" s="96" t="s">
        <v>54</v>
      </c>
      <c r="G28" s="96" t="s">
        <v>53</v>
      </c>
      <c r="I28" s="96" t="s">
        <v>35</v>
      </c>
      <c r="J28" s="96" t="s">
        <v>54</v>
      </c>
      <c r="K28" s="96" t="s">
        <v>53</v>
      </c>
    </row>
    <row r="29" spans="1:19" x14ac:dyDescent="0.25">
      <c r="A29" s="36" t="s">
        <v>68</v>
      </c>
      <c r="B29" s="36" t="s">
        <v>12</v>
      </c>
      <c r="C29" s="36" t="s">
        <v>34</v>
      </c>
      <c r="E29" s="36" t="s">
        <v>50</v>
      </c>
      <c r="F29" s="36" t="s">
        <v>23</v>
      </c>
      <c r="G29" s="36" t="s">
        <v>31</v>
      </c>
      <c r="I29" s="36" t="s">
        <v>49</v>
      </c>
      <c r="J29" s="36" t="s">
        <v>25</v>
      </c>
      <c r="K29" s="36" t="s">
        <v>33</v>
      </c>
    </row>
    <row r="30" spans="1:19" x14ac:dyDescent="0.25">
      <c r="A30" s="36" t="s">
        <v>68</v>
      </c>
      <c r="B30" s="36" t="s">
        <v>14</v>
      </c>
      <c r="C30" s="36" t="s">
        <v>34</v>
      </c>
      <c r="E30" s="91" t="s">
        <v>52</v>
      </c>
      <c r="F30" s="91" t="s">
        <v>109</v>
      </c>
      <c r="G30" s="91" t="s">
        <v>31</v>
      </c>
      <c r="I30" s="36" t="s">
        <v>49</v>
      </c>
      <c r="J30" s="36" t="s">
        <v>26</v>
      </c>
      <c r="K30" s="36" t="s">
        <v>33</v>
      </c>
    </row>
    <row r="31" spans="1:19" x14ac:dyDescent="0.25">
      <c r="E31" s="36" t="s">
        <v>52</v>
      </c>
      <c r="F31" s="36" t="s">
        <v>27</v>
      </c>
      <c r="G31" s="36" t="s">
        <v>31</v>
      </c>
    </row>
    <row r="32" spans="1:19" x14ac:dyDescent="0.25">
      <c r="E32" s="36" t="s">
        <v>52</v>
      </c>
      <c r="F32" s="36" t="s">
        <v>28</v>
      </c>
      <c r="G32" s="36" t="s">
        <v>31</v>
      </c>
    </row>
    <row r="33" spans="5:7" x14ac:dyDescent="0.25">
      <c r="E33" s="36" t="s">
        <v>52</v>
      </c>
      <c r="F33" s="36" t="s">
        <v>29</v>
      </c>
      <c r="G33" s="36" t="s">
        <v>31</v>
      </c>
    </row>
  </sheetData>
  <sheetProtection selectLockedCells="1"/>
  <sortState ref="M3:O26">
    <sortCondition ref="N3:N26"/>
  </sortState>
  <mergeCells count="8">
    <mergeCell ref="I27:K27"/>
    <mergeCell ref="A27:C27"/>
    <mergeCell ref="E27:G27"/>
    <mergeCell ref="M1:O1"/>
    <mergeCell ref="Q1:S1"/>
    <mergeCell ref="A1:C1"/>
    <mergeCell ref="E1:G1"/>
    <mergeCell ref="I1:K1"/>
  </mergeCells>
  <pageMargins left="0.7" right="0.7" top="0.75" bottom="0.75" header="0.3" footer="0.3"/>
  <pageSetup paperSize="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K76"/>
  <sheetViews>
    <sheetView topLeftCell="A42" workbookViewId="0">
      <selection activeCell="A76" sqref="A76"/>
    </sheetView>
  </sheetViews>
  <sheetFormatPr defaultRowHeight="15" x14ac:dyDescent="0.25"/>
  <cols>
    <col min="1" max="1" width="21.140625" style="27" bestFit="1" customWidth="1"/>
    <col min="2" max="2" width="15.28515625" style="27" customWidth="1"/>
    <col min="3" max="3" width="9.140625" style="27"/>
    <col min="4" max="4" width="15.140625" style="27" bestFit="1" customWidth="1"/>
    <col min="5" max="16384" width="9.140625" style="27"/>
  </cols>
  <sheetData>
    <row r="1" spans="1:11" x14ac:dyDescent="0.25">
      <c r="A1" s="89" t="s">
        <v>71</v>
      </c>
      <c r="B1" s="89"/>
      <c r="C1" s="89"/>
      <c r="D1" s="90"/>
      <c r="H1" s="91"/>
      <c r="I1" s="455"/>
      <c r="J1" s="455"/>
      <c r="K1" s="455"/>
    </row>
    <row r="2" spans="1:11" x14ac:dyDescent="0.25">
      <c r="A2" s="92" t="s">
        <v>54</v>
      </c>
      <c r="B2" s="92" t="s">
        <v>72</v>
      </c>
      <c r="C2" s="92" t="s">
        <v>53</v>
      </c>
      <c r="D2" s="92" t="s">
        <v>35</v>
      </c>
      <c r="H2" s="93"/>
      <c r="I2" s="94"/>
      <c r="J2" s="94"/>
      <c r="K2" s="94"/>
    </row>
    <row r="3" spans="1:11" x14ac:dyDescent="0.25">
      <c r="A3" s="91" t="s">
        <v>21</v>
      </c>
      <c r="B3" s="91" t="s">
        <v>73</v>
      </c>
      <c r="C3" s="91" t="s">
        <v>30</v>
      </c>
      <c r="D3" s="91" t="s">
        <v>49</v>
      </c>
      <c r="H3" s="91"/>
      <c r="I3" s="91"/>
      <c r="J3" s="91"/>
      <c r="K3" s="91"/>
    </row>
    <row r="4" spans="1:11" x14ac:dyDescent="0.25">
      <c r="A4" s="91" t="s">
        <v>3</v>
      </c>
      <c r="B4" s="91" t="s">
        <v>73</v>
      </c>
      <c r="C4" s="91" t="s">
        <v>30</v>
      </c>
      <c r="D4" s="91" t="s">
        <v>49</v>
      </c>
      <c r="H4" s="91"/>
      <c r="I4" s="91"/>
      <c r="J4" s="91" t="s">
        <v>23</v>
      </c>
      <c r="K4" s="91"/>
    </row>
    <row r="5" spans="1:11" x14ac:dyDescent="0.25">
      <c r="A5" s="91" t="s">
        <v>109</v>
      </c>
      <c r="B5" s="91" t="s">
        <v>73</v>
      </c>
      <c r="C5" s="91" t="s">
        <v>31</v>
      </c>
      <c r="D5" s="91" t="s">
        <v>52</v>
      </c>
      <c r="H5" s="91"/>
      <c r="I5" s="91"/>
      <c r="J5" s="91" t="s">
        <v>477</v>
      </c>
      <c r="K5" s="91"/>
    </row>
    <row r="6" spans="1:11" x14ac:dyDescent="0.25">
      <c r="A6" s="91" t="s">
        <v>24</v>
      </c>
      <c r="B6" s="91" t="s">
        <v>73</v>
      </c>
      <c r="C6" s="95" t="s">
        <v>30</v>
      </c>
      <c r="D6" s="91" t="s">
        <v>49</v>
      </c>
      <c r="H6" s="91"/>
      <c r="I6" s="91"/>
      <c r="J6" s="91" t="s">
        <v>179</v>
      </c>
      <c r="K6" s="91"/>
    </row>
    <row r="7" spans="1:11" x14ac:dyDescent="0.25">
      <c r="A7" s="91" t="s">
        <v>23</v>
      </c>
      <c r="B7" s="91" t="s">
        <v>73</v>
      </c>
      <c r="C7" s="91" t="s">
        <v>31</v>
      </c>
      <c r="D7" s="91" t="s">
        <v>50</v>
      </c>
      <c r="H7" s="91"/>
      <c r="I7" s="91"/>
      <c r="J7" s="91" t="s">
        <v>180</v>
      </c>
      <c r="K7" s="91"/>
    </row>
    <row r="8" spans="1:11" x14ac:dyDescent="0.25">
      <c r="A8" s="91" t="s">
        <v>4</v>
      </c>
      <c r="B8" s="91" t="s">
        <v>73</v>
      </c>
      <c r="C8" s="91" t="s">
        <v>32</v>
      </c>
      <c r="D8" s="91" t="s">
        <v>51</v>
      </c>
      <c r="H8" s="91"/>
      <c r="I8" s="91"/>
      <c r="J8" t="s">
        <v>4</v>
      </c>
      <c r="K8" s="91"/>
    </row>
    <row r="9" spans="1:11" x14ac:dyDescent="0.25">
      <c r="A9" s="91" t="s">
        <v>5</v>
      </c>
      <c r="B9" s="91" t="s">
        <v>73</v>
      </c>
      <c r="C9" s="91" t="s">
        <v>32</v>
      </c>
      <c r="D9" s="91" t="s">
        <v>52</v>
      </c>
      <c r="H9" s="91"/>
      <c r="I9" s="91"/>
      <c r="J9" t="s">
        <v>5</v>
      </c>
      <c r="K9" s="91"/>
    </row>
    <row r="10" spans="1:11" x14ac:dyDescent="0.25">
      <c r="A10" s="91" t="s">
        <v>6</v>
      </c>
      <c r="B10" s="91" t="s">
        <v>73</v>
      </c>
      <c r="C10" s="91" t="s">
        <v>32</v>
      </c>
      <c r="D10" s="91" t="s">
        <v>52</v>
      </c>
      <c r="H10" s="91"/>
      <c r="I10" s="91"/>
      <c r="J10" t="s">
        <v>6</v>
      </c>
      <c r="K10" s="91"/>
    </row>
    <row r="11" spans="1:11" x14ac:dyDescent="0.25">
      <c r="A11" s="91" t="s">
        <v>7</v>
      </c>
      <c r="B11" s="91" t="s">
        <v>73</v>
      </c>
      <c r="C11" s="91" t="s">
        <v>32</v>
      </c>
      <c r="D11" s="91" t="s">
        <v>52</v>
      </c>
      <c r="H11" s="91"/>
      <c r="I11" s="91"/>
      <c r="J11" t="s">
        <v>7</v>
      </c>
      <c r="K11" s="91"/>
    </row>
    <row r="12" spans="1:11" x14ac:dyDescent="0.25">
      <c r="A12" s="91" t="s">
        <v>25</v>
      </c>
      <c r="B12" s="91" t="s">
        <v>73</v>
      </c>
      <c r="C12" s="91" t="s">
        <v>33</v>
      </c>
      <c r="D12" s="91" t="s">
        <v>49</v>
      </c>
      <c r="H12" s="91"/>
      <c r="I12" s="91"/>
      <c r="J12" t="s">
        <v>191</v>
      </c>
      <c r="K12" s="91"/>
    </row>
    <row r="13" spans="1:11" x14ac:dyDescent="0.25">
      <c r="A13" s="91" t="s">
        <v>26</v>
      </c>
      <c r="B13" s="91" t="s">
        <v>73</v>
      </c>
      <c r="C13" s="91" t="s">
        <v>33</v>
      </c>
      <c r="D13" s="91" t="s">
        <v>49</v>
      </c>
      <c r="E13" s="91"/>
      <c r="F13" s="91"/>
      <c r="G13" s="91"/>
      <c r="H13" s="91"/>
      <c r="I13" s="91"/>
      <c r="J13" t="s">
        <v>478</v>
      </c>
      <c r="K13" s="91"/>
    </row>
    <row r="14" spans="1:11" x14ac:dyDescent="0.25">
      <c r="A14" s="91" t="s">
        <v>27</v>
      </c>
      <c r="B14" s="91" t="s">
        <v>73</v>
      </c>
      <c r="C14" s="91" t="s">
        <v>31</v>
      </c>
      <c r="D14" s="91" t="s">
        <v>52</v>
      </c>
      <c r="E14" s="91"/>
      <c r="F14" s="91"/>
      <c r="G14" s="91"/>
      <c r="H14" s="91"/>
      <c r="I14" s="91"/>
      <c r="J14" t="s">
        <v>10</v>
      </c>
      <c r="K14" s="91"/>
    </row>
    <row r="15" spans="1:11" x14ac:dyDescent="0.25">
      <c r="A15" s="91" t="s">
        <v>28</v>
      </c>
      <c r="B15" s="91" t="s">
        <v>73</v>
      </c>
      <c r="C15" s="91" t="s">
        <v>31</v>
      </c>
      <c r="D15" s="91" t="s">
        <v>52</v>
      </c>
      <c r="E15" s="91"/>
      <c r="F15" s="91"/>
      <c r="G15" s="91"/>
      <c r="H15" s="91"/>
      <c r="I15" s="91"/>
      <c r="J15" t="s">
        <v>11</v>
      </c>
      <c r="K15" s="91"/>
    </row>
    <row r="16" spans="1:11" x14ac:dyDescent="0.25">
      <c r="A16" s="91" t="s">
        <v>29</v>
      </c>
      <c r="B16" s="91" t="s">
        <v>73</v>
      </c>
      <c r="C16" s="91" t="s">
        <v>31</v>
      </c>
      <c r="D16" s="91" t="s">
        <v>52</v>
      </c>
      <c r="E16" s="91"/>
      <c r="F16" s="91"/>
      <c r="G16" s="91"/>
      <c r="H16" s="91"/>
      <c r="I16" s="91"/>
      <c r="J16" t="s">
        <v>112</v>
      </c>
      <c r="K16" s="91"/>
    </row>
    <row r="17" spans="1:11" x14ac:dyDescent="0.25">
      <c r="A17" s="91" t="s">
        <v>8</v>
      </c>
      <c r="B17" s="91" t="s">
        <v>73</v>
      </c>
      <c r="C17" s="91" t="s">
        <v>32</v>
      </c>
      <c r="D17" s="91" t="s">
        <v>52</v>
      </c>
      <c r="E17" s="91"/>
      <c r="F17" s="91"/>
      <c r="G17" s="91"/>
      <c r="H17" s="91"/>
      <c r="I17" s="91"/>
      <c r="J17" t="s">
        <v>12</v>
      </c>
      <c r="K17" s="91"/>
    </row>
    <row r="18" spans="1:11" x14ac:dyDescent="0.25">
      <c r="A18" s="91" t="s">
        <v>9</v>
      </c>
      <c r="B18" s="91" t="s">
        <v>73</v>
      </c>
      <c r="C18" s="91" t="s">
        <v>32</v>
      </c>
      <c r="D18" s="91" t="s">
        <v>52</v>
      </c>
      <c r="E18" s="456"/>
      <c r="F18" s="456"/>
      <c r="G18" s="456"/>
      <c r="H18" s="91"/>
      <c r="I18" s="297"/>
      <c r="J18" t="s">
        <v>14</v>
      </c>
      <c r="K18" s="297"/>
    </row>
    <row r="19" spans="1:11" x14ac:dyDescent="0.25">
      <c r="A19" s="91" t="s">
        <v>10</v>
      </c>
      <c r="B19" s="91" t="s">
        <v>73</v>
      </c>
      <c r="C19" s="91" t="s">
        <v>32</v>
      </c>
      <c r="D19" s="91" t="s">
        <v>51</v>
      </c>
      <c r="E19" s="94"/>
      <c r="F19" s="94"/>
      <c r="G19" s="94"/>
      <c r="H19" s="91"/>
      <c r="I19" s="94"/>
      <c r="J19" t="s">
        <v>13</v>
      </c>
      <c r="K19" s="94"/>
    </row>
    <row r="20" spans="1:11" x14ac:dyDescent="0.25">
      <c r="A20" s="91" t="s">
        <v>11</v>
      </c>
      <c r="B20" s="91" t="s">
        <v>73</v>
      </c>
      <c r="C20" s="91" t="s">
        <v>32</v>
      </c>
      <c r="D20" s="91" t="s">
        <v>51</v>
      </c>
      <c r="H20" s="91"/>
      <c r="J20" t="s">
        <v>479</v>
      </c>
    </row>
    <row r="21" spans="1:11" x14ac:dyDescent="0.25">
      <c r="A21" s="36" t="s">
        <v>112</v>
      </c>
      <c r="B21" s="91" t="s">
        <v>73</v>
      </c>
      <c r="C21" s="91" t="s">
        <v>32</v>
      </c>
      <c r="D21" s="91" t="s">
        <v>49</v>
      </c>
      <c r="H21" s="91"/>
      <c r="J21" t="s">
        <v>17</v>
      </c>
    </row>
    <row r="22" spans="1:11" x14ac:dyDescent="0.25">
      <c r="A22" s="91" t="s">
        <v>12</v>
      </c>
      <c r="B22" s="91" t="s">
        <v>73</v>
      </c>
      <c r="C22" s="91" t="s">
        <v>34</v>
      </c>
      <c r="D22" s="91" t="s">
        <v>68</v>
      </c>
      <c r="H22" s="91"/>
      <c r="I22" s="91"/>
      <c r="J22" t="s">
        <v>18</v>
      </c>
      <c r="K22" s="91"/>
    </row>
    <row r="23" spans="1:11" x14ac:dyDescent="0.25">
      <c r="A23" s="91" t="s">
        <v>14</v>
      </c>
      <c r="B23" s="91" t="s">
        <v>73</v>
      </c>
      <c r="C23" s="91" t="s">
        <v>34</v>
      </c>
      <c r="D23" s="91" t="s">
        <v>68</v>
      </c>
      <c r="H23" s="91"/>
      <c r="I23" s="91"/>
      <c r="J23" t="s">
        <v>20</v>
      </c>
      <c r="K23" s="91"/>
    </row>
    <row r="24" spans="1:11" x14ac:dyDescent="0.25">
      <c r="A24" s="91" t="s">
        <v>13</v>
      </c>
      <c r="B24" s="91" t="s">
        <v>73</v>
      </c>
      <c r="C24" s="91" t="s">
        <v>32</v>
      </c>
      <c r="D24" s="91" t="s">
        <v>49</v>
      </c>
      <c r="J24" t="s">
        <v>19</v>
      </c>
    </row>
    <row r="25" spans="1:11" x14ac:dyDescent="0.25">
      <c r="A25" s="91" t="s">
        <v>15</v>
      </c>
      <c r="B25" s="91" t="s">
        <v>73</v>
      </c>
      <c r="C25" s="91" t="s">
        <v>32</v>
      </c>
      <c r="D25" s="91" t="s">
        <v>49</v>
      </c>
      <c r="J25" t="s">
        <v>22</v>
      </c>
    </row>
    <row r="26" spans="1:11" x14ac:dyDescent="0.25">
      <c r="A26" s="91" t="s">
        <v>16</v>
      </c>
      <c r="B26" s="91" t="s">
        <v>73</v>
      </c>
      <c r="C26" s="91" t="s">
        <v>32</v>
      </c>
      <c r="D26" s="91" t="s">
        <v>49</v>
      </c>
      <c r="J26" t="s">
        <v>21</v>
      </c>
    </row>
    <row r="27" spans="1:11" x14ac:dyDescent="0.25">
      <c r="A27" s="91" t="s">
        <v>17</v>
      </c>
      <c r="B27" s="91" t="s">
        <v>73</v>
      </c>
      <c r="C27" s="91" t="s">
        <v>32</v>
      </c>
      <c r="D27" s="91" t="s">
        <v>52</v>
      </c>
      <c r="J27" t="s">
        <v>3</v>
      </c>
    </row>
    <row r="28" spans="1:11" x14ac:dyDescent="0.25">
      <c r="A28" s="91" t="s">
        <v>18</v>
      </c>
      <c r="B28" s="91" t="s">
        <v>73</v>
      </c>
      <c r="C28" s="91" t="s">
        <v>32</v>
      </c>
      <c r="D28" s="91" t="s">
        <v>49</v>
      </c>
      <c r="J28" t="s">
        <v>24</v>
      </c>
    </row>
    <row r="29" spans="1:11" x14ac:dyDescent="0.25">
      <c r="A29" s="91" t="s">
        <v>20</v>
      </c>
      <c r="B29" s="91" t="s">
        <v>73</v>
      </c>
      <c r="C29" s="91" t="s">
        <v>32</v>
      </c>
      <c r="D29" s="91" t="s">
        <v>49</v>
      </c>
      <c r="J29" t="s">
        <v>4</v>
      </c>
    </row>
    <row r="30" spans="1:11" x14ac:dyDescent="0.25">
      <c r="A30" s="91" t="s">
        <v>19</v>
      </c>
      <c r="B30" s="91" t="s">
        <v>73</v>
      </c>
      <c r="C30" s="91" t="s">
        <v>32</v>
      </c>
      <c r="D30" s="91" t="s">
        <v>51</v>
      </c>
      <c r="J30" t="s">
        <v>5</v>
      </c>
    </row>
    <row r="31" spans="1:11" x14ac:dyDescent="0.25">
      <c r="A31" s="91" t="s">
        <v>22</v>
      </c>
      <c r="B31" s="91" t="s">
        <v>73</v>
      </c>
      <c r="C31" s="91" t="s">
        <v>32</v>
      </c>
      <c r="D31" s="91" t="s">
        <v>49</v>
      </c>
      <c r="J31" t="s">
        <v>6</v>
      </c>
    </row>
    <row r="32" spans="1:11" x14ac:dyDescent="0.25">
      <c r="A32" s="94"/>
      <c r="B32" s="94"/>
      <c r="C32" s="94"/>
      <c r="D32" s="94"/>
      <c r="J32" t="s">
        <v>7</v>
      </c>
    </row>
    <row r="33" spans="1:10" x14ac:dyDescent="0.25">
      <c r="J33" t="s">
        <v>191</v>
      </c>
    </row>
    <row r="34" spans="1:10" x14ac:dyDescent="0.25">
      <c r="A34" s="27" t="s">
        <v>23</v>
      </c>
      <c r="B34" s="91" t="s">
        <v>73</v>
      </c>
      <c r="J34" t="s">
        <v>478</v>
      </c>
    </row>
    <row r="35" spans="1:10" x14ac:dyDescent="0.25">
      <c r="A35" s="27" t="s">
        <v>477</v>
      </c>
      <c r="B35" s="91" t="s">
        <v>73</v>
      </c>
      <c r="J35" t="s">
        <v>10</v>
      </c>
    </row>
    <row r="36" spans="1:10" x14ac:dyDescent="0.25">
      <c r="A36" s="27" t="s">
        <v>179</v>
      </c>
      <c r="B36" s="91" t="s">
        <v>73</v>
      </c>
      <c r="J36" t="s">
        <v>11</v>
      </c>
    </row>
    <row r="37" spans="1:10" x14ac:dyDescent="0.25">
      <c r="A37" s="27" t="s">
        <v>180</v>
      </c>
      <c r="B37" s="91" t="s">
        <v>73</v>
      </c>
      <c r="J37" t="s">
        <v>112</v>
      </c>
    </row>
    <row r="38" spans="1:10" x14ac:dyDescent="0.25">
      <c r="A38" s="27" t="s">
        <v>4</v>
      </c>
      <c r="B38" s="91" t="s">
        <v>73</v>
      </c>
      <c r="J38" t="s">
        <v>12</v>
      </c>
    </row>
    <row r="39" spans="1:10" x14ac:dyDescent="0.25">
      <c r="A39" s="27" t="s">
        <v>5</v>
      </c>
      <c r="B39" s="91" t="s">
        <v>73</v>
      </c>
      <c r="J39" t="s">
        <v>14</v>
      </c>
    </row>
    <row r="40" spans="1:10" x14ac:dyDescent="0.25">
      <c r="A40" s="27" t="s">
        <v>6</v>
      </c>
      <c r="B40" s="91" t="s">
        <v>73</v>
      </c>
      <c r="J40" t="s">
        <v>13</v>
      </c>
    </row>
    <row r="41" spans="1:10" x14ac:dyDescent="0.25">
      <c r="A41" s="27" t="s">
        <v>7</v>
      </c>
      <c r="B41" s="91" t="s">
        <v>73</v>
      </c>
      <c r="J41" t="s">
        <v>479</v>
      </c>
    </row>
    <row r="42" spans="1:10" x14ac:dyDescent="0.25">
      <c r="A42" s="27" t="s">
        <v>191</v>
      </c>
      <c r="B42" s="91" t="s">
        <v>73</v>
      </c>
      <c r="J42" t="s">
        <v>17</v>
      </c>
    </row>
    <row r="43" spans="1:10" x14ac:dyDescent="0.25">
      <c r="A43" s="27" t="s">
        <v>478</v>
      </c>
      <c r="B43" s="91" t="s">
        <v>73</v>
      </c>
      <c r="J43" t="s">
        <v>18</v>
      </c>
    </row>
    <row r="44" spans="1:10" x14ac:dyDescent="0.25">
      <c r="A44" s="27" t="s">
        <v>10</v>
      </c>
      <c r="B44" s="91" t="s">
        <v>73</v>
      </c>
      <c r="J44" t="s">
        <v>20</v>
      </c>
    </row>
    <row r="45" spans="1:10" x14ac:dyDescent="0.25">
      <c r="A45" s="27" t="s">
        <v>11</v>
      </c>
      <c r="B45" s="91" t="s">
        <v>73</v>
      </c>
      <c r="J45" t="s">
        <v>19</v>
      </c>
    </row>
    <row r="46" spans="1:10" x14ac:dyDescent="0.25">
      <c r="A46" s="27" t="s">
        <v>112</v>
      </c>
      <c r="B46" s="91" t="s">
        <v>73</v>
      </c>
      <c r="J46" t="s">
        <v>22</v>
      </c>
    </row>
    <row r="47" spans="1:10" x14ac:dyDescent="0.25">
      <c r="A47" s="27" t="s">
        <v>12</v>
      </c>
      <c r="B47" s="91" t="s">
        <v>73</v>
      </c>
    </row>
    <row r="48" spans="1:10" x14ac:dyDescent="0.25">
      <c r="A48" s="27" t="s">
        <v>14</v>
      </c>
      <c r="B48" s="91" t="s">
        <v>73</v>
      </c>
    </row>
    <row r="49" spans="1:2" x14ac:dyDescent="0.25">
      <c r="A49" s="27" t="s">
        <v>13</v>
      </c>
      <c r="B49" s="91" t="s">
        <v>73</v>
      </c>
    </row>
    <row r="50" spans="1:2" x14ac:dyDescent="0.25">
      <c r="A50" s="27" t="s">
        <v>479</v>
      </c>
      <c r="B50" s="91" t="s">
        <v>73</v>
      </c>
    </row>
    <row r="51" spans="1:2" x14ac:dyDescent="0.25">
      <c r="A51" s="27" t="s">
        <v>17</v>
      </c>
      <c r="B51" s="91" t="s">
        <v>73</v>
      </c>
    </row>
    <row r="52" spans="1:2" x14ac:dyDescent="0.25">
      <c r="A52" s="27" t="s">
        <v>18</v>
      </c>
      <c r="B52" s="91" t="s">
        <v>73</v>
      </c>
    </row>
    <row r="53" spans="1:2" x14ac:dyDescent="0.25">
      <c r="A53" s="27" t="s">
        <v>20</v>
      </c>
      <c r="B53" s="91" t="s">
        <v>73</v>
      </c>
    </row>
    <row r="54" spans="1:2" x14ac:dyDescent="0.25">
      <c r="A54" s="27" t="s">
        <v>19</v>
      </c>
      <c r="B54" s="91" t="s">
        <v>73</v>
      </c>
    </row>
    <row r="55" spans="1:2" x14ac:dyDescent="0.25">
      <c r="A55" s="27" t="s">
        <v>22</v>
      </c>
      <c r="B55" s="91" t="s">
        <v>73</v>
      </c>
    </row>
    <row r="56" spans="1:2" x14ac:dyDescent="0.25">
      <c r="A56" s="27" t="s">
        <v>21</v>
      </c>
      <c r="B56" s="91" t="s">
        <v>73</v>
      </c>
    </row>
    <row r="57" spans="1:2" x14ac:dyDescent="0.25">
      <c r="A57" s="27" t="s">
        <v>3</v>
      </c>
      <c r="B57" s="91" t="s">
        <v>73</v>
      </c>
    </row>
    <row r="58" spans="1:2" x14ac:dyDescent="0.25">
      <c r="A58" s="27" t="s">
        <v>24</v>
      </c>
      <c r="B58" s="91" t="s">
        <v>73</v>
      </c>
    </row>
    <row r="59" spans="1:2" x14ac:dyDescent="0.25">
      <c r="A59" s="27" t="s">
        <v>4</v>
      </c>
      <c r="B59" s="91" t="s">
        <v>73</v>
      </c>
    </row>
    <row r="60" spans="1:2" x14ac:dyDescent="0.25">
      <c r="A60" s="27" t="s">
        <v>5</v>
      </c>
      <c r="B60" s="91" t="s">
        <v>73</v>
      </c>
    </row>
    <row r="61" spans="1:2" x14ac:dyDescent="0.25">
      <c r="A61" s="27" t="s">
        <v>6</v>
      </c>
      <c r="B61" s="91" t="s">
        <v>73</v>
      </c>
    </row>
    <row r="62" spans="1:2" x14ac:dyDescent="0.25">
      <c r="A62" s="27" t="s">
        <v>7</v>
      </c>
      <c r="B62" s="91" t="s">
        <v>73</v>
      </c>
    </row>
    <row r="63" spans="1:2" x14ac:dyDescent="0.25">
      <c r="A63" s="27" t="s">
        <v>191</v>
      </c>
      <c r="B63" s="91" t="s">
        <v>73</v>
      </c>
    </row>
    <row r="64" spans="1:2" x14ac:dyDescent="0.25">
      <c r="A64" s="27" t="s">
        <v>478</v>
      </c>
      <c r="B64" s="91" t="s">
        <v>73</v>
      </c>
    </row>
    <row r="65" spans="1:2" x14ac:dyDescent="0.25">
      <c r="A65" s="27" t="s">
        <v>10</v>
      </c>
      <c r="B65" s="91" t="s">
        <v>73</v>
      </c>
    </row>
    <row r="66" spans="1:2" x14ac:dyDescent="0.25">
      <c r="A66" s="27" t="s">
        <v>11</v>
      </c>
      <c r="B66" s="91" t="s">
        <v>73</v>
      </c>
    </row>
    <row r="67" spans="1:2" x14ac:dyDescent="0.25">
      <c r="A67" s="27" t="s">
        <v>112</v>
      </c>
      <c r="B67" s="91" t="s">
        <v>73</v>
      </c>
    </row>
    <row r="68" spans="1:2" x14ac:dyDescent="0.25">
      <c r="A68" s="27" t="s">
        <v>12</v>
      </c>
      <c r="B68" s="91" t="s">
        <v>73</v>
      </c>
    </row>
    <row r="69" spans="1:2" x14ac:dyDescent="0.25">
      <c r="A69" s="27" t="s">
        <v>14</v>
      </c>
      <c r="B69" s="91" t="s">
        <v>73</v>
      </c>
    </row>
    <row r="70" spans="1:2" x14ac:dyDescent="0.25">
      <c r="A70" s="27" t="s">
        <v>13</v>
      </c>
      <c r="B70" s="91" t="s">
        <v>73</v>
      </c>
    </row>
    <row r="71" spans="1:2" x14ac:dyDescent="0.25">
      <c r="A71" s="27" t="s">
        <v>479</v>
      </c>
      <c r="B71" s="91" t="s">
        <v>73</v>
      </c>
    </row>
    <row r="72" spans="1:2" x14ac:dyDescent="0.25">
      <c r="A72" s="27" t="s">
        <v>17</v>
      </c>
      <c r="B72" s="91" t="s">
        <v>73</v>
      </c>
    </row>
    <row r="73" spans="1:2" x14ac:dyDescent="0.25">
      <c r="A73" s="27" t="s">
        <v>18</v>
      </c>
      <c r="B73" s="91" t="s">
        <v>73</v>
      </c>
    </row>
    <row r="74" spans="1:2" x14ac:dyDescent="0.25">
      <c r="A74" s="27" t="s">
        <v>20</v>
      </c>
      <c r="B74" s="91" t="s">
        <v>73</v>
      </c>
    </row>
    <row r="75" spans="1:2" x14ac:dyDescent="0.25">
      <c r="A75" s="27" t="s">
        <v>19</v>
      </c>
      <c r="B75" s="91" t="s">
        <v>73</v>
      </c>
    </row>
    <row r="76" spans="1:2" x14ac:dyDescent="0.25">
      <c r="A76" s="27" t="s">
        <v>22</v>
      </c>
      <c r="B76" s="91" t="s">
        <v>73</v>
      </c>
    </row>
  </sheetData>
  <sheetProtection selectLockedCells="1"/>
  <sortState ref="A3:D31">
    <sortCondition ref="A3:A31"/>
  </sortState>
  <mergeCells count="2">
    <mergeCell ref="I1:K1"/>
    <mergeCell ref="E18:G18"/>
  </mergeCells>
  <pageMargins left="0.7" right="0.7" top="0.75" bottom="0.75" header="0.3" footer="0.3"/>
  <pageSetup paperSize="9" orientation="portrait" r:id="rId1"/>
  <customProperties>
    <customPr name="SSCSheetTrackingNo" r:id="rId2"/>
  </customPropertie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J49"/>
  <sheetViews>
    <sheetView topLeftCell="A19" workbookViewId="0">
      <selection activeCell="G29" sqref="G29:G49"/>
    </sheetView>
  </sheetViews>
  <sheetFormatPr defaultRowHeight="15" x14ac:dyDescent="0.25"/>
  <cols>
    <col min="1" max="1" width="19.7109375" customWidth="1"/>
    <col min="2" max="2" width="11" customWidth="1"/>
    <col min="3" max="3" width="22.5703125" customWidth="1"/>
    <col min="4" max="4" width="13" customWidth="1"/>
    <col min="5" max="5" width="22.5703125" customWidth="1"/>
    <col min="6" max="6" width="9.5703125" customWidth="1"/>
    <col min="7" max="11" width="22.5703125" customWidth="1"/>
  </cols>
  <sheetData>
    <row r="1" spans="1:10" x14ac:dyDescent="0.25">
      <c r="A1" s="171" t="s">
        <v>160</v>
      </c>
      <c r="B1" s="171"/>
      <c r="C1" s="171" t="s">
        <v>161</v>
      </c>
      <c r="D1" s="171"/>
      <c r="E1" s="171" t="s">
        <v>162</v>
      </c>
      <c r="F1" s="171"/>
      <c r="G1" s="171" t="s">
        <v>163</v>
      </c>
      <c r="H1" s="171"/>
      <c r="I1" s="171" t="s">
        <v>164</v>
      </c>
      <c r="J1" s="171" t="s">
        <v>165</v>
      </c>
    </row>
    <row r="2" spans="1:10" s="172" customFormat="1" x14ac:dyDescent="0.25"/>
    <row r="6" spans="1:10" s="172" customFormat="1" x14ac:dyDescent="0.25">
      <c r="J6" s="173"/>
    </row>
    <row r="9" spans="1:10" s="172" customFormat="1" x14ac:dyDescent="0.25"/>
    <row r="27" spans="1:10" x14ac:dyDescent="0.25">
      <c r="A27" s="174" t="s">
        <v>38</v>
      </c>
      <c r="B27" s="174" t="s">
        <v>177</v>
      </c>
      <c r="C27" s="174" t="s">
        <v>37</v>
      </c>
      <c r="D27" s="174"/>
      <c r="E27" s="174" t="s">
        <v>171</v>
      </c>
      <c r="F27" s="174" t="s">
        <v>176</v>
      </c>
      <c r="G27" s="174" t="s">
        <v>64</v>
      </c>
      <c r="H27" s="174"/>
      <c r="I27" s="174" t="s">
        <v>67</v>
      </c>
      <c r="J27" s="174" t="s">
        <v>176</v>
      </c>
    </row>
    <row r="28" spans="1:10" x14ac:dyDescent="0.25">
      <c r="J28">
        <v>1</v>
      </c>
    </row>
    <row r="29" spans="1:10" x14ac:dyDescent="0.25">
      <c r="A29" t="s">
        <v>23</v>
      </c>
      <c r="B29">
        <v>1</v>
      </c>
      <c r="C29" t="s">
        <v>4</v>
      </c>
      <c r="D29">
        <v>1</v>
      </c>
      <c r="E29" t="s">
        <v>4</v>
      </c>
      <c r="F29">
        <v>1</v>
      </c>
      <c r="G29" t="s">
        <v>21</v>
      </c>
      <c r="H29">
        <v>1</v>
      </c>
      <c r="J29">
        <v>5</v>
      </c>
    </row>
    <row r="30" spans="1:10" x14ac:dyDescent="0.25">
      <c r="A30" t="s">
        <v>477</v>
      </c>
      <c r="B30">
        <v>5</v>
      </c>
      <c r="C30" t="s">
        <v>5</v>
      </c>
      <c r="D30">
        <v>5</v>
      </c>
      <c r="E30" t="s">
        <v>5</v>
      </c>
      <c r="F30">
        <v>5</v>
      </c>
      <c r="G30" t="s">
        <v>3</v>
      </c>
      <c r="H30">
        <v>5</v>
      </c>
    </row>
    <row r="31" spans="1:10" x14ac:dyDescent="0.25">
      <c r="A31" t="s">
        <v>179</v>
      </c>
      <c r="C31" t="s">
        <v>6</v>
      </c>
      <c r="D31">
        <v>20</v>
      </c>
      <c r="E31" t="s">
        <v>6</v>
      </c>
      <c r="G31" t="s">
        <v>24</v>
      </c>
      <c r="H31">
        <v>20</v>
      </c>
    </row>
    <row r="32" spans="1:10" x14ac:dyDescent="0.25">
      <c r="A32" t="s">
        <v>180</v>
      </c>
      <c r="C32" t="s">
        <v>7</v>
      </c>
      <c r="D32">
        <v>195</v>
      </c>
      <c r="E32" t="s">
        <v>7</v>
      </c>
      <c r="G32" t="s">
        <v>4</v>
      </c>
    </row>
    <row r="33" spans="3:7" x14ac:dyDescent="0.25">
      <c r="C33" t="s">
        <v>191</v>
      </c>
      <c r="E33" t="s">
        <v>191</v>
      </c>
      <c r="G33" t="s">
        <v>5</v>
      </c>
    </row>
    <row r="34" spans="3:7" x14ac:dyDescent="0.25">
      <c r="C34" t="s">
        <v>478</v>
      </c>
      <c r="E34" t="s">
        <v>478</v>
      </c>
      <c r="G34" t="s">
        <v>6</v>
      </c>
    </row>
    <row r="35" spans="3:7" x14ac:dyDescent="0.25">
      <c r="C35" t="s">
        <v>10</v>
      </c>
      <c r="E35" t="s">
        <v>10</v>
      </c>
      <c r="G35" t="s">
        <v>7</v>
      </c>
    </row>
    <row r="36" spans="3:7" x14ac:dyDescent="0.25">
      <c r="C36" t="s">
        <v>11</v>
      </c>
      <c r="E36" t="s">
        <v>11</v>
      </c>
      <c r="G36" t="s">
        <v>191</v>
      </c>
    </row>
    <row r="37" spans="3:7" x14ac:dyDescent="0.25">
      <c r="C37" t="s">
        <v>112</v>
      </c>
      <c r="E37" t="s">
        <v>112</v>
      </c>
      <c r="G37" t="s">
        <v>478</v>
      </c>
    </row>
    <row r="38" spans="3:7" x14ac:dyDescent="0.25">
      <c r="C38" t="s">
        <v>12</v>
      </c>
      <c r="E38" t="s">
        <v>12</v>
      </c>
      <c r="G38" t="s">
        <v>10</v>
      </c>
    </row>
    <row r="39" spans="3:7" x14ac:dyDescent="0.25">
      <c r="C39" t="s">
        <v>14</v>
      </c>
      <c r="E39" t="s">
        <v>14</v>
      </c>
      <c r="G39" t="s">
        <v>11</v>
      </c>
    </row>
    <row r="40" spans="3:7" x14ac:dyDescent="0.25">
      <c r="C40" t="s">
        <v>13</v>
      </c>
      <c r="E40" t="s">
        <v>13</v>
      </c>
      <c r="G40" t="s">
        <v>112</v>
      </c>
    </row>
    <row r="41" spans="3:7" x14ac:dyDescent="0.25">
      <c r="C41" t="s">
        <v>479</v>
      </c>
      <c r="E41" t="s">
        <v>479</v>
      </c>
      <c r="G41" t="s">
        <v>12</v>
      </c>
    </row>
    <row r="42" spans="3:7" x14ac:dyDescent="0.25">
      <c r="C42" t="s">
        <v>17</v>
      </c>
      <c r="E42" t="s">
        <v>17</v>
      </c>
      <c r="G42" t="s">
        <v>14</v>
      </c>
    </row>
    <row r="43" spans="3:7" x14ac:dyDescent="0.25">
      <c r="C43" t="s">
        <v>18</v>
      </c>
      <c r="E43" t="s">
        <v>18</v>
      </c>
      <c r="G43" t="s">
        <v>13</v>
      </c>
    </row>
    <row r="44" spans="3:7" x14ac:dyDescent="0.25">
      <c r="C44" t="s">
        <v>20</v>
      </c>
      <c r="E44" t="s">
        <v>20</v>
      </c>
      <c r="G44" t="s">
        <v>479</v>
      </c>
    </row>
    <row r="45" spans="3:7" x14ac:dyDescent="0.25">
      <c r="C45" t="s">
        <v>19</v>
      </c>
      <c r="E45" t="s">
        <v>19</v>
      </c>
      <c r="G45" t="s">
        <v>17</v>
      </c>
    </row>
    <row r="46" spans="3:7" x14ac:dyDescent="0.25">
      <c r="C46" t="s">
        <v>22</v>
      </c>
      <c r="E46" t="s">
        <v>22</v>
      </c>
      <c r="G46" t="s">
        <v>18</v>
      </c>
    </row>
    <row r="47" spans="3:7" x14ac:dyDescent="0.25">
      <c r="G47" t="s">
        <v>20</v>
      </c>
    </row>
    <row r="48" spans="3:7" x14ac:dyDescent="0.25">
      <c r="G48" t="s">
        <v>19</v>
      </c>
    </row>
    <row r="49" spans="7:7" x14ac:dyDescent="0.25">
      <c r="G49" t="s">
        <v>22</v>
      </c>
    </row>
  </sheetData>
  <sortState ref="G28:G38">
    <sortCondition ref="G28:G38"/>
  </sortState>
  <pageMargins left="0.7" right="0.7" top="0.75" bottom="0.75" header="0.3" footer="0.3"/>
  <pageSetup orientation="portrait" r:id="rId1"/>
  <customProperties>
    <customPr name="SSCSheetTrackingNo" r:id="rId2"/>
  </customPropertie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V77"/>
  <sheetViews>
    <sheetView topLeftCell="A19" zoomScaleNormal="100" workbookViewId="0">
      <selection activeCell="R41" sqref="R41"/>
    </sheetView>
  </sheetViews>
  <sheetFormatPr defaultRowHeight="15" x14ac:dyDescent="0.25"/>
  <cols>
    <col min="1" max="1" width="18.7109375" style="27" customWidth="1"/>
    <col min="2" max="2" width="9.140625" style="27" customWidth="1"/>
    <col min="3" max="3" width="8.7109375" style="27" customWidth="1"/>
    <col min="4" max="4" width="9.140625" style="27"/>
    <col min="5" max="5" width="11.5703125" style="27" bestFit="1" customWidth="1"/>
    <col min="6" max="6" width="13.7109375" style="27" bestFit="1" customWidth="1"/>
    <col min="7" max="7" width="14" style="27" bestFit="1" customWidth="1"/>
    <col min="8" max="8" width="10.42578125" style="27" customWidth="1"/>
    <col min="9" max="9" width="11.140625" style="27" customWidth="1"/>
    <col min="10" max="10" width="12.5703125" style="27" bestFit="1" customWidth="1"/>
    <col min="11" max="11" width="14.140625" style="27" customWidth="1"/>
    <col min="12" max="12" width="14.85546875" style="27" customWidth="1"/>
    <col min="13" max="13" width="9.140625" style="27" customWidth="1"/>
    <col min="14" max="14" width="12.28515625" style="27" customWidth="1"/>
    <col min="15" max="15" width="10.5703125" style="27" customWidth="1"/>
    <col min="16" max="16" width="14.140625" style="27" customWidth="1"/>
    <col min="17" max="17" width="13.42578125" style="27" customWidth="1"/>
    <col min="18" max="18" width="18.42578125" style="27" customWidth="1"/>
    <col min="19" max="19" width="9.140625" style="27" customWidth="1"/>
    <col min="20" max="20" width="12.28515625" style="27" customWidth="1"/>
    <col min="21" max="21" width="10.5703125" style="27" customWidth="1"/>
    <col min="22" max="23" width="9.140625" style="27" customWidth="1"/>
    <col min="24" max="16384" width="9.140625" style="27"/>
  </cols>
  <sheetData>
    <row r="1" spans="1:14" s="61" customFormat="1" ht="15" customHeight="1" x14ac:dyDescent="0.25"/>
    <row r="4" spans="1:14" ht="15.75" thickBot="1" x14ac:dyDescent="0.3"/>
    <row r="5" spans="1:14" ht="15.75" thickBot="1" x14ac:dyDescent="0.3">
      <c r="C5" s="76"/>
      <c r="F5" s="117"/>
      <c r="G5" s="118"/>
    </row>
    <row r="6" spans="1:14" x14ac:dyDescent="0.25">
      <c r="C6" s="76"/>
    </row>
    <row r="7" spans="1:14" ht="15.75" thickBot="1" x14ac:dyDescent="0.3"/>
    <row r="8" spans="1:14" ht="15.75" thickBot="1" x14ac:dyDescent="0.3">
      <c r="A8" s="404"/>
      <c r="B8" s="405"/>
      <c r="C8" s="406"/>
      <c r="F8" s="376"/>
      <c r="G8" s="377"/>
      <c r="H8" s="378"/>
      <c r="J8" s="376" t="s">
        <v>36</v>
      </c>
      <c r="K8" s="377"/>
      <c r="L8" s="378"/>
    </row>
    <row r="9" spans="1:14" x14ac:dyDescent="0.25">
      <c r="A9" s="28"/>
      <c r="B9" s="407"/>
      <c r="C9" s="408"/>
      <c r="F9" s="28"/>
      <c r="G9" s="387"/>
      <c r="H9" s="388"/>
      <c r="J9" s="420" t="str">
        <f>+A20</f>
        <v>Saadbehandeling</v>
      </c>
      <c r="K9" s="421"/>
      <c r="L9" s="23">
        <f>+L23</f>
        <v>2500</v>
      </c>
    </row>
    <row r="10" spans="1:14" x14ac:dyDescent="0.25">
      <c r="A10" s="29"/>
      <c r="B10" s="379"/>
      <c r="C10" s="380"/>
      <c r="F10" s="29"/>
      <c r="G10" s="383"/>
      <c r="H10" s="384"/>
      <c r="J10" s="389" t="str">
        <f>+A30</f>
        <v>Voor plant</v>
      </c>
      <c r="K10" s="390"/>
      <c r="L10" s="24">
        <f>+L32</f>
        <v>15000</v>
      </c>
    </row>
    <row r="11" spans="1:14" x14ac:dyDescent="0.25">
      <c r="A11" s="30"/>
      <c r="B11" s="379"/>
      <c r="C11" s="380"/>
      <c r="F11" s="29"/>
      <c r="G11" s="383"/>
      <c r="H11" s="384"/>
      <c r="J11" s="389" t="str">
        <f>+A41</f>
        <v>Voor-opkoms (met plant)</v>
      </c>
      <c r="K11" s="390"/>
      <c r="L11" s="24">
        <f>+L43</f>
        <v>66000</v>
      </c>
    </row>
    <row r="12" spans="1:14" x14ac:dyDescent="0.25">
      <c r="A12" s="29"/>
      <c r="B12" s="381"/>
      <c r="C12" s="382"/>
      <c r="F12" s="29"/>
      <c r="G12" s="383"/>
      <c r="H12" s="384"/>
      <c r="J12" s="389" t="str">
        <f>+A52</f>
        <v>Na-opkoms</v>
      </c>
      <c r="K12" s="390"/>
      <c r="L12" s="24">
        <f>+L54</f>
        <v>34200</v>
      </c>
    </row>
    <row r="13" spans="1:14" x14ac:dyDescent="0.25">
      <c r="A13" s="29"/>
      <c r="B13" s="381"/>
      <c r="C13" s="382"/>
      <c r="F13" s="29"/>
      <c r="G13" s="385"/>
      <c r="H13" s="386"/>
      <c r="J13" s="389" t="str">
        <f>+A65</f>
        <v>Ander</v>
      </c>
      <c r="K13" s="390"/>
      <c r="L13" s="24">
        <f>+L67</f>
        <v>2500</v>
      </c>
    </row>
    <row r="14" spans="1:14" ht="15.75" thickBot="1" x14ac:dyDescent="0.3">
      <c r="A14" s="29"/>
      <c r="B14" s="381"/>
      <c r="C14" s="382"/>
      <c r="F14" s="29"/>
      <c r="G14" s="385"/>
      <c r="H14" s="386"/>
      <c r="J14" s="391" t="s">
        <v>55</v>
      </c>
      <c r="K14" s="392"/>
      <c r="L14" s="26">
        <f>SUM(L9:L13)</f>
        <v>120200</v>
      </c>
    </row>
    <row r="15" spans="1:14" ht="16.5" thickTop="1" thickBot="1" x14ac:dyDescent="0.3">
      <c r="A15" s="29"/>
      <c r="B15" s="381"/>
      <c r="C15" s="382"/>
      <c r="F15" s="29"/>
      <c r="G15" s="385"/>
      <c r="H15" s="386"/>
      <c r="J15" s="196" t="s">
        <v>108</v>
      </c>
      <c r="K15" s="197"/>
      <c r="L15" s="25">
        <f>+U74</f>
        <v>1000</v>
      </c>
    </row>
    <row r="16" spans="1:14" ht="15.75" thickBot="1" x14ac:dyDescent="0.3">
      <c r="A16" s="31"/>
      <c r="B16" s="393"/>
      <c r="C16" s="394"/>
      <c r="F16" s="31"/>
      <c r="G16" s="393"/>
      <c r="H16" s="394"/>
      <c r="J16" s="198" t="s">
        <v>70</v>
      </c>
      <c r="K16" s="199"/>
      <c r="L16" s="104">
        <f>+G23+G32+G43+G54+G67</f>
        <v>2610</v>
      </c>
      <c r="N16" s="62">
        <f>+L14/L18</f>
        <v>267.11111111111109</v>
      </c>
    </row>
    <row r="17" spans="1:22" ht="15.75" thickBot="1" x14ac:dyDescent="0.3">
      <c r="E17" s="32"/>
    </row>
    <row r="18" spans="1:22" ht="15.75" thickBot="1" x14ac:dyDescent="0.3">
      <c r="A18" s="35"/>
      <c r="B18" s="418"/>
      <c r="C18" s="419"/>
      <c r="E18" s="32"/>
      <c r="F18" s="35"/>
      <c r="G18" s="418"/>
      <c r="H18" s="419"/>
      <c r="J18" s="404" t="s">
        <v>46</v>
      </c>
      <c r="K18" s="405"/>
      <c r="L18" s="3">
        <v>450</v>
      </c>
    </row>
    <row r="19" spans="1:22" s="77" customFormat="1" ht="15.75" thickBot="1" x14ac:dyDescent="0.3">
      <c r="A19" s="101"/>
      <c r="B19" s="109"/>
      <c r="C19" s="109"/>
      <c r="E19" s="102"/>
      <c r="F19" s="101"/>
      <c r="G19" s="109"/>
      <c r="H19" s="109"/>
      <c r="J19" s="200"/>
      <c r="K19" s="200"/>
      <c r="L19" s="110"/>
    </row>
    <row r="20" spans="1:22" s="77" customFormat="1" ht="18" thickBot="1" x14ac:dyDescent="0.35">
      <c r="A20" s="409" t="s">
        <v>38</v>
      </c>
      <c r="B20" s="410"/>
      <c r="C20" s="410"/>
      <c r="D20" s="410"/>
      <c r="E20" s="410"/>
      <c r="F20" s="410"/>
      <c r="G20" s="410"/>
      <c r="H20" s="410"/>
      <c r="I20" s="410"/>
      <c r="J20" s="410"/>
      <c r="K20" s="410"/>
      <c r="L20" s="411"/>
    </row>
    <row r="21" spans="1:22" s="77" customFormat="1" ht="15.75" thickBot="1" x14ac:dyDescent="0.3">
      <c r="A21" s="57"/>
      <c r="B21" s="58" t="s">
        <v>174</v>
      </c>
      <c r="C21" s="20">
        <v>50</v>
      </c>
      <c r="D21" s="177"/>
      <c r="E21" s="178"/>
      <c r="F21" s="179"/>
      <c r="G21" s="176"/>
      <c r="H21" s="58" t="s">
        <v>173</v>
      </c>
      <c r="I21" s="175">
        <v>100</v>
      </c>
      <c r="J21" s="59"/>
      <c r="K21" s="59"/>
      <c r="L21" s="60"/>
    </row>
    <row r="22" spans="1:22" s="77" customFormat="1" ht="45.75" thickBot="1" x14ac:dyDescent="0.3">
      <c r="A22" s="37" t="s">
        <v>1</v>
      </c>
      <c r="B22" s="38" t="s">
        <v>175</v>
      </c>
      <c r="C22" s="39" t="s">
        <v>190</v>
      </c>
      <c r="D22" s="40" t="s">
        <v>93</v>
      </c>
      <c r="E22" s="39" t="s">
        <v>61</v>
      </c>
      <c r="F22" s="40" t="s">
        <v>94</v>
      </c>
      <c r="G22" s="41" t="s">
        <v>60</v>
      </c>
      <c r="H22" s="39" t="s">
        <v>59</v>
      </c>
      <c r="I22" s="103" t="s">
        <v>56</v>
      </c>
      <c r="J22" s="40" t="s">
        <v>57</v>
      </c>
      <c r="K22" s="40" t="s">
        <v>58</v>
      </c>
      <c r="L22" s="42" t="s">
        <v>0</v>
      </c>
      <c r="N22" s="63" t="s">
        <v>101</v>
      </c>
      <c r="O22" s="63" t="s">
        <v>100</v>
      </c>
      <c r="P22" s="64" t="s">
        <v>102</v>
      </c>
      <c r="Q22" s="64" t="s">
        <v>103</v>
      </c>
      <c r="R22" s="64" t="s">
        <v>104</v>
      </c>
      <c r="S22" s="27"/>
      <c r="T22" s="65" t="s">
        <v>72</v>
      </c>
      <c r="U22" s="65" t="s">
        <v>74</v>
      </c>
      <c r="V22" s="65" t="s">
        <v>75</v>
      </c>
    </row>
    <row r="23" spans="1:22" s="77" customFormat="1" x14ac:dyDescent="0.25">
      <c r="A23" s="9" t="s">
        <v>179</v>
      </c>
      <c r="B23" s="191">
        <v>1</v>
      </c>
      <c r="C23" s="21">
        <v>1000</v>
      </c>
      <c r="D23" s="188">
        <f>+B23*C23/100</f>
        <v>10</v>
      </c>
      <c r="E23" s="12">
        <v>100</v>
      </c>
      <c r="F23" s="47">
        <f>+IFERROR(((D23*E23)/(C23/$I$21)),0)</f>
        <v>100</v>
      </c>
      <c r="G23" s="401">
        <f>SUM(F23:F28)</f>
        <v>200</v>
      </c>
      <c r="H23" s="185">
        <v>1</v>
      </c>
      <c r="I23" s="183">
        <f t="shared" ref="I23:I25" si="0">+IFERROR(ROUNDUP(D23/H23,0),0)</f>
        <v>10</v>
      </c>
      <c r="J23" s="47">
        <f>+E23*H23</f>
        <v>100</v>
      </c>
      <c r="K23" s="47">
        <f>+I23*J23</f>
        <v>1000</v>
      </c>
      <c r="L23" s="370">
        <f>SUM(K23:K28)</f>
        <v>2500</v>
      </c>
      <c r="T23" s="70" t="str">
        <f>IFERROR(VLOOKUP(A23,VLOOKUPS!$A$34:$B$50,2,0),"Ander")</f>
        <v>Syngenta</v>
      </c>
      <c r="U23" s="71">
        <f t="shared" ref="U23:U28" si="1">IF(T23="Syngenta",K23,0)</f>
        <v>1000</v>
      </c>
      <c r="V23" s="71">
        <f t="shared" ref="V23:V28" si="2">IF(T23="Ander",K23,0)</f>
        <v>0</v>
      </c>
    </row>
    <row r="24" spans="1:22" s="77" customFormat="1" x14ac:dyDescent="0.25">
      <c r="A24" s="9" t="s">
        <v>170</v>
      </c>
      <c r="B24" s="191">
        <v>1</v>
      </c>
      <c r="C24" s="21">
        <v>1250</v>
      </c>
      <c r="D24" s="188">
        <f t="shared" ref="D24:D28" si="3">+B24*C24/100</f>
        <v>12.5</v>
      </c>
      <c r="E24" s="12">
        <v>100</v>
      </c>
      <c r="F24" s="47">
        <f>+IFERROR(((D24*E24)/(C24/$I$21)),0)</f>
        <v>100</v>
      </c>
      <c r="G24" s="402"/>
      <c r="H24" s="186">
        <v>5</v>
      </c>
      <c r="I24" s="183">
        <f t="shared" si="0"/>
        <v>3</v>
      </c>
      <c r="J24" s="47">
        <f>+E24*H24</f>
        <v>500</v>
      </c>
      <c r="K24" s="47">
        <f>+I24*J24</f>
        <v>1500</v>
      </c>
      <c r="L24" s="371"/>
      <c r="T24" s="70" t="str">
        <f>IFERROR(VLOOKUP(A24,VLOOKUPS!$A$34:$B$50,2,0),"Ander")</f>
        <v>Ander</v>
      </c>
      <c r="U24" s="71">
        <f t="shared" si="1"/>
        <v>0</v>
      </c>
      <c r="V24" s="71">
        <f t="shared" si="2"/>
        <v>1500</v>
      </c>
    </row>
    <row r="25" spans="1:22" s="77" customFormat="1" x14ac:dyDescent="0.25">
      <c r="A25" s="9"/>
      <c r="B25" s="191"/>
      <c r="C25" s="21"/>
      <c r="D25" s="188">
        <f t="shared" si="3"/>
        <v>0</v>
      </c>
      <c r="E25" s="12"/>
      <c r="F25" s="47">
        <f t="shared" ref="F25:F28" si="4">+IFERROR(((D25*E25)/(C25/$I$21)),0)</f>
        <v>0</v>
      </c>
      <c r="G25" s="402"/>
      <c r="H25" s="186"/>
      <c r="I25" s="183">
        <f t="shared" si="0"/>
        <v>0</v>
      </c>
      <c r="J25" s="47">
        <f t="shared" ref="J25:J28" si="5">+E25*H25</f>
        <v>0</v>
      </c>
      <c r="K25" s="47">
        <f t="shared" ref="K25:K28" si="6">+I25*J25</f>
        <v>0</v>
      </c>
      <c r="L25" s="371"/>
      <c r="T25" s="70" t="str">
        <f>IFERROR(VLOOKUP(A25,VLOOKUPS!$A$34:$B$50,2,0),"Ander")</f>
        <v>Ander</v>
      </c>
      <c r="U25" s="71">
        <f t="shared" si="1"/>
        <v>0</v>
      </c>
      <c r="V25" s="71">
        <f t="shared" si="2"/>
        <v>0</v>
      </c>
    </row>
    <row r="26" spans="1:22" s="77" customFormat="1" x14ac:dyDescent="0.25">
      <c r="A26" s="9"/>
      <c r="B26" s="191"/>
      <c r="C26" s="21"/>
      <c r="D26" s="188">
        <f t="shared" si="3"/>
        <v>0</v>
      </c>
      <c r="E26" s="12"/>
      <c r="F26" s="47">
        <f t="shared" si="4"/>
        <v>0</v>
      </c>
      <c r="G26" s="402"/>
      <c r="H26" s="186"/>
      <c r="I26" s="183">
        <f>+IFERROR(ROUNDUP(D26/H26,0),0)</f>
        <v>0</v>
      </c>
      <c r="J26" s="47">
        <f t="shared" si="5"/>
        <v>0</v>
      </c>
      <c r="K26" s="47">
        <f t="shared" si="6"/>
        <v>0</v>
      </c>
      <c r="L26" s="371"/>
      <c r="T26" s="70" t="str">
        <f>IFERROR(VLOOKUP(A26,VLOOKUPS!$A$34:$B$50,2,0),"Ander")</f>
        <v>Ander</v>
      </c>
      <c r="U26" s="71">
        <f t="shared" si="1"/>
        <v>0</v>
      </c>
      <c r="V26" s="71">
        <f t="shared" si="2"/>
        <v>0</v>
      </c>
    </row>
    <row r="27" spans="1:22" s="77" customFormat="1" x14ac:dyDescent="0.25">
      <c r="A27" s="9"/>
      <c r="B27" s="191"/>
      <c r="C27" s="21"/>
      <c r="D27" s="188">
        <f t="shared" si="3"/>
        <v>0</v>
      </c>
      <c r="E27" s="12"/>
      <c r="F27" s="47">
        <f t="shared" si="4"/>
        <v>0</v>
      </c>
      <c r="G27" s="402"/>
      <c r="H27" s="186"/>
      <c r="I27" s="183">
        <f t="shared" ref="I27:I28" si="7">+IFERROR(ROUNDUP(D27/H27,0),0)</f>
        <v>0</v>
      </c>
      <c r="J27" s="47">
        <f t="shared" si="5"/>
        <v>0</v>
      </c>
      <c r="K27" s="47">
        <f t="shared" si="6"/>
        <v>0</v>
      </c>
      <c r="L27" s="371"/>
      <c r="T27" s="70" t="str">
        <f>IFERROR(VLOOKUP(A27,VLOOKUPS!$A$34:$B$50,2,0),"Ander")</f>
        <v>Ander</v>
      </c>
      <c r="U27" s="71">
        <f t="shared" si="1"/>
        <v>0</v>
      </c>
      <c r="V27" s="71">
        <f t="shared" si="2"/>
        <v>0</v>
      </c>
    </row>
    <row r="28" spans="1:22" s="77" customFormat="1" ht="15.75" thickBot="1" x14ac:dyDescent="0.3">
      <c r="A28" s="14"/>
      <c r="B28" s="192"/>
      <c r="C28" s="22"/>
      <c r="D28" s="189">
        <f t="shared" si="3"/>
        <v>0</v>
      </c>
      <c r="E28" s="17"/>
      <c r="F28" s="50">
        <f t="shared" si="4"/>
        <v>0</v>
      </c>
      <c r="G28" s="403"/>
      <c r="H28" s="187"/>
      <c r="I28" s="184">
        <f t="shared" si="7"/>
        <v>0</v>
      </c>
      <c r="J28" s="50">
        <f t="shared" si="5"/>
        <v>0</v>
      </c>
      <c r="K28" s="50">
        <f t="shared" si="6"/>
        <v>0</v>
      </c>
      <c r="L28" s="372"/>
      <c r="T28" s="70" t="str">
        <f>IFERROR(VLOOKUP(A28,VLOOKUPS!$A$34:$B$50,2,0),"Ander")</f>
        <v>Ander</v>
      </c>
      <c r="U28" s="71">
        <f t="shared" si="1"/>
        <v>0</v>
      </c>
      <c r="V28" s="71">
        <f t="shared" si="2"/>
        <v>0</v>
      </c>
    </row>
    <row r="29" spans="1:22" s="77" customFormat="1" ht="15.75" thickBot="1" x14ac:dyDescent="0.3">
      <c r="A29" s="101"/>
      <c r="B29" s="109"/>
      <c r="C29" s="109"/>
      <c r="E29" s="102"/>
      <c r="F29" s="101"/>
      <c r="G29" s="109"/>
      <c r="H29" s="109"/>
      <c r="J29" s="200"/>
      <c r="K29" s="200"/>
      <c r="L29" s="110"/>
      <c r="T29" s="27"/>
      <c r="U29" s="72">
        <f>SUM(U23:U28)</f>
        <v>1000</v>
      </c>
      <c r="V29" s="72">
        <f>SUM(V23:V28)</f>
        <v>1500</v>
      </c>
    </row>
    <row r="30" spans="1:22" ht="18.75" thickTop="1" thickBot="1" x14ac:dyDescent="0.35">
      <c r="A30" s="415" t="s">
        <v>37</v>
      </c>
      <c r="B30" s="416"/>
      <c r="C30" s="416"/>
      <c r="D30" s="416"/>
      <c r="E30" s="416"/>
      <c r="F30" s="416"/>
      <c r="G30" s="416"/>
      <c r="H30" s="416"/>
      <c r="I30" s="416"/>
      <c r="J30" s="416"/>
      <c r="K30" s="416"/>
      <c r="L30" s="417"/>
    </row>
    <row r="31" spans="1:22" ht="33" customHeight="1" thickBot="1" x14ac:dyDescent="0.3">
      <c r="A31" s="37" t="s">
        <v>1</v>
      </c>
      <c r="B31" s="38" t="s">
        <v>62</v>
      </c>
      <c r="C31" s="39" t="s">
        <v>186</v>
      </c>
      <c r="D31" s="40" t="s">
        <v>93</v>
      </c>
      <c r="E31" s="39" t="s">
        <v>61</v>
      </c>
      <c r="F31" s="40" t="s">
        <v>94</v>
      </c>
      <c r="G31" s="41" t="s">
        <v>60</v>
      </c>
      <c r="H31" s="39" t="s">
        <v>59</v>
      </c>
      <c r="I31" s="103" t="s">
        <v>56</v>
      </c>
      <c r="J31" s="40" t="s">
        <v>57</v>
      </c>
      <c r="K31" s="40" t="s">
        <v>58</v>
      </c>
      <c r="L31" s="42" t="s">
        <v>0</v>
      </c>
    </row>
    <row r="32" spans="1:22" x14ac:dyDescent="0.25">
      <c r="A32" s="4" t="s">
        <v>189</v>
      </c>
      <c r="B32" s="193">
        <v>0.3</v>
      </c>
      <c r="C32" s="180">
        <v>300</v>
      </c>
      <c r="D32" s="190">
        <f>B32*C32</f>
        <v>90</v>
      </c>
      <c r="E32" s="7">
        <v>100</v>
      </c>
      <c r="F32" s="44">
        <f>IFERROR((D32*E32)/C32,0)</f>
        <v>30</v>
      </c>
      <c r="G32" s="373">
        <f>SUM(F32:F39)</f>
        <v>50</v>
      </c>
      <c r="H32" s="8">
        <v>5</v>
      </c>
      <c r="I32" s="45">
        <f t="shared" ref="I32:I39" si="8">+IFERROR(ROUNDUP(D32/H32,0),0)</f>
        <v>18</v>
      </c>
      <c r="J32" s="44">
        <f>+E32*H32</f>
        <v>500</v>
      </c>
      <c r="K32" s="44">
        <f t="shared" ref="K32:K39" si="9">+I32*J32</f>
        <v>9000</v>
      </c>
      <c r="L32" s="370">
        <f>SUM(K32:K39)</f>
        <v>15000</v>
      </c>
      <c r="N32" s="66">
        <f>+IFERROR((I32*H32)/B32,0)</f>
        <v>300</v>
      </c>
      <c r="O32" s="67">
        <f>+IFERROR(C32*$L$18,0)</f>
        <v>135000</v>
      </c>
      <c r="P32" s="68">
        <f t="shared" ref="P32:P39" si="10">+IFERROR(K32/N32,0)</f>
        <v>30</v>
      </c>
      <c r="Q32" s="68">
        <f t="shared" ref="Q32:Q39" si="11">+IFERROR(K32/O32,0)</f>
        <v>6.6666666666666666E-2</v>
      </c>
      <c r="R32" s="69">
        <f t="shared" ref="R32:R39" si="12">+B32*C32*E32</f>
        <v>9000</v>
      </c>
      <c r="T32" s="70" t="str">
        <f>IFERROR(VLOOKUP(A32,VLOOKUPS!$A$34:$B$50,2,0),"Ander")</f>
        <v>Ander</v>
      </c>
      <c r="U32" s="71">
        <f t="shared" ref="U32:U39" si="13">IF(T32="Syngenta",K32,0)</f>
        <v>0</v>
      </c>
      <c r="V32" s="71">
        <f t="shared" ref="V32:V39" si="14">IF(T32="Ander",K32,0)</f>
        <v>9000</v>
      </c>
    </row>
    <row r="33" spans="1:22" x14ac:dyDescent="0.25">
      <c r="A33" s="9" t="s">
        <v>178</v>
      </c>
      <c r="B33" s="191">
        <v>0.2</v>
      </c>
      <c r="C33" s="181">
        <v>300</v>
      </c>
      <c r="D33" s="190">
        <f t="shared" ref="D33:D39" si="15">B33*C33</f>
        <v>60</v>
      </c>
      <c r="E33" s="12">
        <v>100</v>
      </c>
      <c r="F33" s="44">
        <f t="shared" ref="F33:F39" si="16">IFERROR((D33*E33)/C33,0)</f>
        <v>20</v>
      </c>
      <c r="G33" s="374"/>
      <c r="H33" s="13">
        <v>5</v>
      </c>
      <c r="I33" s="48">
        <f t="shared" si="8"/>
        <v>12</v>
      </c>
      <c r="J33" s="47">
        <f>+E33*H33</f>
        <v>500</v>
      </c>
      <c r="K33" s="47">
        <f t="shared" si="9"/>
        <v>6000</v>
      </c>
      <c r="L33" s="371"/>
      <c r="N33" s="66">
        <f t="shared" ref="N33:N70" si="17">+IFERROR((I33*H33)/B33,0)</f>
        <v>300</v>
      </c>
      <c r="O33" s="67">
        <f t="shared" ref="O33:O70" si="18">+IFERROR(C33*$L$18,0)</f>
        <v>135000</v>
      </c>
      <c r="P33" s="68">
        <f t="shared" si="10"/>
        <v>20</v>
      </c>
      <c r="Q33" s="68">
        <f t="shared" si="11"/>
        <v>4.4444444444444446E-2</v>
      </c>
      <c r="R33" s="69">
        <f t="shared" si="12"/>
        <v>6000</v>
      </c>
      <c r="T33" s="70" t="str">
        <f>IFERROR(VLOOKUP(A33,VLOOKUPS!$A$34:$B$50,2,0),"Ander")</f>
        <v>Ander</v>
      </c>
      <c r="U33" s="71">
        <f t="shared" si="13"/>
        <v>0</v>
      </c>
      <c r="V33" s="71">
        <f t="shared" si="14"/>
        <v>6000</v>
      </c>
    </row>
    <row r="34" spans="1:22" x14ac:dyDescent="0.25">
      <c r="A34" s="9"/>
      <c r="B34" s="191"/>
      <c r="C34" s="181"/>
      <c r="D34" s="190">
        <f t="shared" si="15"/>
        <v>0</v>
      </c>
      <c r="E34" s="12"/>
      <c r="F34" s="44">
        <f t="shared" si="16"/>
        <v>0</v>
      </c>
      <c r="G34" s="374"/>
      <c r="H34" s="13"/>
      <c r="I34" s="48">
        <f t="shared" si="8"/>
        <v>0</v>
      </c>
      <c r="J34" s="47">
        <f>+E34*H34</f>
        <v>0</v>
      </c>
      <c r="K34" s="47">
        <f t="shared" si="9"/>
        <v>0</v>
      </c>
      <c r="L34" s="371"/>
      <c r="N34" s="66">
        <f t="shared" si="17"/>
        <v>0</v>
      </c>
      <c r="O34" s="67">
        <f t="shared" si="18"/>
        <v>0</v>
      </c>
      <c r="P34" s="68">
        <f t="shared" si="10"/>
        <v>0</v>
      </c>
      <c r="Q34" s="68">
        <f t="shared" si="11"/>
        <v>0</v>
      </c>
      <c r="R34" s="69">
        <f t="shared" si="12"/>
        <v>0</v>
      </c>
      <c r="T34" s="70" t="str">
        <f>IFERROR(VLOOKUP(A34,VLOOKUPS!$A$34:$B$50,2,0),"Ander")</f>
        <v>Ander</v>
      </c>
      <c r="U34" s="71">
        <f t="shared" si="13"/>
        <v>0</v>
      </c>
      <c r="V34" s="71">
        <f t="shared" si="14"/>
        <v>0</v>
      </c>
    </row>
    <row r="35" spans="1:22" x14ac:dyDescent="0.25">
      <c r="A35" s="9"/>
      <c r="B35" s="191"/>
      <c r="C35" s="181"/>
      <c r="D35" s="190">
        <f t="shared" si="15"/>
        <v>0</v>
      </c>
      <c r="E35" s="12"/>
      <c r="F35" s="44">
        <f t="shared" si="16"/>
        <v>0</v>
      </c>
      <c r="G35" s="374"/>
      <c r="H35" s="13"/>
      <c r="I35" s="48">
        <f t="shared" si="8"/>
        <v>0</v>
      </c>
      <c r="J35" s="47">
        <f t="shared" ref="J35:J37" si="19">+E35*H35</f>
        <v>0</v>
      </c>
      <c r="K35" s="47">
        <f t="shared" si="9"/>
        <v>0</v>
      </c>
      <c r="L35" s="371"/>
      <c r="N35" s="66">
        <f t="shared" si="17"/>
        <v>0</v>
      </c>
      <c r="O35" s="67">
        <f t="shared" si="18"/>
        <v>0</v>
      </c>
      <c r="P35" s="68">
        <f t="shared" si="10"/>
        <v>0</v>
      </c>
      <c r="Q35" s="68">
        <f t="shared" si="11"/>
        <v>0</v>
      </c>
      <c r="R35" s="69">
        <f t="shared" si="12"/>
        <v>0</v>
      </c>
      <c r="T35" s="70" t="str">
        <f>IFERROR(VLOOKUP(A35,VLOOKUPS!$A$34:$B$50,2,0),"Ander")</f>
        <v>Ander</v>
      </c>
      <c r="U35" s="71">
        <f t="shared" si="13"/>
        <v>0</v>
      </c>
      <c r="V35" s="71">
        <f t="shared" si="14"/>
        <v>0</v>
      </c>
    </row>
    <row r="36" spans="1:22" x14ac:dyDescent="0.25">
      <c r="A36" s="9"/>
      <c r="B36" s="191"/>
      <c r="C36" s="181"/>
      <c r="D36" s="190">
        <f t="shared" si="15"/>
        <v>0</v>
      </c>
      <c r="E36" s="12"/>
      <c r="F36" s="44">
        <f t="shared" si="16"/>
        <v>0</v>
      </c>
      <c r="G36" s="374"/>
      <c r="H36" s="13"/>
      <c r="I36" s="48">
        <f t="shared" si="8"/>
        <v>0</v>
      </c>
      <c r="J36" s="47">
        <f t="shared" si="19"/>
        <v>0</v>
      </c>
      <c r="K36" s="47">
        <f t="shared" si="9"/>
        <v>0</v>
      </c>
      <c r="L36" s="371"/>
      <c r="N36" s="66">
        <f t="shared" si="17"/>
        <v>0</v>
      </c>
      <c r="O36" s="67">
        <f t="shared" si="18"/>
        <v>0</v>
      </c>
      <c r="P36" s="68">
        <f t="shared" si="10"/>
        <v>0</v>
      </c>
      <c r="Q36" s="68">
        <f t="shared" si="11"/>
        <v>0</v>
      </c>
      <c r="R36" s="69">
        <f t="shared" si="12"/>
        <v>0</v>
      </c>
      <c r="T36" s="70" t="str">
        <f>IFERROR(VLOOKUP(A36,VLOOKUPS!$A$34:$B$50,2,0),"Ander")</f>
        <v>Ander</v>
      </c>
      <c r="U36" s="71">
        <f t="shared" si="13"/>
        <v>0</v>
      </c>
      <c r="V36" s="71">
        <f t="shared" si="14"/>
        <v>0</v>
      </c>
    </row>
    <row r="37" spans="1:22" x14ac:dyDescent="0.25">
      <c r="A37" s="9"/>
      <c r="B37" s="191"/>
      <c r="C37" s="181"/>
      <c r="D37" s="190">
        <f t="shared" si="15"/>
        <v>0</v>
      </c>
      <c r="E37" s="12"/>
      <c r="F37" s="44">
        <f t="shared" si="16"/>
        <v>0</v>
      </c>
      <c r="G37" s="374"/>
      <c r="H37" s="13"/>
      <c r="I37" s="48">
        <f t="shared" si="8"/>
        <v>0</v>
      </c>
      <c r="J37" s="47">
        <f t="shared" si="19"/>
        <v>0</v>
      </c>
      <c r="K37" s="47">
        <f t="shared" si="9"/>
        <v>0</v>
      </c>
      <c r="L37" s="371"/>
      <c r="N37" s="66">
        <f t="shared" si="17"/>
        <v>0</v>
      </c>
      <c r="O37" s="67">
        <f t="shared" si="18"/>
        <v>0</v>
      </c>
      <c r="P37" s="68">
        <f t="shared" si="10"/>
        <v>0</v>
      </c>
      <c r="Q37" s="68">
        <f t="shared" si="11"/>
        <v>0</v>
      </c>
      <c r="R37" s="69">
        <f t="shared" si="12"/>
        <v>0</v>
      </c>
      <c r="T37" s="70" t="str">
        <f>IFERROR(VLOOKUP(A37,VLOOKUPS!$A$34:$B$50,2,0),"Ander")</f>
        <v>Ander</v>
      </c>
      <c r="U37" s="71">
        <f t="shared" si="13"/>
        <v>0</v>
      </c>
      <c r="V37" s="71">
        <f t="shared" si="14"/>
        <v>0</v>
      </c>
    </row>
    <row r="38" spans="1:22" x14ac:dyDescent="0.25">
      <c r="A38" s="9"/>
      <c r="B38" s="191"/>
      <c r="C38" s="181"/>
      <c r="D38" s="190">
        <f t="shared" si="15"/>
        <v>0</v>
      </c>
      <c r="E38" s="12"/>
      <c r="F38" s="44">
        <f t="shared" si="16"/>
        <v>0</v>
      </c>
      <c r="G38" s="374"/>
      <c r="H38" s="13"/>
      <c r="I38" s="48">
        <f t="shared" si="8"/>
        <v>0</v>
      </c>
      <c r="J38" s="47">
        <f>+E38*H38</f>
        <v>0</v>
      </c>
      <c r="K38" s="47">
        <f t="shared" si="9"/>
        <v>0</v>
      </c>
      <c r="L38" s="371"/>
      <c r="N38" s="66">
        <f t="shared" si="17"/>
        <v>0</v>
      </c>
      <c r="O38" s="67">
        <f t="shared" si="18"/>
        <v>0</v>
      </c>
      <c r="P38" s="68">
        <f t="shared" si="10"/>
        <v>0</v>
      </c>
      <c r="Q38" s="68">
        <f t="shared" si="11"/>
        <v>0</v>
      </c>
      <c r="R38" s="69">
        <f t="shared" si="12"/>
        <v>0</v>
      </c>
      <c r="T38" s="70" t="str">
        <f>IFERROR(VLOOKUP(A38,VLOOKUPS!$A$34:$B$50,2,0),"Ander")</f>
        <v>Ander</v>
      </c>
      <c r="U38" s="71">
        <f t="shared" si="13"/>
        <v>0</v>
      </c>
      <c r="V38" s="71">
        <f t="shared" si="14"/>
        <v>0</v>
      </c>
    </row>
    <row r="39" spans="1:22" ht="15.75" thickBot="1" x14ac:dyDescent="0.3">
      <c r="A39" s="14"/>
      <c r="B39" s="192"/>
      <c r="C39" s="182"/>
      <c r="D39" s="189">
        <f t="shared" si="15"/>
        <v>0</v>
      </c>
      <c r="E39" s="17"/>
      <c r="F39" s="50">
        <f t="shared" si="16"/>
        <v>0</v>
      </c>
      <c r="G39" s="375"/>
      <c r="H39" s="18"/>
      <c r="I39" s="51">
        <f t="shared" si="8"/>
        <v>0</v>
      </c>
      <c r="J39" s="50">
        <f>+E39*H39</f>
        <v>0</v>
      </c>
      <c r="K39" s="50">
        <f t="shared" si="9"/>
        <v>0</v>
      </c>
      <c r="L39" s="372"/>
      <c r="N39" s="66">
        <f t="shared" si="17"/>
        <v>0</v>
      </c>
      <c r="O39" s="67">
        <f t="shared" si="18"/>
        <v>0</v>
      </c>
      <c r="P39" s="68">
        <f t="shared" si="10"/>
        <v>0</v>
      </c>
      <c r="Q39" s="68">
        <f t="shared" si="11"/>
        <v>0</v>
      </c>
      <c r="R39" s="69">
        <f t="shared" si="12"/>
        <v>0</v>
      </c>
      <c r="T39" s="70" t="str">
        <f>IFERROR(VLOOKUP(A39,VLOOKUPS!$A$34:$B$50,2,0),"Ander")</f>
        <v>Ander</v>
      </c>
      <c r="U39" s="71">
        <f t="shared" si="13"/>
        <v>0</v>
      </c>
      <c r="V39" s="71">
        <f t="shared" si="14"/>
        <v>0</v>
      </c>
    </row>
    <row r="40" spans="1:22" ht="15.75" thickBot="1" x14ac:dyDescent="0.3">
      <c r="N40" s="66"/>
      <c r="O40" s="67"/>
      <c r="P40" s="68"/>
      <c r="Q40" s="68"/>
      <c r="R40" s="69"/>
      <c r="U40" s="72">
        <f>SUM(U32:U39)</f>
        <v>0</v>
      </c>
      <c r="V40" s="72">
        <f>SUM(V32:V39)</f>
        <v>15000</v>
      </c>
    </row>
    <row r="41" spans="1:22" ht="18.75" thickTop="1" thickBot="1" x14ac:dyDescent="0.3">
      <c r="A41" s="412" t="s">
        <v>107</v>
      </c>
      <c r="B41" s="413"/>
      <c r="C41" s="413"/>
      <c r="D41" s="413"/>
      <c r="E41" s="413"/>
      <c r="F41" s="413"/>
      <c r="G41" s="413"/>
      <c r="H41" s="413"/>
      <c r="I41" s="413"/>
      <c r="J41" s="413"/>
      <c r="K41" s="413"/>
      <c r="L41" s="414"/>
      <c r="N41" s="66"/>
      <c r="O41" s="67"/>
      <c r="P41" s="68"/>
      <c r="Q41" s="68"/>
      <c r="R41" s="69"/>
      <c r="U41" s="71"/>
      <c r="V41" s="71"/>
    </row>
    <row r="42" spans="1:22" ht="45.75" thickBot="1" x14ac:dyDescent="0.3">
      <c r="A42" s="37" t="s">
        <v>1</v>
      </c>
      <c r="B42" s="38" t="s">
        <v>62</v>
      </c>
      <c r="C42" s="39" t="s">
        <v>186</v>
      </c>
      <c r="D42" s="40" t="s">
        <v>93</v>
      </c>
      <c r="E42" s="39" t="s">
        <v>61</v>
      </c>
      <c r="F42" s="40" t="s">
        <v>94</v>
      </c>
      <c r="G42" s="41" t="s">
        <v>60</v>
      </c>
      <c r="H42" s="39" t="s">
        <v>59</v>
      </c>
      <c r="I42" s="103" t="s">
        <v>56</v>
      </c>
      <c r="J42" s="40" t="s">
        <v>57</v>
      </c>
      <c r="K42" s="40" t="s">
        <v>58</v>
      </c>
      <c r="L42" s="42" t="s">
        <v>0</v>
      </c>
      <c r="N42" s="66"/>
      <c r="O42" s="67"/>
      <c r="P42" s="68"/>
      <c r="Q42" s="68"/>
      <c r="R42" s="69"/>
      <c r="U42" s="71"/>
      <c r="V42" s="71"/>
    </row>
    <row r="43" spans="1:22" x14ac:dyDescent="0.25">
      <c r="A43" s="4" t="s">
        <v>185</v>
      </c>
      <c r="B43" s="193">
        <v>3</v>
      </c>
      <c r="C43" s="180">
        <v>200</v>
      </c>
      <c r="D43" s="190">
        <f>+B43*C43</f>
        <v>600</v>
      </c>
      <c r="E43" s="7">
        <v>100</v>
      </c>
      <c r="F43" s="44">
        <f>IFERROR((D43*E43)/C43,0)</f>
        <v>300</v>
      </c>
      <c r="G43" s="373">
        <f>SUM(F43:F50)</f>
        <v>330</v>
      </c>
      <c r="H43" s="8">
        <v>5</v>
      </c>
      <c r="I43" s="45">
        <f t="shared" ref="I43:I50" si="20">+IFERROR(ROUNDUP(D43/H43,0),0)</f>
        <v>120</v>
      </c>
      <c r="J43" s="44">
        <f>+E43*H43</f>
        <v>500</v>
      </c>
      <c r="K43" s="44">
        <f>+I43*J43</f>
        <v>60000</v>
      </c>
      <c r="L43" s="370">
        <f>SUM(K43:K50)</f>
        <v>66000</v>
      </c>
      <c r="N43" s="66">
        <f t="shared" si="17"/>
        <v>200</v>
      </c>
      <c r="O43" s="67">
        <f t="shared" si="18"/>
        <v>90000</v>
      </c>
      <c r="P43" s="68">
        <f t="shared" ref="P43:P50" si="21">+IFERROR(K43/N43,0)</f>
        <v>300</v>
      </c>
      <c r="Q43" s="68">
        <f t="shared" ref="Q43:Q50" si="22">+IFERROR(K43/O43,0)</f>
        <v>0.66666666666666663</v>
      </c>
      <c r="R43" s="69">
        <f t="shared" ref="R43:R50" si="23">+B43*C43*E43</f>
        <v>60000</v>
      </c>
      <c r="T43" s="70" t="str">
        <f>IFERROR(VLOOKUP(A43,VLOOKUPS!$A$34:$B$50,2,0),"Ander")</f>
        <v>Ander</v>
      </c>
      <c r="U43" s="71">
        <f t="shared" ref="U43:U50" si="24">IF(T43="Syngenta",K43,0)</f>
        <v>0</v>
      </c>
      <c r="V43" s="71">
        <f t="shared" ref="V43:V50" si="25">IF(T43="Ander",K43,0)</f>
        <v>60000</v>
      </c>
    </row>
    <row r="44" spans="1:22" x14ac:dyDescent="0.25">
      <c r="A44" s="9" t="s">
        <v>166</v>
      </c>
      <c r="B44" s="191">
        <v>0.03</v>
      </c>
      <c r="C44" s="180">
        <v>200</v>
      </c>
      <c r="D44" s="190">
        <f t="shared" ref="D44:D50" si="26">+B44*C44</f>
        <v>6</v>
      </c>
      <c r="E44" s="12">
        <v>1000</v>
      </c>
      <c r="F44" s="47">
        <f t="shared" ref="F44:F50" si="27">IFERROR((D44*E44)/C44,0)</f>
        <v>30</v>
      </c>
      <c r="G44" s="374"/>
      <c r="H44" s="13">
        <v>1</v>
      </c>
      <c r="I44" s="48">
        <f t="shared" si="20"/>
        <v>6</v>
      </c>
      <c r="J44" s="47">
        <f t="shared" ref="J44:J50" si="28">+E44*H44</f>
        <v>1000</v>
      </c>
      <c r="K44" s="47">
        <f t="shared" ref="K44:K50" si="29">+I44*J44</f>
        <v>6000</v>
      </c>
      <c r="L44" s="371"/>
      <c r="N44" s="66">
        <f t="shared" si="17"/>
        <v>200</v>
      </c>
      <c r="O44" s="67">
        <f t="shared" si="18"/>
        <v>90000</v>
      </c>
      <c r="P44" s="68">
        <f t="shared" si="21"/>
        <v>30</v>
      </c>
      <c r="Q44" s="68">
        <f t="shared" si="22"/>
        <v>6.6666666666666666E-2</v>
      </c>
      <c r="R44" s="69">
        <f t="shared" si="23"/>
        <v>6000</v>
      </c>
      <c r="T44" s="70" t="str">
        <f>IFERROR(VLOOKUP(A44,VLOOKUPS!$A$34:$B$50,2,0),"Ander")</f>
        <v>Ander</v>
      </c>
      <c r="U44" s="71">
        <f t="shared" si="24"/>
        <v>0</v>
      </c>
      <c r="V44" s="71">
        <f t="shared" si="25"/>
        <v>6000</v>
      </c>
    </row>
    <row r="45" spans="1:22" x14ac:dyDescent="0.25">
      <c r="A45" s="9"/>
      <c r="B45" s="191"/>
      <c r="C45" s="180"/>
      <c r="D45" s="190">
        <f t="shared" si="26"/>
        <v>0</v>
      </c>
      <c r="E45" s="12"/>
      <c r="F45" s="47">
        <f t="shared" si="27"/>
        <v>0</v>
      </c>
      <c r="G45" s="374"/>
      <c r="H45" s="13"/>
      <c r="I45" s="48">
        <f t="shared" si="20"/>
        <v>0</v>
      </c>
      <c r="J45" s="47">
        <f t="shared" si="28"/>
        <v>0</v>
      </c>
      <c r="K45" s="47">
        <f t="shared" si="29"/>
        <v>0</v>
      </c>
      <c r="L45" s="371"/>
      <c r="N45" s="66">
        <f t="shared" si="17"/>
        <v>0</v>
      </c>
      <c r="O45" s="67">
        <f t="shared" si="18"/>
        <v>0</v>
      </c>
      <c r="P45" s="68">
        <f t="shared" si="21"/>
        <v>0</v>
      </c>
      <c r="Q45" s="68">
        <f t="shared" si="22"/>
        <v>0</v>
      </c>
      <c r="R45" s="69">
        <f t="shared" si="23"/>
        <v>0</v>
      </c>
      <c r="T45" s="70" t="str">
        <f>IFERROR(VLOOKUP(A45,VLOOKUPS!$A$34:$B$50,2,0),"Ander")</f>
        <v>Ander</v>
      </c>
      <c r="U45" s="71">
        <f t="shared" si="24"/>
        <v>0</v>
      </c>
      <c r="V45" s="71">
        <f t="shared" si="25"/>
        <v>0</v>
      </c>
    </row>
    <row r="46" spans="1:22" x14ac:dyDescent="0.25">
      <c r="A46" s="9"/>
      <c r="B46" s="191"/>
      <c r="C46" s="180"/>
      <c r="D46" s="190">
        <f t="shared" si="26"/>
        <v>0</v>
      </c>
      <c r="E46" s="12"/>
      <c r="F46" s="47">
        <f t="shared" si="27"/>
        <v>0</v>
      </c>
      <c r="G46" s="374"/>
      <c r="H46" s="13"/>
      <c r="I46" s="48">
        <f t="shared" si="20"/>
        <v>0</v>
      </c>
      <c r="J46" s="47">
        <f t="shared" si="28"/>
        <v>0</v>
      </c>
      <c r="K46" s="47">
        <f t="shared" si="29"/>
        <v>0</v>
      </c>
      <c r="L46" s="371"/>
      <c r="N46" s="66"/>
      <c r="O46" s="67"/>
      <c r="P46" s="68"/>
      <c r="Q46" s="68"/>
      <c r="R46" s="69"/>
      <c r="T46" s="70" t="str">
        <f>IFERROR(VLOOKUP(A46,VLOOKUPS!$A$34:$B$50,2,0),"Ander")</f>
        <v>Ander</v>
      </c>
      <c r="U46" s="71">
        <f t="shared" si="24"/>
        <v>0</v>
      </c>
      <c r="V46" s="71">
        <f t="shared" si="25"/>
        <v>0</v>
      </c>
    </row>
    <row r="47" spans="1:22" x14ac:dyDescent="0.25">
      <c r="A47" s="9"/>
      <c r="B47" s="191"/>
      <c r="C47" s="180"/>
      <c r="D47" s="190">
        <f t="shared" si="26"/>
        <v>0</v>
      </c>
      <c r="E47" s="12"/>
      <c r="F47" s="47">
        <f t="shared" si="27"/>
        <v>0</v>
      </c>
      <c r="G47" s="374"/>
      <c r="H47" s="13"/>
      <c r="I47" s="48">
        <f t="shared" si="20"/>
        <v>0</v>
      </c>
      <c r="J47" s="47">
        <f t="shared" si="28"/>
        <v>0</v>
      </c>
      <c r="K47" s="47">
        <f t="shared" si="29"/>
        <v>0</v>
      </c>
      <c r="L47" s="371"/>
      <c r="N47" s="66"/>
      <c r="O47" s="67"/>
      <c r="P47" s="68"/>
      <c r="Q47" s="68"/>
      <c r="R47" s="69"/>
      <c r="T47" s="70" t="str">
        <f>IFERROR(VLOOKUP(A47,VLOOKUPS!$A$34:$B$50,2,0),"Ander")</f>
        <v>Ander</v>
      </c>
      <c r="U47" s="71">
        <f t="shared" si="24"/>
        <v>0</v>
      </c>
      <c r="V47" s="71">
        <f t="shared" si="25"/>
        <v>0</v>
      </c>
    </row>
    <row r="48" spans="1:22" x14ac:dyDescent="0.25">
      <c r="A48" s="9"/>
      <c r="B48" s="191"/>
      <c r="C48" s="180"/>
      <c r="D48" s="190">
        <f t="shared" si="26"/>
        <v>0</v>
      </c>
      <c r="E48" s="12"/>
      <c r="F48" s="47">
        <f t="shared" si="27"/>
        <v>0</v>
      </c>
      <c r="G48" s="374"/>
      <c r="H48" s="13"/>
      <c r="I48" s="48">
        <f t="shared" si="20"/>
        <v>0</v>
      </c>
      <c r="J48" s="47">
        <f t="shared" si="28"/>
        <v>0</v>
      </c>
      <c r="K48" s="47">
        <f t="shared" si="29"/>
        <v>0</v>
      </c>
      <c r="L48" s="371"/>
      <c r="N48" s="66">
        <f t="shared" si="17"/>
        <v>0</v>
      </c>
      <c r="O48" s="67">
        <f t="shared" si="18"/>
        <v>0</v>
      </c>
      <c r="P48" s="68">
        <f t="shared" si="21"/>
        <v>0</v>
      </c>
      <c r="Q48" s="68">
        <f t="shared" si="22"/>
        <v>0</v>
      </c>
      <c r="R48" s="69">
        <f t="shared" si="23"/>
        <v>0</v>
      </c>
      <c r="T48" s="70" t="str">
        <f>IFERROR(VLOOKUP(A48,VLOOKUPS!$A$34:$B$50,2,0),"Ander")</f>
        <v>Ander</v>
      </c>
      <c r="U48" s="71">
        <f t="shared" si="24"/>
        <v>0</v>
      </c>
      <c r="V48" s="71">
        <f t="shared" si="25"/>
        <v>0</v>
      </c>
    </row>
    <row r="49" spans="1:22" x14ac:dyDescent="0.25">
      <c r="A49" s="9"/>
      <c r="B49" s="191"/>
      <c r="C49" s="180"/>
      <c r="D49" s="190">
        <f t="shared" si="26"/>
        <v>0</v>
      </c>
      <c r="E49" s="12"/>
      <c r="F49" s="47">
        <f t="shared" si="27"/>
        <v>0</v>
      </c>
      <c r="G49" s="374"/>
      <c r="H49" s="13"/>
      <c r="I49" s="48">
        <f t="shared" si="20"/>
        <v>0</v>
      </c>
      <c r="J49" s="47">
        <f t="shared" si="28"/>
        <v>0</v>
      </c>
      <c r="K49" s="47">
        <f t="shared" si="29"/>
        <v>0</v>
      </c>
      <c r="L49" s="371"/>
      <c r="N49" s="66">
        <f t="shared" si="17"/>
        <v>0</v>
      </c>
      <c r="O49" s="67">
        <f t="shared" si="18"/>
        <v>0</v>
      </c>
      <c r="P49" s="68">
        <f t="shared" si="21"/>
        <v>0</v>
      </c>
      <c r="Q49" s="68">
        <f t="shared" si="22"/>
        <v>0</v>
      </c>
      <c r="R49" s="69">
        <f t="shared" si="23"/>
        <v>0</v>
      </c>
      <c r="T49" s="70" t="str">
        <f>IFERROR(VLOOKUP(A49,VLOOKUPS!$A$34:$B$50,2,0),"Ander")</f>
        <v>Ander</v>
      </c>
      <c r="U49" s="71">
        <f t="shared" si="24"/>
        <v>0</v>
      </c>
      <c r="V49" s="71">
        <f t="shared" si="25"/>
        <v>0</v>
      </c>
    </row>
    <row r="50" spans="1:22" ht="15.75" thickBot="1" x14ac:dyDescent="0.3">
      <c r="A50" s="14"/>
      <c r="B50" s="192"/>
      <c r="C50" s="182"/>
      <c r="D50" s="189">
        <f t="shared" si="26"/>
        <v>0</v>
      </c>
      <c r="E50" s="17"/>
      <c r="F50" s="50">
        <f t="shared" si="27"/>
        <v>0</v>
      </c>
      <c r="G50" s="375"/>
      <c r="H50" s="18"/>
      <c r="I50" s="51">
        <f t="shared" si="20"/>
        <v>0</v>
      </c>
      <c r="J50" s="50">
        <f t="shared" si="28"/>
        <v>0</v>
      </c>
      <c r="K50" s="50">
        <f t="shared" si="29"/>
        <v>0</v>
      </c>
      <c r="L50" s="372"/>
      <c r="N50" s="66">
        <f t="shared" si="17"/>
        <v>0</v>
      </c>
      <c r="O50" s="67">
        <f t="shared" si="18"/>
        <v>0</v>
      </c>
      <c r="P50" s="68">
        <f t="shared" si="21"/>
        <v>0</v>
      </c>
      <c r="Q50" s="68">
        <f t="shared" si="22"/>
        <v>0</v>
      </c>
      <c r="R50" s="69">
        <f t="shared" si="23"/>
        <v>0</v>
      </c>
      <c r="T50" s="70" t="str">
        <f>IFERROR(VLOOKUP(A50,VLOOKUPS!$A$34:$B$50,2,0),"Ander")</f>
        <v>Ander</v>
      </c>
      <c r="U50" s="71">
        <f t="shared" si="24"/>
        <v>0</v>
      </c>
      <c r="V50" s="71">
        <f t="shared" si="25"/>
        <v>0</v>
      </c>
    </row>
    <row r="51" spans="1:22" ht="15.75" thickBot="1" x14ac:dyDescent="0.3">
      <c r="N51" s="66"/>
      <c r="O51" s="67"/>
      <c r="P51" s="68"/>
      <c r="Q51" s="68"/>
      <c r="R51" s="69"/>
      <c r="U51" s="72">
        <f>SUM(U43:U50)</f>
        <v>0</v>
      </c>
      <c r="V51" s="72">
        <f>SUM(V43:V50)</f>
        <v>66000</v>
      </c>
    </row>
    <row r="52" spans="1:22" ht="18.75" thickTop="1" thickBot="1" x14ac:dyDescent="0.3">
      <c r="A52" s="412" t="s">
        <v>64</v>
      </c>
      <c r="B52" s="413"/>
      <c r="C52" s="413"/>
      <c r="D52" s="413"/>
      <c r="E52" s="413"/>
      <c r="F52" s="413"/>
      <c r="G52" s="413"/>
      <c r="H52" s="413"/>
      <c r="I52" s="413"/>
      <c r="J52" s="413"/>
      <c r="K52" s="413"/>
      <c r="L52" s="414"/>
      <c r="N52" s="66"/>
      <c r="O52" s="67"/>
      <c r="P52" s="68"/>
      <c r="Q52" s="68"/>
      <c r="R52" s="69"/>
      <c r="U52" s="71"/>
      <c r="V52" s="71"/>
    </row>
    <row r="53" spans="1:22" ht="45.75" thickBot="1" x14ac:dyDescent="0.3">
      <c r="A53" s="37" t="s">
        <v>1</v>
      </c>
      <c r="B53" s="38" t="s">
        <v>62</v>
      </c>
      <c r="C53" s="39" t="s">
        <v>186</v>
      </c>
      <c r="D53" s="40" t="s">
        <v>93</v>
      </c>
      <c r="E53" s="39" t="s">
        <v>61</v>
      </c>
      <c r="F53" s="40" t="s">
        <v>94</v>
      </c>
      <c r="G53" s="41" t="s">
        <v>60</v>
      </c>
      <c r="H53" s="39" t="s">
        <v>59</v>
      </c>
      <c r="I53" s="103" t="s">
        <v>56</v>
      </c>
      <c r="J53" s="40" t="s">
        <v>57</v>
      </c>
      <c r="K53" s="40" t="s">
        <v>58</v>
      </c>
      <c r="L53" s="42" t="s">
        <v>0</v>
      </c>
      <c r="N53" s="66"/>
      <c r="O53" s="67"/>
      <c r="P53" s="68"/>
      <c r="Q53" s="68"/>
      <c r="R53" s="69"/>
      <c r="U53" s="71"/>
      <c r="V53" s="71"/>
    </row>
    <row r="54" spans="1:22" x14ac:dyDescent="0.25">
      <c r="A54" s="4" t="s">
        <v>169</v>
      </c>
      <c r="B54" s="193">
        <v>2</v>
      </c>
      <c r="C54" s="180">
        <v>20</v>
      </c>
      <c r="D54" s="190">
        <f>B54*C54</f>
        <v>40</v>
      </c>
      <c r="E54" s="7">
        <v>200</v>
      </c>
      <c r="F54" s="44">
        <f>IFERROR((D54*E54)/C54,0)</f>
        <v>400</v>
      </c>
      <c r="G54" s="373">
        <f>SUM(F54:F63)</f>
        <v>1780</v>
      </c>
      <c r="H54" s="8">
        <v>5</v>
      </c>
      <c r="I54" s="45">
        <f>+IFERROR(ROUNDUP(D54/H54,0),0)</f>
        <v>8</v>
      </c>
      <c r="J54" s="44">
        <f>+E54*H54</f>
        <v>1000</v>
      </c>
      <c r="K54" s="44">
        <f>+I54*J54</f>
        <v>8000</v>
      </c>
      <c r="L54" s="370">
        <f>SUM(K54:K63)</f>
        <v>34200</v>
      </c>
      <c r="N54" s="66">
        <f t="shared" si="17"/>
        <v>20</v>
      </c>
      <c r="O54" s="67">
        <f t="shared" si="18"/>
        <v>9000</v>
      </c>
      <c r="P54" s="68">
        <f t="shared" ref="P54:P63" si="30">+IFERROR(K54/N54,0)</f>
        <v>400</v>
      </c>
      <c r="Q54" s="68">
        <f t="shared" ref="Q54:Q63" si="31">+IFERROR(K54/O54,0)</f>
        <v>0.88888888888888884</v>
      </c>
      <c r="R54" s="69">
        <f t="shared" ref="R54:R63" si="32">+B54*C54*E54</f>
        <v>8000</v>
      </c>
      <c r="T54" s="70" t="str">
        <f>IFERROR(VLOOKUP(A54,VLOOKUPS!$A$34:$B$50,2,0),"Ander")</f>
        <v>Ander</v>
      </c>
      <c r="U54" s="71">
        <f t="shared" ref="U54:U63" si="33">IF(T54="Syngenta",K54,0)</f>
        <v>0</v>
      </c>
      <c r="V54" s="71">
        <f t="shared" ref="V54:V63" si="34">IF(T54="Ander",K54,0)</f>
        <v>8000</v>
      </c>
    </row>
    <row r="55" spans="1:22" x14ac:dyDescent="0.25">
      <c r="A55" s="9" t="s">
        <v>181</v>
      </c>
      <c r="B55" s="191">
        <v>0.6</v>
      </c>
      <c r="C55" s="180">
        <v>30</v>
      </c>
      <c r="D55" s="190">
        <f t="shared" ref="D55:D63" si="35">B55*C55</f>
        <v>18</v>
      </c>
      <c r="E55" s="12">
        <v>500</v>
      </c>
      <c r="F55" s="47">
        <f t="shared" ref="F55:F63" si="36">IFERROR((D55*E55)/C55,0)</f>
        <v>300</v>
      </c>
      <c r="G55" s="374"/>
      <c r="H55" s="13">
        <v>5</v>
      </c>
      <c r="I55" s="48">
        <f t="shared" ref="I55:I63" si="37">+IFERROR(ROUNDUP(D55/H55,0),0)</f>
        <v>4</v>
      </c>
      <c r="J55" s="47">
        <f t="shared" ref="J55:J63" si="38">+E55*H55</f>
        <v>2500</v>
      </c>
      <c r="K55" s="47">
        <f t="shared" ref="K55:K63" si="39">+I55*J55</f>
        <v>10000</v>
      </c>
      <c r="L55" s="371"/>
      <c r="N55" s="66">
        <f t="shared" si="17"/>
        <v>33.333333333333336</v>
      </c>
      <c r="O55" s="67">
        <f t="shared" si="18"/>
        <v>13500</v>
      </c>
      <c r="P55" s="68">
        <f t="shared" si="30"/>
        <v>300</v>
      </c>
      <c r="Q55" s="68">
        <f t="shared" si="31"/>
        <v>0.7407407407407407</v>
      </c>
      <c r="R55" s="69">
        <f t="shared" si="32"/>
        <v>9000</v>
      </c>
      <c r="T55" s="70" t="str">
        <f>IFERROR(VLOOKUP(A55,VLOOKUPS!$A$34:$B$50,2,0),"Ander")</f>
        <v>Ander</v>
      </c>
      <c r="U55" s="71">
        <f t="shared" si="33"/>
        <v>0</v>
      </c>
      <c r="V55" s="71">
        <f t="shared" si="34"/>
        <v>10000</v>
      </c>
    </row>
    <row r="56" spans="1:22" x14ac:dyDescent="0.25">
      <c r="A56" s="9" t="s">
        <v>24</v>
      </c>
      <c r="B56" s="191">
        <v>1.8</v>
      </c>
      <c r="C56" s="180">
        <v>15</v>
      </c>
      <c r="D56" s="190">
        <f t="shared" si="35"/>
        <v>27</v>
      </c>
      <c r="E56" s="12">
        <v>600</v>
      </c>
      <c r="F56" s="47">
        <f>IFERROR((D56*E56)/C56,0)</f>
        <v>1080</v>
      </c>
      <c r="G56" s="374"/>
      <c r="H56" s="13">
        <v>1</v>
      </c>
      <c r="I56" s="48">
        <f t="shared" si="37"/>
        <v>27</v>
      </c>
      <c r="J56" s="47">
        <f t="shared" si="38"/>
        <v>600</v>
      </c>
      <c r="K56" s="47">
        <f t="shared" si="39"/>
        <v>16200</v>
      </c>
      <c r="L56" s="371"/>
      <c r="N56" s="66">
        <f t="shared" si="17"/>
        <v>15</v>
      </c>
      <c r="O56" s="67">
        <f t="shared" si="18"/>
        <v>6750</v>
      </c>
      <c r="P56" s="68">
        <f t="shared" si="30"/>
        <v>1080</v>
      </c>
      <c r="Q56" s="68">
        <f t="shared" si="31"/>
        <v>2.4</v>
      </c>
      <c r="R56" s="69">
        <f t="shared" si="32"/>
        <v>16200</v>
      </c>
      <c r="T56" s="70" t="str">
        <f>IFERROR(VLOOKUP(A56,VLOOKUPS!$A$34:$B$50,2,0),"Ander")</f>
        <v>Ander</v>
      </c>
      <c r="U56" s="71">
        <f t="shared" si="33"/>
        <v>0</v>
      </c>
      <c r="V56" s="71">
        <f t="shared" si="34"/>
        <v>16200</v>
      </c>
    </row>
    <row r="57" spans="1:22" x14ac:dyDescent="0.25">
      <c r="A57" s="9"/>
      <c r="B57" s="191"/>
      <c r="C57" s="180"/>
      <c r="D57" s="190">
        <f t="shared" si="35"/>
        <v>0</v>
      </c>
      <c r="E57" s="12"/>
      <c r="F57" s="47">
        <f t="shared" si="36"/>
        <v>0</v>
      </c>
      <c r="G57" s="374"/>
      <c r="H57" s="13"/>
      <c r="I57" s="48">
        <f t="shared" si="37"/>
        <v>0</v>
      </c>
      <c r="J57" s="47">
        <f t="shared" si="38"/>
        <v>0</v>
      </c>
      <c r="K57" s="47">
        <f t="shared" si="39"/>
        <v>0</v>
      </c>
      <c r="L57" s="371"/>
      <c r="N57" s="66"/>
      <c r="O57" s="67"/>
      <c r="P57" s="68"/>
      <c r="Q57" s="68"/>
      <c r="R57" s="69"/>
      <c r="T57" s="70" t="str">
        <f>IFERROR(VLOOKUP(A57,VLOOKUPS!$A$34:$B$50,2,0),"Ander")</f>
        <v>Ander</v>
      </c>
      <c r="U57" s="71">
        <f t="shared" si="33"/>
        <v>0</v>
      </c>
      <c r="V57" s="71">
        <f t="shared" si="34"/>
        <v>0</v>
      </c>
    </row>
    <row r="58" spans="1:22" x14ac:dyDescent="0.25">
      <c r="A58" s="9"/>
      <c r="B58" s="191"/>
      <c r="C58" s="180"/>
      <c r="D58" s="190">
        <f t="shared" si="35"/>
        <v>0</v>
      </c>
      <c r="E58" s="12"/>
      <c r="F58" s="47">
        <f t="shared" si="36"/>
        <v>0</v>
      </c>
      <c r="G58" s="374"/>
      <c r="H58" s="13"/>
      <c r="I58" s="48">
        <f t="shared" si="37"/>
        <v>0</v>
      </c>
      <c r="J58" s="47">
        <f t="shared" si="38"/>
        <v>0</v>
      </c>
      <c r="K58" s="47">
        <f t="shared" si="39"/>
        <v>0</v>
      </c>
      <c r="L58" s="371"/>
      <c r="N58" s="66"/>
      <c r="O58" s="67"/>
      <c r="P58" s="68"/>
      <c r="Q58" s="68"/>
      <c r="R58" s="69"/>
      <c r="T58" s="70" t="str">
        <f>IFERROR(VLOOKUP(A58,VLOOKUPS!$A$34:$B$50,2,0),"Ander")</f>
        <v>Ander</v>
      </c>
      <c r="U58" s="71">
        <f t="shared" si="33"/>
        <v>0</v>
      </c>
      <c r="V58" s="71">
        <f t="shared" si="34"/>
        <v>0</v>
      </c>
    </row>
    <row r="59" spans="1:22" x14ac:dyDescent="0.25">
      <c r="A59" s="9"/>
      <c r="B59" s="191"/>
      <c r="C59" s="180"/>
      <c r="D59" s="190">
        <f t="shared" si="35"/>
        <v>0</v>
      </c>
      <c r="E59" s="12"/>
      <c r="F59" s="47">
        <f t="shared" si="36"/>
        <v>0</v>
      </c>
      <c r="G59" s="374"/>
      <c r="H59" s="13"/>
      <c r="I59" s="48">
        <f t="shared" si="37"/>
        <v>0</v>
      </c>
      <c r="J59" s="47">
        <f t="shared" si="38"/>
        <v>0</v>
      </c>
      <c r="K59" s="47">
        <f t="shared" si="39"/>
        <v>0</v>
      </c>
      <c r="L59" s="371"/>
      <c r="N59" s="66"/>
      <c r="O59" s="67"/>
      <c r="P59" s="68"/>
      <c r="Q59" s="68"/>
      <c r="R59" s="69"/>
      <c r="T59" s="70" t="str">
        <f>IFERROR(VLOOKUP(A59,VLOOKUPS!$A$34:$B$50,2,0),"Ander")</f>
        <v>Ander</v>
      </c>
      <c r="U59" s="71">
        <f t="shared" si="33"/>
        <v>0</v>
      </c>
      <c r="V59" s="71">
        <f t="shared" si="34"/>
        <v>0</v>
      </c>
    </row>
    <row r="60" spans="1:22" x14ac:dyDescent="0.25">
      <c r="A60" s="9"/>
      <c r="B60" s="191"/>
      <c r="C60" s="180"/>
      <c r="D60" s="190">
        <f t="shared" si="35"/>
        <v>0</v>
      </c>
      <c r="E60" s="12"/>
      <c r="F60" s="47">
        <f t="shared" si="36"/>
        <v>0</v>
      </c>
      <c r="G60" s="374"/>
      <c r="H60" s="13"/>
      <c r="I60" s="48">
        <f t="shared" si="37"/>
        <v>0</v>
      </c>
      <c r="J60" s="47">
        <f t="shared" si="38"/>
        <v>0</v>
      </c>
      <c r="K60" s="47">
        <f t="shared" si="39"/>
        <v>0</v>
      </c>
      <c r="L60" s="371"/>
      <c r="N60" s="66"/>
      <c r="O60" s="67"/>
      <c r="P60" s="68"/>
      <c r="Q60" s="68"/>
      <c r="R60" s="69"/>
      <c r="T60" s="70" t="str">
        <f>IFERROR(VLOOKUP(A60,VLOOKUPS!$A$34:$B$50,2,0),"Ander")</f>
        <v>Ander</v>
      </c>
      <c r="U60" s="71">
        <f t="shared" si="33"/>
        <v>0</v>
      </c>
      <c r="V60" s="71">
        <f t="shared" si="34"/>
        <v>0</v>
      </c>
    </row>
    <row r="61" spans="1:22" x14ac:dyDescent="0.25">
      <c r="A61" s="9"/>
      <c r="B61" s="191"/>
      <c r="C61" s="180"/>
      <c r="D61" s="190">
        <f t="shared" si="35"/>
        <v>0</v>
      </c>
      <c r="E61" s="12"/>
      <c r="F61" s="47">
        <f t="shared" si="36"/>
        <v>0</v>
      </c>
      <c r="G61" s="374"/>
      <c r="H61" s="13"/>
      <c r="I61" s="48">
        <f t="shared" si="37"/>
        <v>0</v>
      </c>
      <c r="J61" s="47">
        <f t="shared" si="38"/>
        <v>0</v>
      </c>
      <c r="K61" s="47">
        <f t="shared" si="39"/>
        <v>0</v>
      </c>
      <c r="L61" s="371"/>
      <c r="N61" s="66">
        <f t="shared" si="17"/>
        <v>0</v>
      </c>
      <c r="O61" s="67">
        <f t="shared" si="18"/>
        <v>0</v>
      </c>
      <c r="P61" s="68">
        <f t="shared" si="30"/>
        <v>0</v>
      </c>
      <c r="Q61" s="68">
        <f t="shared" si="31"/>
        <v>0</v>
      </c>
      <c r="R61" s="69">
        <f t="shared" si="32"/>
        <v>0</v>
      </c>
      <c r="T61" s="70" t="str">
        <f>IFERROR(VLOOKUP(A61,VLOOKUPS!$A$34:$B$50,2,0),"Ander")</f>
        <v>Ander</v>
      </c>
      <c r="U61" s="71">
        <f t="shared" si="33"/>
        <v>0</v>
      </c>
      <c r="V61" s="71">
        <f t="shared" si="34"/>
        <v>0</v>
      </c>
    </row>
    <row r="62" spans="1:22" x14ac:dyDescent="0.25">
      <c r="A62" s="9"/>
      <c r="B62" s="191"/>
      <c r="C62" s="180"/>
      <c r="D62" s="190">
        <f t="shared" si="35"/>
        <v>0</v>
      </c>
      <c r="E62" s="12"/>
      <c r="F62" s="47">
        <f t="shared" si="36"/>
        <v>0</v>
      </c>
      <c r="G62" s="374"/>
      <c r="H62" s="13"/>
      <c r="I62" s="48">
        <f t="shared" si="37"/>
        <v>0</v>
      </c>
      <c r="J62" s="47">
        <f t="shared" si="38"/>
        <v>0</v>
      </c>
      <c r="K62" s="47">
        <f t="shared" si="39"/>
        <v>0</v>
      </c>
      <c r="L62" s="371"/>
      <c r="N62" s="66">
        <f t="shared" si="17"/>
        <v>0</v>
      </c>
      <c r="O62" s="67">
        <f t="shared" si="18"/>
        <v>0</v>
      </c>
      <c r="P62" s="68">
        <f t="shared" si="30"/>
        <v>0</v>
      </c>
      <c r="Q62" s="68">
        <f t="shared" si="31"/>
        <v>0</v>
      </c>
      <c r="R62" s="69">
        <f t="shared" si="32"/>
        <v>0</v>
      </c>
      <c r="T62" s="70" t="str">
        <f>IFERROR(VLOOKUP(A62,VLOOKUPS!$A$34:$B$50,2,0),"Ander")</f>
        <v>Ander</v>
      </c>
      <c r="U62" s="71">
        <f t="shared" si="33"/>
        <v>0</v>
      </c>
      <c r="V62" s="71">
        <f t="shared" si="34"/>
        <v>0</v>
      </c>
    </row>
    <row r="63" spans="1:22" ht="15.75" thickBot="1" x14ac:dyDescent="0.3">
      <c r="A63" s="14"/>
      <c r="B63" s="192"/>
      <c r="C63" s="182"/>
      <c r="D63" s="189">
        <f t="shared" si="35"/>
        <v>0</v>
      </c>
      <c r="E63" s="17"/>
      <c r="F63" s="50">
        <f t="shared" si="36"/>
        <v>0</v>
      </c>
      <c r="G63" s="375"/>
      <c r="H63" s="18"/>
      <c r="I63" s="51">
        <f t="shared" si="37"/>
        <v>0</v>
      </c>
      <c r="J63" s="50">
        <f t="shared" si="38"/>
        <v>0</v>
      </c>
      <c r="K63" s="50">
        <f t="shared" si="39"/>
        <v>0</v>
      </c>
      <c r="L63" s="372"/>
      <c r="N63" s="66">
        <f t="shared" si="17"/>
        <v>0</v>
      </c>
      <c r="O63" s="67">
        <f t="shared" si="18"/>
        <v>0</v>
      </c>
      <c r="P63" s="68">
        <f t="shared" si="30"/>
        <v>0</v>
      </c>
      <c r="Q63" s="68">
        <f t="shared" si="31"/>
        <v>0</v>
      </c>
      <c r="R63" s="69">
        <f t="shared" si="32"/>
        <v>0</v>
      </c>
      <c r="T63" s="70" t="str">
        <f>IFERROR(VLOOKUP(A63,VLOOKUPS!$A$34:$B$50,2,0),"Ander")</f>
        <v>Ander</v>
      </c>
      <c r="U63" s="71">
        <f t="shared" si="33"/>
        <v>0</v>
      </c>
      <c r="V63" s="71">
        <f t="shared" si="34"/>
        <v>0</v>
      </c>
    </row>
    <row r="64" spans="1:22" ht="15.75" thickBot="1" x14ac:dyDescent="0.3">
      <c r="N64" s="66"/>
      <c r="O64" s="67"/>
      <c r="P64" s="68"/>
      <c r="Q64" s="68"/>
      <c r="R64" s="69"/>
      <c r="U64" s="72">
        <f>SUM(U54:U63)</f>
        <v>0</v>
      </c>
      <c r="V64" s="72">
        <f>SUM(V54:V63)</f>
        <v>34200</v>
      </c>
    </row>
    <row r="65" spans="1:22" ht="18.75" thickTop="1" thickBot="1" x14ac:dyDescent="0.35">
      <c r="A65" s="409" t="s">
        <v>67</v>
      </c>
      <c r="B65" s="410"/>
      <c r="C65" s="410"/>
      <c r="D65" s="410"/>
      <c r="E65" s="410"/>
      <c r="F65" s="410"/>
      <c r="G65" s="410"/>
      <c r="H65" s="410"/>
      <c r="I65" s="410"/>
      <c r="J65" s="410"/>
      <c r="K65" s="410"/>
      <c r="L65" s="411"/>
      <c r="N65" s="66"/>
      <c r="O65" s="67"/>
      <c r="P65" s="68"/>
      <c r="Q65" s="68"/>
      <c r="R65" s="69"/>
      <c r="U65" s="71"/>
      <c r="V65" s="71"/>
    </row>
    <row r="66" spans="1:22" ht="45.75" thickBot="1" x14ac:dyDescent="0.3">
      <c r="A66" s="37" t="s">
        <v>1</v>
      </c>
      <c r="B66" s="38" t="s">
        <v>62</v>
      </c>
      <c r="C66" s="39" t="s">
        <v>186</v>
      </c>
      <c r="D66" s="40" t="s">
        <v>93</v>
      </c>
      <c r="E66" s="39" t="s">
        <v>61</v>
      </c>
      <c r="F66" s="40" t="s">
        <v>94</v>
      </c>
      <c r="G66" s="41" t="s">
        <v>60</v>
      </c>
      <c r="H66" s="39" t="s">
        <v>59</v>
      </c>
      <c r="I66" s="103" t="s">
        <v>56</v>
      </c>
      <c r="J66" s="40" t="s">
        <v>57</v>
      </c>
      <c r="K66" s="40" t="s">
        <v>58</v>
      </c>
      <c r="L66" s="42" t="s">
        <v>0</v>
      </c>
      <c r="N66" s="66"/>
      <c r="O66" s="67"/>
      <c r="P66" s="68"/>
      <c r="Q66" s="68"/>
      <c r="R66" s="69"/>
      <c r="U66" s="71"/>
      <c r="V66" s="71"/>
    </row>
    <row r="67" spans="1:22" x14ac:dyDescent="0.25">
      <c r="A67" s="4" t="s">
        <v>156</v>
      </c>
      <c r="B67" s="193">
        <v>0.5</v>
      </c>
      <c r="C67" s="180">
        <v>1</v>
      </c>
      <c r="D67" s="190">
        <f>B67*C67</f>
        <v>0.5</v>
      </c>
      <c r="E67" s="7">
        <v>500</v>
      </c>
      <c r="F67" s="44">
        <f>IFERROR((D67*E67)/C67,0)</f>
        <v>250</v>
      </c>
      <c r="G67" s="373">
        <f>SUM(F67:F70)</f>
        <v>250</v>
      </c>
      <c r="H67" s="8">
        <v>5</v>
      </c>
      <c r="I67" s="45">
        <f t="shared" ref="I67:I70" si="40">+IFERROR(ROUNDUP(D67/H67,0),0)</f>
        <v>1</v>
      </c>
      <c r="J67" s="44">
        <f>+E67*H67</f>
        <v>2500</v>
      </c>
      <c r="K67" s="44">
        <f>+I67*J67</f>
        <v>2500</v>
      </c>
      <c r="L67" s="370">
        <f>SUM(K67:K70)</f>
        <v>2500</v>
      </c>
      <c r="N67" s="66">
        <f t="shared" si="17"/>
        <v>10</v>
      </c>
      <c r="O67" s="67">
        <f t="shared" si="18"/>
        <v>450</v>
      </c>
      <c r="P67" s="68">
        <f t="shared" ref="P67:P70" si="41">+IFERROR(K67/N67,0)</f>
        <v>250</v>
      </c>
      <c r="Q67" s="68">
        <f t="shared" ref="Q67:Q70" si="42">+IFERROR(K67/O67,0)</f>
        <v>5.5555555555555554</v>
      </c>
      <c r="R67" s="69">
        <f t="shared" ref="R67:R70" si="43">+B67*C67*E67</f>
        <v>250</v>
      </c>
      <c r="T67" s="70" t="str">
        <f>IFERROR(VLOOKUP(A67,VLOOKUPS!$A$34:$B$50,2,0),"Ander")</f>
        <v>Ander</v>
      </c>
      <c r="U67" s="71">
        <f>IF(T67="Syngenta",K67,0)</f>
        <v>0</v>
      </c>
      <c r="V67" s="71">
        <f>IF(T67="Ander",K67,0)</f>
        <v>2500</v>
      </c>
    </row>
    <row r="68" spans="1:22" x14ac:dyDescent="0.25">
      <c r="A68" s="9"/>
      <c r="B68" s="191"/>
      <c r="C68" s="180"/>
      <c r="D68" s="190">
        <f t="shared" ref="D68:D70" si="44">B68*C68</f>
        <v>0</v>
      </c>
      <c r="E68" s="12"/>
      <c r="F68" s="47">
        <f t="shared" ref="F68:F70" si="45">IFERROR((D68*E68)/C68,0)</f>
        <v>0</v>
      </c>
      <c r="G68" s="374"/>
      <c r="H68" s="13"/>
      <c r="I68" s="48">
        <f t="shared" si="40"/>
        <v>0</v>
      </c>
      <c r="J68" s="47">
        <f t="shared" ref="J68:J70" si="46">+E68*H68</f>
        <v>0</v>
      </c>
      <c r="K68" s="47">
        <f t="shared" ref="K68:K70" si="47">+I68*J68</f>
        <v>0</v>
      </c>
      <c r="L68" s="371"/>
      <c r="N68" s="66">
        <f t="shared" si="17"/>
        <v>0</v>
      </c>
      <c r="O68" s="67">
        <f t="shared" si="18"/>
        <v>0</v>
      </c>
      <c r="P68" s="68">
        <f t="shared" si="41"/>
        <v>0</v>
      </c>
      <c r="Q68" s="68">
        <f t="shared" si="42"/>
        <v>0</v>
      </c>
      <c r="R68" s="69">
        <f t="shared" si="43"/>
        <v>0</v>
      </c>
      <c r="T68" s="70" t="str">
        <f>IFERROR(VLOOKUP(A68,VLOOKUPS!$A$34:$B$50,2,0),"Ander")</f>
        <v>Ander</v>
      </c>
      <c r="U68" s="71">
        <f>IF(T68="Syngenta",K68,0)</f>
        <v>0</v>
      </c>
      <c r="V68" s="71">
        <f>IF(T68="Ander",K68,0)</f>
        <v>0</v>
      </c>
    </row>
    <row r="69" spans="1:22" x14ac:dyDescent="0.25">
      <c r="A69" s="9"/>
      <c r="B69" s="191"/>
      <c r="C69" s="180"/>
      <c r="D69" s="190">
        <f t="shared" si="44"/>
        <v>0</v>
      </c>
      <c r="E69" s="12"/>
      <c r="F69" s="47">
        <f t="shared" si="45"/>
        <v>0</v>
      </c>
      <c r="G69" s="374"/>
      <c r="H69" s="13"/>
      <c r="I69" s="48">
        <f t="shared" si="40"/>
        <v>0</v>
      </c>
      <c r="J69" s="47">
        <f t="shared" si="46"/>
        <v>0</v>
      </c>
      <c r="K69" s="47">
        <f t="shared" si="47"/>
        <v>0</v>
      </c>
      <c r="L69" s="371"/>
      <c r="N69" s="66">
        <f t="shared" si="17"/>
        <v>0</v>
      </c>
      <c r="O69" s="67">
        <f t="shared" si="18"/>
        <v>0</v>
      </c>
      <c r="P69" s="68">
        <f t="shared" si="41"/>
        <v>0</v>
      </c>
      <c r="Q69" s="68">
        <f t="shared" si="42"/>
        <v>0</v>
      </c>
      <c r="R69" s="69">
        <f t="shared" si="43"/>
        <v>0</v>
      </c>
      <c r="T69" s="70" t="str">
        <f>IFERROR(VLOOKUP(A69,VLOOKUPS!$A$34:$B$50,2,0),"Ander")</f>
        <v>Ander</v>
      </c>
      <c r="U69" s="71">
        <f>IF(T69="Syngenta",K69,0)</f>
        <v>0</v>
      </c>
      <c r="V69" s="71">
        <f>IF(T69="Ander",K69,0)</f>
        <v>0</v>
      </c>
    </row>
    <row r="70" spans="1:22" ht="15.75" thickBot="1" x14ac:dyDescent="0.3">
      <c r="A70" s="14"/>
      <c r="B70" s="192"/>
      <c r="C70" s="182"/>
      <c r="D70" s="189">
        <f t="shared" si="44"/>
        <v>0</v>
      </c>
      <c r="E70" s="17"/>
      <c r="F70" s="50">
        <f t="shared" si="45"/>
        <v>0</v>
      </c>
      <c r="G70" s="375"/>
      <c r="H70" s="18"/>
      <c r="I70" s="51">
        <f t="shared" si="40"/>
        <v>0</v>
      </c>
      <c r="J70" s="50">
        <f t="shared" si="46"/>
        <v>0</v>
      </c>
      <c r="K70" s="50">
        <f t="shared" si="47"/>
        <v>0</v>
      </c>
      <c r="L70" s="372"/>
      <c r="N70" s="66">
        <f t="shared" si="17"/>
        <v>0</v>
      </c>
      <c r="O70" s="67">
        <f t="shared" si="18"/>
        <v>0</v>
      </c>
      <c r="P70" s="68">
        <f t="shared" si="41"/>
        <v>0</v>
      </c>
      <c r="Q70" s="68">
        <f t="shared" si="42"/>
        <v>0</v>
      </c>
      <c r="R70" s="69">
        <f t="shared" si="43"/>
        <v>0</v>
      </c>
      <c r="T70" s="70" t="str">
        <f>IFERROR(VLOOKUP(A70,VLOOKUPS!$A$34:$B$50,2,0),"Ander")</f>
        <v>Ander</v>
      </c>
      <c r="U70" s="71">
        <f>IF(T70="Syngenta",K70,0)</f>
        <v>0</v>
      </c>
      <c r="V70" s="71">
        <f>IF(T70="Ander",K70,0)</f>
        <v>0</v>
      </c>
    </row>
    <row r="71" spans="1:22" ht="15.75" thickBot="1" x14ac:dyDescent="0.3">
      <c r="U71" s="72">
        <f>SUM(U67:U70)</f>
        <v>0</v>
      </c>
      <c r="V71" s="72">
        <f>SUM(V67:V70)</f>
        <v>2500</v>
      </c>
    </row>
    <row r="72" spans="1:22" ht="15.75" thickTop="1" x14ac:dyDescent="0.25">
      <c r="U72" s="73"/>
      <c r="V72" s="73"/>
    </row>
    <row r="73" spans="1:22" ht="15" customHeight="1" thickBot="1" x14ac:dyDescent="0.3">
      <c r="B73" s="395" t="s">
        <v>89</v>
      </c>
      <c r="C73" s="396"/>
      <c r="D73" s="396"/>
      <c r="E73" s="396"/>
      <c r="F73" s="396"/>
      <c r="G73" s="396"/>
      <c r="H73" s="396"/>
      <c r="I73" s="396"/>
      <c r="J73" s="396"/>
      <c r="K73" s="397"/>
    </row>
    <row r="74" spans="1:22" ht="15.75" thickBot="1" x14ac:dyDescent="0.3">
      <c r="B74" s="398"/>
      <c r="C74" s="399"/>
      <c r="D74" s="399"/>
      <c r="E74" s="399"/>
      <c r="F74" s="399"/>
      <c r="G74" s="399"/>
      <c r="H74" s="399"/>
      <c r="I74" s="399"/>
      <c r="J74" s="399"/>
      <c r="K74" s="400"/>
      <c r="T74" s="74" t="s">
        <v>76</v>
      </c>
      <c r="U74" s="105">
        <f>U71+U64+U51+U40+U29</f>
        <v>1000</v>
      </c>
      <c r="V74" s="106">
        <f>V71+V64+V51+V40+V29</f>
        <v>119200</v>
      </c>
    </row>
    <row r="75" spans="1:22" x14ac:dyDescent="0.25">
      <c r="B75" s="36"/>
      <c r="C75" s="111"/>
      <c r="D75" s="111"/>
      <c r="E75" s="111"/>
      <c r="F75" s="111"/>
      <c r="T75" s="27" t="s">
        <v>77</v>
      </c>
      <c r="U75" s="75">
        <f>V74+U74-L14</f>
        <v>0</v>
      </c>
    </row>
    <row r="76" spans="1:22" x14ac:dyDescent="0.25">
      <c r="B76" s="36"/>
      <c r="C76" s="111"/>
      <c r="D76" s="111"/>
      <c r="E76" s="111"/>
      <c r="F76" s="111"/>
    </row>
    <row r="77" spans="1:22" x14ac:dyDescent="0.25">
      <c r="B77" s="36"/>
      <c r="C77" s="111"/>
      <c r="D77" s="111"/>
      <c r="E77" s="111"/>
      <c r="F77" s="111"/>
    </row>
  </sheetData>
  <sheetProtection selectLockedCells="1"/>
  <mergeCells count="44">
    <mergeCell ref="A8:C8"/>
    <mergeCell ref="F8:H8"/>
    <mergeCell ref="J8:L8"/>
    <mergeCell ref="B9:C9"/>
    <mergeCell ref="G9:H9"/>
    <mergeCell ref="J9:K9"/>
    <mergeCell ref="B10:C10"/>
    <mergeCell ref="G10:H10"/>
    <mergeCell ref="J10:K10"/>
    <mergeCell ref="B11:C11"/>
    <mergeCell ref="G11:H11"/>
    <mergeCell ref="J11:K11"/>
    <mergeCell ref="B16:C16"/>
    <mergeCell ref="G16:H16"/>
    <mergeCell ref="B12:C12"/>
    <mergeCell ref="G12:H12"/>
    <mergeCell ref="J12:K12"/>
    <mergeCell ref="B13:C13"/>
    <mergeCell ref="G13:H13"/>
    <mergeCell ref="J13:K13"/>
    <mergeCell ref="B14:C14"/>
    <mergeCell ref="G14:H14"/>
    <mergeCell ref="J14:K14"/>
    <mergeCell ref="B15:C15"/>
    <mergeCell ref="G15:H15"/>
    <mergeCell ref="B18:C18"/>
    <mergeCell ref="G18:H18"/>
    <mergeCell ref="J18:K18"/>
    <mergeCell ref="A20:L20"/>
    <mergeCell ref="G23:G28"/>
    <mergeCell ref="L23:L28"/>
    <mergeCell ref="A30:L30"/>
    <mergeCell ref="G32:G39"/>
    <mergeCell ref="L32:L39"/>
    <mergeCell ref="A41:L41"/>
    <mergeCell ref="G43:G50"/>
    <mergeCell ref="L43:L50"/>
    <mergeCell ref="B73:K74"/>
    <mergeCell ref="A52:L52"/>
    <mergeCell ref="G54:G63"/>
    <mergeCell ref="L54:L63"/>
    <mergeCell ref="A65:L65"/>
    <mergeCell ref="G67:G70"/>
    <mergeCell ref="L67:L70"/>
  </mergeCells>
  <dataValidations count="1">
    <dataValidation allowBlank="1" sqref="H67:H70"/>
  </dataValidations>
  <printOptions horizontalCentered="1" verticalCentered="1"/>
  <pageMargins left="0.26" right="0.28999999999999998" top="0.19" bottom="0.18" header="0" footer="0"/>
  <pageSetup paperSize="9" scale="64" orientation="portrait" r:id="rId1"/>
  <customProperties>
    <customPr name="SSCSheetTrackingNo" r:id="rId2"/>
  </customProperties>
  <extLst>
    <ext xmlns:x14="http://schemas.microsoft.com/office/spreadsheetml/2009/9/main" uri="{CCE6A557-97BC-4b89-ADB6-D9C93CAAB3DF}">
      <x14:dataValidations xmlns:xm="http://schemas.microsoft.com/office/excel/2006/main" count="8">
        <x14:dataValidation type="list" allowBlank="1">
          <x14:formula1>
            <xm:f>Produklys!$D$28:$D$32</xm:f>
          </x14:formula1>
          <xm:sqref>H32:H39</xm:sqref>
        </x14:dataValidation>
        <x14:dataValidation type="list" allowBlank="1">
          <x14:formula1>
            <xm:f>Produklys!$F$28:$F$30</xm:f>
          </x14:formula1>
          <xm:sqref>H43:H50</xm:sqref>
        </x14:dataValidation>
        <x14:dataValidation type="list" allowBlank="1">
          <x14:formula1>
            <xm:f>Produklys!$H$28:$H$31</xm:f>
          </x14:formula1>
          <xm:sqref>H54:H63</xm:sqref>
        </x14:dataValidation>
        <x14:dataValidation type="list" errorStyle="information">
          <x14:formula1>
            <xm:f>Produklys!$B$28:$B$30</xm:f>
          </x14:formula1>
          <xm:sqref>H23:H28</xm:sqref>
        </x14:dataValidation>
        <x14:dataValidation type="list" errorStyle="warning" showInputMessage="1" showErrorMessage="1" errorTitle="LET WEL" error="Hierdie is nie 'n voorgeskrewe Syngenta produk nie">
          <x14:formula1>
            <xm:f>Produklys!$A$28:$A$31</xm:f>
          </x14:formula1>
          <xm:sqref>A23:A28</xm:sqref>
        </x14:dataValidation>
        <x14:dataValidation type="list" errorStyle="warning" showInputMessage="1" showErrorMessage="1" errorTitle="LET WEL" error="Hierdie is nie 'n voorgeskrewe Syngenta produk nie" promptTitle="Produk" prompt="Kies 'n relevante Syngenta produk op die lys">
          <x14:formula1>
            <xm:f>Produklys!$E$28:$E$30</xm:f>
          </x14:formula1>
          <xm:sqref>A43:A50</xm:sqref>
        </x14:dataValidation>
        <x14:dataValidation type="list" errorStyle="warning" showInputMessage="1" showErrorMessage="1" errorTitle="LET WEL" error="Hierdie is nie 'n voorgeskrewe Syngenta produk nie" promptTitle="Produk" prompt="Kies 'n relevante Syngenta produk op die lys">
          <x14:formula1>
            <xm:f>Produklys!$C$28:$C$32</xm:f>
          </x14:formula1>
          <xm:sqref>A32:A39</xm:sqref>
        </x14:dataValidation>
        <x14:dataValidation type="list" errorStyle="warning" showInputMessage="1" showErrorMessage="1" errorTitle="LET WEL" error="Hierdie is nie 'n voorgeskrewe Syngenta produk nie" promptTitle="Produk" prompt="Kies 'n relevante Syngenta produk op die lys">
          <x14:formula1>
            <xm:f>Produklys!$G$28:$G$36</xm:f>
          </x14:formula1>
          <xm:sqref>A54:A63</xm:sqref>
        </x14:dataValidation>
      </x14:dataValidations>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3"/>
  <sheetViews>
    <sheetView workbookViewId="0"/>
  </sheetViews>
  <sheetFormatPr defaultRowHeight="15" x14ac:dyDescent="0.25"/>
  <sheetData>
    <row r="1" spans="1:5" x14ac:dyDescent="0.25">
      <c r="A1" t="s">
        <v>193</v>
      </c>
      <c r="B1" t="s">
        <v>483</v>
      </c>
      <c r="C1" t="s">
        <v>239</v>
      </c>
      <c r="D1" t="s">
        <v>494</v>
      </c>
      <c r="E1" t="s">
        <v>489</v>
      </c>
    </row>
    <row r="2" spans="1:5" x14ac:dyDescent="0.25">
      <c r="A2" t="s">
        <v>194</v>
      </c>
      <c r="B2" t="s">
        <v>484</v>
      </c>
      <c r="C2" t="s">
        <v>234</v>
      </c>
    </row>
    <row r="3" spans="1:5" x14ac:dyDescent="0.25">
      <c r="A3" t="s">
        <v>195</v>
      </c>
      <c r="B3" t="s">
        <v>485</v>
      </c>
      <c r="C3" t="s">
        <v>235</v>
      </c>
    </row>
    <row r="4" spans="1:5" x14ac:dyDescent="0.25">
      <c r="A4" t="s">
        <v>196</v>
      </c>
      <c r="B4" t="s">
        <v>486</v>
      </c>
      <c r="C4" t="s">
        <v>236</v>
      </c>
    </row>
    <row r="5" spans="1:5" x14ac:dyDescent="0.25">
      <c r="A5" t="s">
        <v>197</v>
      </c>
      <c r="C5" t="s">
        <v>237</v>
      </c>
    </row>
    <row r="6" spans="1:5" x14ac:dyDescent="0.25">
      <c r="A6" t="s">
        <v>198</v>
      </c>
      <c r="B6" t="s">
        <v>199</v>
      </c>
      <c r="C6" t="s">
        <v>238</v>
      </c>
    </row>
    <row r="7" spans="1:5" x14ac:dyDescent="0.25">
      <c r="A7" t="s">
        <v>200</v>
      </c>
      <c r="B7" t="s">
        <v>201</v>
      </c>
      <c r="C7" t="s">
        <v>449</v>
      </c>
    </row>
    <row r="8" spans="1:5" x14ac:dyDescent="0.25">
      <c r="A8" t="s">
        <v>204</v>
      </c>
      <c r="B8" t="s">
        <v>205</v>
      </c>
      <c r="C8" t="s">
        <v>450</v>
      </c>
    </row>
    <row r="9" spans="1:5" x14ac:dyDescent="0.25">
      <c r="A9" t="s">
        <v>206</v>
      </c>
      <c r="B9" t="s">
        <v>207</v>
      </c>
      <c r="C9" t="s">
        <v>280</v>
      </c>
    </row>
    <row r="10" spans="1:5" x14ac:dyDescent="0.25">
      <c r="A10" t="s">
        <v>208</v>
      </c>
      <c r="B10" t="s">
        <v>209</v>
      </c>
      <c r="C10" t="s">
        <v>387</v>
      </c>
    </row>
    <row r="11" spans="1:5" x14ac:dyDescent="0.25">
      <c r="A11" t="s">
        <v>210</v>
      </c>
      <c r="B11" t="s">
        <v>211</v>
      </c>
      <c r="C11" t="s">
        <v>442</v>
      </c>
    </row>
    <row r="12" spans="1:5" x14ac:dyDescent="0.25">
      <c r="A12" t="s">
        <v>212</v>
      </c>
      <c r="B12" t="s">
        <v>213</v>
      </c>
      <c r="C12" t="s">
        <v>239</v>
      </c>
    </row>
    <row r="13" spans="1:5" x14ac:dyDescent="0.25">
      <c r="A13" t="s">
        <v>214</v>
      </c>
      <c r="B13" t="s">
        <v>215</v>
      </c>
      <c r="C13" t="s">
        <v>239</v>
      </c>
    </row>
    <row r="14" spans="1:5" x14ac:dyDescent="0.25">
      <c r="A14" t="s">
        <v>216</v>
      </c>
      <c r="B14" t="s">
        <v>217</v>
      </c>
    </row>
    <row r="15" spans="1:5" x14ac:dyDescent="0.25">
      <c r="A15" t="s">
        <v>218</v>
      </c>
      <c r="B15" t="s">
        <v>219</v>
      </c>
    </row>
    <row r="16" spans="1:5" x14ac:dyDescent="0.25">
      <c r="A16" t="s">
        <v>220</v>
      </c>
      <c r="B16" t="s">
        <v>221</v>
      </c>
    </row>
    <row r="17" spans="1:2" x14ac:dyDescent="0.25">
      <c r="A17" t="s">
        <v>222</v>
      </c>
      <c r="B17" t="s">
        <v>223</v>
      </c>
    </row>
    <row r="18" spans="1:2" x14ac:dyDescent="0.25">
      <c r="A18" t="s">
        <v>224</v>
      </c>
      <c r="B18" t="s">
        <v>225</v>
      </c>
    </row>
    <row r="19" spans="1:2" x14ac:dyDescent="0.25">
      <c r="A19" t="s">
        <v>226</v>
      </c>
      <c r="B19" t="s">
        <v>227</v>
      </c>
    </row>
    <row r="20" spans="1:2" x14ac:dyDescent="0.25">
      <c r="A20" t="s">
        <v>228</v>
      </c>
      <c r="B20" t="s">
        <v>229</v>
      </c>
    </row>
    <row r="21" spans="1:2" x14ac:dyDescent="0.25">
      <c r="A21" t="s">
        <v>230</v>
      </c>
      <c r="B21" t="s">
        <v>231</v>
      </c>
    </row>
    <row r="22" spans="1:2" x14ac:dyDescent="0.25">
      <c r="A22" t="s">
        <v>232</v>
      </c>
      <c r="B22" t="s">
        <v>233</v>
      </c>
    </row>
    <row r="23" spans="1:2" x14ac:dyDescent="0.25">
      <c r="A23" t="s">
        <v>240</v>
      </c>
      <c r="B23" t="s">
        <v>241</v>
      </c>
    </row>
    <row r="24" spans="1:2" x14ac:dyDescent="0.25">
      <c r="A24" t="s">
        <v>242</v>
      </c>
      <c r="B24" t="s">
        <v>243</v>
      </c>
    </row>
    <row r="25" spans="1:2" x14ac:dyDescent="0.25">
      <c r="A25" t="s">
        <v>244</v>
      </c>
      <c r="B25" t="s">
        <v>254</v>
      </c>
    </row>
    <row r="26" spans="1:2" x14ac:dyDescent="0.25">
      <c r="A26" t="s">
        <v>245</v>
      </c>
      <c r="B26" t="s">
        <v>246</v>
      </c>
    </row>
    <row r="27" spans="1:2" x14ac:dyDescent="0.25">
      <c r="A27" t="s">
        <v>248</v>
      </c>
      <c r="B27" t="s">
        <v>286</v>
      </c>
    </row>
    <row r="28" spans="1:2" x14ac:dyDescent="0.25">
      <c r="A28" t="s">
        <v>251</v>
      </c>
      <c r="B28" t="s">
        <v>287</v>
      </c>
    </row>
    <row r="29" spans="1:2" x14ac:dyDescent="0.25">
      <c r="A29" t="s">
        <v>252</v>
      </c>
      <c r="B29" t="s">
        <v>288</v>
      </c>
    </row>
    <row r="30" spans="1:2" x14ac:dyDescent="0.25">
      <c r="A30" t="s">
        <v>253</v>
      </c>
      <c r="B30" t="s">
        <v>289</v>
      </c>
    </row>
    <row r="31" spans="1:2" x14ac:dyDescent="0.25">
      <c r="A31" t="s">
        <v>290</v>
      </c>
      <c r="B31" t="s">
        <v>291</v>
      </c>
    </row>
    <row r="32" spans="1:2" x14ac:dyDescent="0.25">
      <c r="A32" t="s">
        <v>292</v>
      </c>
      <c r="B32" t="s">
        <v>293</v>
      </c>
    </row>
    <row r="33" spans="1:2" x14ac:dyDescent="0.25">
      <c r="A33" t="s">
        <v>294</v>
      </c>
      <c r="B33" t="s">
        <v>295</v>
      </c>
    </row>
    <row r="34" spans="1:2" x14ac:dyDescent="0.25">
      <c r="A34" t="s">
        <v>296</v>
      </c>
      <c r="B34" t="s">
        <v>297</v>
      </c>
    </row>
    <row r="35" spans="1:2" x14ac:dyDescent="0.25">
      <c r="A35" t="s">
        <v>298</v>
      </c>
      <c r="B35" t="s">
        <v>299</v>
      </c>
    </row>
    <row r="36" spans="1:2" x14ac:dyDescent="0.25">
      <c r="A36" t="s">
        <v>300</v>
      </c>
      <c r="B36" t="s">
        <v>301</v>
      </c>
    </row>
    <row r="37" spans="1:2" x14ac:dyDescent="0.25">
      <c r="A37" t="s">
        <v>302</v>
      </c>
      <c r="B37" t="s">
        <v>303</v>
      </c>
    </row>
    <row r="38" spans="1:2" x14ac:dyDescent="0.25">
      <c r="A38" t="s">
        <v>304</v>
      </c>
      <c r="B38" t="s">
        <v>445</v>
      </c>
    </row>
    <row r="39" spans="1:2" x14ac:dyDescent="0.25">
      <c r="A39" t="s">
        <v>305</v>
      </c>
      <c r="B39" t="s">
        <v>306</v>
      </c>
    </row>
    <row r="40" spans="1:2" x14ac:dyDescent="0.25">
      <c r="A40" t="s">
        <v>307</v>
      </c>
      <c r="B40" t="s">
        <v>308</v>
      </c>
    </row>
    <row r="41" spans="1:2" x14ac:dyDescent="0.25">
      <c r="A41" t="s">
        <v>309</v>
      </c>
      <c r="B41" t="s">
        <v>310</v>
      </c>
    </row>
    <row r="42" spans="1:2" x14ac:dyDescent="0.25">
      <c r="A42" t="s">
        <v>311</v>
      </c>
      <c r="B42" t="s">
        <v>312</v>
      </c>
    </row>
    <row r="43" spans="1:2" x14ac:dyDescent="0.25">
      <c r="A43" t="s">
        <v>388</v>
      </c>
      <c r="B43" t="s">
        <v>389</v>
      </c>
    </row>
    <row r="44" spans="1:2" x14ac:dyDescent="0.25">
      <c r="A44" t="s">
        <v>390</v>
      </c>
      <c r="B44" t="s">
        <v>391</v>
      </c>
    </row>
    <row r="45" spans="1:2" x14ac:dyDescent="0.25">
      <c r="A45" t="s">
        <v>392</v>
      </c>
      <c r="B45" t="s">
        <v>393</v>
      </c>
    </row>
    <row r="46" spans="1:2" x14ac:dyDescent="0.25">
      <c r="A46" t="s">
        <v>394</v>
      </c>
      <c r="B46" t="s">
        <v>395</v>
      </c>
    </row>
    <row r="47" spans="1:2" x14ac:dyDescent="0.25">
      <c r="A47" t="s">
        <v>396</v>
      </c>
      <c r="B47" t="s">
        <v>397</v>
      </c>
    </row>
    <row r="48" spans="1:2" x14ac:dyDescent="0.25">
      <c r="A48" t="s">
        <v>398</v>
      </c>
      <c r="B48" t="s">
        <v>399</v>
      </c>
    </row>
    <row r="49" spans="1:2" x14ac:dyDescent="0.25">
      <c r="A49" t="s">
        <v>400</v>
      </c>
      <c r="B49" t="s">
        <v>401</v>
      </c>
    </row>
    <row r="50" spans="1:2" x14ac:dyDescent="0.25">
      <c r="A50" t="s">
        <v>402</v>
      </c>
      <c r="B50" t="s">
        <v>403</v>
      </c>
    </row>
    <row r="51" spans="1:2" x14ac:dyDescent="0.25">
      <c r="A51" t="s">
        <v>404</v>
      </c>
      <c r="B51" t="s">
        <v>405</v>
      </c>
    </row>
    <row r="52" spans="1:2" x14ac:dyDescent="0.25">
      <c r="A52" t="s">
        <v>406</v>
      </c>
      <c r="B52" t="s">
        <v>407</v>
      </c>
    </row>
    <row r="53" spans="1:2" x14ac:dyDescent="0.25">
      <c r="A53" t="s">
        <v>408</v>
      </c>
      <c r="B53" t="s">
        <v>409</v>
      </c>
    </row>
    <row r="54" spans="1:2" x14ac:dyDescent="0.25">
      <c r="A54" t="s">
        <v>410</v>
      </c>
    </row>
    <row r="55" spans="1:2" x14ac:dyDescent="0.25">
      <c r="A55" t="s">
        <v>411</v>
      </c>
      <c r="B55" t="s">
        <v>412</v>
      </c>
    </row>
    <row r="56" spans="1:2" x14ac:dyDescent="0.25">
      <c r="A56" t="s">
        <v>413</v>
      </c>
      <c r="B56" t="s">
        <v>414</v>
      </c>
    </row>
    <row r="57" spans="1:2" x14ac:dyDescent="0.25">
      <c r="A57" t="s">
        <v>415</v>
      </c>
      <c r="B57" t="s">
        <v>416</v>
      </c>
    </row>
    <row r="58" spans="1:2" x14ac:dyDescent="0.25">
      <c r="A58" t="s">
        <v>417</v>
      </c>
      <c r="B58" t="s">
        <v>418</v>
      </c>
    </row>
    <row r="59" spans="1:2" x14ac:dyDescent="0.25">
      <c r="A59" t="s">
        <v>419</v>
      </c>
      <c r="B59" t="s">
        <v>420</v>
      </c>
    </row>
    <row r="60" spans="1:2" x14ac:dyDescent="0.25">
      <c r="A60" t="s">
        <v>421</v>
      </c>
      <c r="B60" t="s">
        <v>422</v>
      </c>
    </row>
    <row r="61" spans="1:2" x14ac:dyDescent="0.25">
      <c r="A61" t="s">
        <v>427</v>
      </c>
      <c r="B61" t="s">
        <v>428</v>
      </c>
    </row>
    <row r="62" spans="1:2" x14ac:dyDescent="0.25">
      <c r="A62" t="s">
        <v>429</v>
      </c>
      <c r="B62" t="s">
        <v>430</v>
      </c>
    </row>
    <row r="63" spans="1:2" x14ac:dyDescent="0.25">
      <c r="A63" t="s">
        <v>432</v>
      </c>
    </row>
    <row r="64" spans="1:2" x14ac:dyDescent="0.25">
      <c r="A64" t="s">
        <v>434</v>
      </c>
    </row>
    <row r="65" spans="1:2" x14ac:dyDescent="0.25">
      <c r="A65" t="s">
        <v>437</v>
      </c>
    </row>
    <row r="66" spans="1:2" x14ac:dyDescent="0.25">
      <c r="A66" t="s">
        <v>438</v>
      </c>
      <c r="B66" t="s">
        <v>446</v>
      </c>
    </row>
    <row r="67" spans="1:2" x14ac:dyDescent="0.25">
      <c r="A67" t="s">
        <v>447</v>
      </c>
      <c r="B67" t="s">
        <v>448</v>
      </c>
    </row>
    <row r="68" spans="1:2" x14ac:dyDescent="0.25">
      <c r="A68" t="s">
        <v>451</v>
      </c>
      <c r="B68" t="s">
        <v>452</v>
      </c>
    </row>
    <row r="69" spans="1:2" x14ac:dyDescent="0.25">
      <c r="A69" t="s">
        <v>453</v>
      </c>
      <c r="B69" t="s">
        <v>454</v>
      </c>
    </row>
    <row r="70" spans="1:2" x14ac:dyDescent="0.25">
      <c r="A70" t="s">
        <v>455</v>
      </c>
    </row>
    <row r="71" spans="1:2" x14ac:dyDescent="0.25">
      <c r="A71" t="s">
        <v>456</v>
      </c>
      <c r="B71" t="s">
        <v>457</v>
      </c>
    </row>
    <row r="72" spans="1:2" x14ac:dyDescent="0.25">
      <c r="A72" t="s">
        <v>458</v>
      </c>
      <c r="B72" t="s">
        <v>459</v>
      </c>
    </row>
    <row r="73" spans="1:2" x14ac:dyDescent="0.25">
      <c r="A73" t="s">
        <v>460</v>
      </c>
      <c r="B73" t="s">
        <v>461</v>
      </c>
    </row>
    <row r="74" spans="1:2" x14ac:dyDescent="0.25">
      <c r="A74" t="s">
        <v>462</v>
      </c>
      <c r="B74" t="s">
        <v>463</v>
      </c>
    </row>
    <row r="75" spans="1:2" x14ac:dyDescent="0.25">
      <c r="A75" t="s">
        <v>464</v>
      </c>
      <c r="B75" t="s">
        <v>465</v>
      </c>
    </row>
    <row r="76" spans="1:2" x14ac:dyDescent="0.25">
      <c r="A76" t="s">
        <v>466</v>
      </c>
      <c r="B76" t="s">
        <v>467</v>
      </c>
    </row>
    <row r="77" spans="1:2" x14ac:dyDescent="0.25">
      <c r="A77" t="s">
        <v>468</v>
      </c>
      <c r="B77" t="s">
        <v>469</v>
      </c>
    </row>
    <row r="78" spans="1:2" x14ac:dyDescent="0.25">
      <c r="A78" t="s">
        <v>470</v>
      </c>
      <c r="B78" t="s">
        <v>471</v>
      </c>
    </row>
    <row r="79" spans="1:2" x14ac:dyDescent="0.25">
      <c r="A79" t="s">
        <v>472</v>
      </c>
      <c r="B79" t="s">
        <v>473</v>
      </c>
    </row>
    <row r="80" spans="1:2" x14ac:dyDescent="0.25">
      <c r="A80" t="s">
        <v>474</v>
      </c>
    </row>
    <row r="81" spans="1:2" x14ac:dyDescent="0.25">
      <c r="A81" t="s">
        <v>475</v>
      </c>
      <c r="B81" t="s">
        <v>476</v>
      </c>
    </row>
    <row r="82" spans="1:2" x14ac:dyDescent="0.25">
      <c r="A82" t="s">
        <v>487</v>
      </c>
      <c r="B82" t="s">
        <v>490</v>
      </c>
    </row>
    <row r="83" spans="1:2" x14ac:dyDescent="0.25">
      <c r="A83" t="s">
        <v>488</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U22"/>
  <sheetViews>
    <sheetView workbookViewId="0"/>
  </sheetViews>
  <sheetFormatPr defaultRowHeight="15" x14ac:dyDescent="0.25"/>
  <cols>
    <col min="1" max="1" width="25.28515625" bestFit="1" customWidth="1"/>
    <col min="2" max="3" width="13.28515625" bestFit="1" customWidth="1"/>
    <col min="4" max="11" width="2" bestFit="1" customWidth="1"/>
    <col min="12" max="13" width="13.28515625" bestFit="1" customWidth="1"/>
    <col min="14" max="15" width="11.28515625" bestFit="1" customWidth="1"/>
    <col min="16" max="17" width="4" bestFit="1" customWidth="1"/>
    <col min="18" max="21" width="13.28515625" bestFit="1" customWidth="1"/>
    <col min="22" max="27" width="11.28515625" bestFit="1" customWidth="1"/>
    <col min="28" max="33" width="6.85546875" bestFit="1" customWidth="1"/>
    <col min="34" max="39" width="11.85546875" bestFit="1" customWidth="1"/>
    <col min="40" max="41" width="13.28515625" bestFit="1" customWidth="1"/>
    <col min="42" max="47" width="18.42578125" bestFit="1" customWidth="1"/>
  </cols>
  <sheetData>
    <row r="1" spans="1:47" x14ac:dyDescent="0.25">
      <c r="A1" s="202" t="s">
        <v>202</v>
      </c>
      <c r="B1" s="202" t="s">
        <v>247</v>
      </c>
      <c r="C1" s="202" t="s">
        <v>247</v>
      </c>
      <c r="D1" s="202" t="s">
        <v>247</v>
      </c>
      <c r="E1" s="202" t="s">
        <v>247</v>
      </c>
      <c r="F1" s="202" t="s">
        <v>247</v>
      </c>
      <c r="G1" s="202" t="s">
        <v>247</v>
      </c>
      <c r="H1" s="202" t="s">
        <v>247</v>
      </c>
      <c r="I1" s="202" t="s">
        <v>247</v>
      </c>
      <c r="J1" s="202" t="s">
        <v>247</v>
      </c>
      <c r="K1" s="202" t="s">
        <v>247</v>
      </c>
      <c r="L1" s="202" t="s">
        <v>247</v>
      </c>
      <c r="M1" s="202" t="s">
        <v>247</v>
      </c>
      <c r="N1" s="202" t="s">
        <v>247</v>
      </c>
      <c r="O1" s="202" t="s">
        <v>247</v>
      </c>
      <c r="P1" s="202" t="s">
        <v>247</v>
      </c>
      <c r="Q1" s="202" t="s">
        <v>247</v>
      </c>
      <c r="R1" s="202" t="s">
        <v>247</v>
      </c>
      <c r="S1" s="202" t="s">
        <v>247</v>
      </c>
      <c r="T1" s="202" t="s">
        <v>247</v>
      </c>
      <c r="U1" s="202" t="s">
        <v>247</v>
      </c>
      <c r="V1" s="202" t="s">
        <v>247</v>
      </c>
      <c r="W1" s="202" t="s">
        <v>247</v>
      </c>
      <c r="X1" s="202" t="s">
        <v>247</v>
      </c>
      <c r="Y1" s="202" t="s">
        <v>247</v>
      </c>
      <c r="Z1" s="202" t="s">
        <v>247</v>
      </c>
      <c r="AA1" s="202" t="s">
        <v>247</v>
      </c>
      <c r="AB1" s="202" t="s">
        <v>247</v>
      </c>
      <c r="AC1" s="202" t="s">
        <v>247</v>
      </c>
      <c r="AD1" s="202" t="s">
        <v>247</v>
      </c>
      <c r="AE1" s="202" t="s">
        <v>247</v>
      </c>
      <c r="AF1" s="202" t="s">
        <v>247</v>
      </c>
      <c r="AG1" s="202" t="s">
        <v>247</v>
      </c>
      <c r="AH1" s="202" t="s">
        <v>247</v>
      </c>
      <c r="AI1" s="202" t="s">
        <v>247</v>
      </c>
      <c r="AJ1" s="202" t="s">
        <v>247</v>
      </c>
      <c r="AK1" s="202" t="s">
        <v>247</v>
      </c>
      <c r="AL1" s="202" t="s">
        <v>247</v>
      </c>
      <c r="AM1" s="202" t="s">
        <v>247</v>
      </c>
      <c r="AN1" s="202" t="s">
        <v>247</v>
      </c>
      <c r="AO1" s="202" t="s">
        <v>247</v>
      </c>
      <c r="AP1" s="202" t="s">
        <v>247</v>
      </c>
      <c r="AQ1" s="202" t="s">
        <v>247</v>
      </c>
      <c r="AR1" s="202" t="s">
        <v>247</v>
      </c>
      <c r="AS1" s="202" t="s">
        <v>247</v>
      </c>
      <c r="AT1" s="202" t="s">
        <v>247</v>
      </c>
      <c r="AU1" s="202" t="s">
        <v>247</v>
      </c>
    </row>
    <row r="2" spans="1:47" x14ac:dyDescent="0.25">
      <c r="A2" s="202" t="s">
        <v>203</v>
      </c>
      <c r="B2" s="202" t="s">
        <v>179</v>
      </c>
      <c r="C2" s="202" t="s">
        <v>179</v>
      </c>
      <c r="D2" s="202" t="s">
        <v>249</v>
      </c>
      <c r="E2" s="202" t="s">
        <v>249</v>
      </c>
      <c r="F2" s="202" t="s">
        <v>249</v>
      </c>
      <c r="G2" s="202" t="s">
        <v>249</v>
      </c>
      <c r="H2" s="202" t="s">
        <v>249</v>
      </c>
      <c r="I2" s="202" t="s">
        <v>249</v>
      </c>
      <c r="J2" s="202" t="s">
        <v>249</v>
      </c>
      <c r="K2" s="202" t="s">
        <v>249</v>
      </c>
      <c r="L2" s="202" t="s">
        <v>179</v>
      </c>
      <c r="M2" s="202" t="s">
        <v>179</v>
      </c>
      <c r="N2" s="202" t="s">
        <v>178</v>
      </c>
      <c r="O2" s="202" t="s">
        <v>178</v>
      </c>
      <c r="P2" s="202" t="s">
        <v>249</v>
      </c>
      <c r="Q2" s="202" t="s">
        <v>249</v>
      </c>
      <c r="R2" s="202" t="s">
        <v>179</v>
      </c>
      <c r="S2" s="202" t="s">
        <v>179</v>
      </c>
      <c r="T2" s="202" t="s">
        <v>179</v>
      </c>
      <c r="U2" s="202" t="s">
        <v>179</v>
      </c>
      <c r="V2" s="202" t="s">
        <v>178</v>
      </c>
      <c r="W2" s="202" t="s">
        <v>178</v>
      </c>
      <c r="X2" s="202" t="s">
        <v>178</v>
      </c>
      <c r="Y2" s="202" t="s">
        <v>178</v>
      </c>
      <c r="Z2" s="202" t="s">
        <v>178</v>
      </c>
      <c r="AA2" s="202" t="s">
        <v>178</v>
      </c>
      <c r="AB2" s="202" t="s">
        <v>185</v>
      </c>
      <c r="AC2" s="202" t="s">
        <v>185</v>
      </c>
      <c r="AD2" s="202" t="s">
        <v>185</v>
      </c>
      <c r="AE2" s="202" t="s">
        <v>185</v>
      </c>
      <c r="AF2" s="202" t="s">
        <v>185</v>
      </c>
      <c r="AG2" s="202" t="s">
        <v>185</v>
      </c>
      <c r="AH2" s="202" t="s">
        <v>181</v>
      </c>
      <c r="AI2" s="202" t="s">
        <v>181</v>
      </c>
      <c r="AJ2" s="202" t="s">
        <v>181</v>
      </c>
      <c r="AK2" s="202" t="s">
        <v>181</v>
      </c>
      <c r="AL2" s="202" t="s">
        <v>181</v>
      </c>
      <c r="AM2" s="202" t="s">
        <v>181</v>
      </c>
      <c r="AN2" s="202" t="s">
        <v>23</v>
      </c>
      <c r="AO2" s="202" t="s">
        <v>23</v>
      </c>
      <c r="AP2" s="202" t="s">
        <v>4</v>
      </c>
      <c r="AQ2" s="202" t="s">
        <v>4</v>
      </c>
      <c r="AR2" s="202" t="s">
        <v>4</v>
      </c>
      <c r="AS2" s="202" t="s">
        <v>4</v>
      </c>
      <c r="AT2" s="202" t="s">
        <v>21</v>
      </c>
      <c r="AU2" s="202" t="s">
        <v>21</v>
      </c>
    </row>
    <row r="3" spans="1:47" x14ac:dyDescent="0.25">
      <c r="B3" s="202" t="s">
        <v>180</v>
      </c>
      <c r="C3" s="202" t="s">
        <v>180</v>
      </c>
      <c r="D3" s="202" t="s">
        <v>250</v>
      </c>
      <c r="E3" s="202" t="s">
        <v>250</v>
      </c>
      <c r="F3" s="202" t="s">
        <v>250</v>
      </c>
      <c r="G3" s="202" t="s">
        <v>250</v>
      </c>
      <c r="H3" s="202" t="s">
        <v>250</v>
      </c>
      <c r="I3" s="202" t="s">
        <v>250</v>
      </c>
      <c r="J3" s="202" t="s">
        <v>250</v>
      </c>
      <c r="K3" s="202" t="s">
        <v>250</v>
      </c>
      <c r="L3" s="202" t="s">
        <v>180</v>
      </c>
      <c r="M3" s="202" t="s">
        <v>180</v>
      </c>
      <c r="N3" s="202" t="s">
        <v>189</v>
      </c>
      <c r="O3" s="202" t="s">
        <v>189</v>
      </c>
      <c r="P3" s="202" t="s">
        <v>250</v>
      </c>
      <c r="Q3" s="202" t="s">
        <v>250</v>
      </c>
      <c r="R3" s="202" t="s">
        <v>180</v>
      </c>
      <c r="S3" s="202" t="s">
        <v>180</v>
      </c>
      <c r="T3" s="202" t="s">
        <v>180</v>
      </c>
      <c r="U3" s="202" t="s">
        <v>180</v>
      </c>
      <c r="V3" s="202" t="s">
        <v>189</v>
      </c>
      <c r="W3" s="202" t="s">
        <v>189</v>
      </c>
      <c r="X3" s="202" t="s">
        <v>189</v>
      </c>
      <c r="Y3" s="202" t="s">
        <v>189</v>
      </c>
      <c r="Z3" s="202" t="s">
        <v>189</v>
      </c>
      <c r="AA3" s="202" t="s">
        <v>189</v>
      </c>
      <c r="AB3" s="202" t="s">
        <v>166</v>
      </c>
      <c r="AC3" s="202" t="s">
        <v>166</v>
      </c>
      <c r="AD3" s="202" t="s">
        <v>166</v>
      </c>
      <c r="AE3" s="202" t="s">
        <v>166</v>
      </c>
      <c r="AF3" s="202" t="s">
        <v>166</v>
      </c>
      <c r="AG3" s="202" t="s">
        <v>166</v>
      </c>
      <c r="AH3" s="202" t="s">
        <v>169</v>
      </c>
      <c r="AI3" s="202" t="s">
        <v>169</v>
      </c>
      <c r="AJ3" s="202" t="s">
        <v>169</v>
      </c>
      <c r="AK3" s="202" t="s">
        <v>169</v>
      </c>
      <c r="AL3" s="202" t="s">
        <v>169</v>
      </c>
      <c r="AM3" s="202" t="s">
        <v>169</v>
      </c>
      <c r="AN3" s="202" t="s">
        <v>477</v>
      </c>
      <c r="AO3" s="202" t="s">
        <v>477</v>
      </c>
      <c r="AP3" s="202" t="s">
        <v>5</v>
      </c>
      <c r="AQ3" s="202" t="s">
        <v>5</v>
      </c>
      <c r="AR3" s="202" t="s">
        <v>5</v>
      </c>
      <c r="AS3" s="202" t="s">
        <v>5</v>
      </c>
      <c r="AT3" s="202" t="s">
        <v>3</v>
      </c>
      <c r="AU3" s="202" t="s">
        <v>3</v>
      </c>
    </row>
    <row r="4" spans="1:47" x14ac:dyDescent="0.25">
      <c r="B4" s="202" t="s">
        <v>170</v>
      </c>
      <c r="C4" s="202" t="s">
        <v>170</v>
      </c>
      <c r="L4" s="202" t="s">
        <v>170</v>
      </c>
      <c r="M4" s="202" t="s">
        <v>170</v>
      </c>
      <c r="P4" s="202" t="s">
        <v>255</v>
      </c>
      <c r="Q4" s="202" t="s">
        <v>255</v>
      </c>
      <c r="R4" s="202" t="s">
        <v>170</v>
      </c>
      <c r="S4" s="202" t="s">
        <v>170</v>
      </c>
      <c r="T4" s="202" t="s">
        <v>170</v>
      </c>
      <c r="U4" s="202" t="s">
        <v>170</v>
      </c>
      <c r="AH4" s="202" t="s">
        <v>24</v>
      </c>
      <c r="AI4" s="202" t="s">
        <v>24</v>
      </c>
      <c r="AJ4" s="202" t="s">
        <v>24</v>
      </c>
      <c r="AK4" s="202" t="s">
        <v>24</v>
      </c>
      <c r="AL4" s="202" t="s">
        <v>24</v>
      </c>
      <c r="AM4" s="202" t="s">
        <v>24</v>
      </c>
      <c r="AN4" s="202" t="s">
        <v>179</v>
      </c>
      <c r="AO4" s="202" t="s">
        <v>179</v>
      </c>
      <c r="AP4" s="202" t="s">
        <v>6</v>
      </c>
      <c r="AQ4" s="202" t="s">
        <v>6</v>
      </c>
      <c r="AR4" s="202" t="s">
        <v>6</v>
      </c>
      <c r="AS4" s="202" t="s">
        <v>6</v>
      </c>
      <c r="AT4" s="202" t="s">
        <v>24</v>
      </c>
      <c r="AU4" s="202" t="s">
        <v>24</v>
      </c>
    </row>
    <row r="5" spans="1:47" x14ac:dyDescent="0.25">
      <c r="P5" s="202" t="s">
        <v>256</v>
      </c>
      <c r="Q5" s="202" t="s">
        <v>256</v>
      </c>
      <c r="AH5" s="202" t="s">
        <v>182</v>
      </c>
      <c r="AI5" s="202" t="s">
        <v>182</v>
      </c>
      <c r="AJ5" s="202" t="s">
        <v>182</v>
      </c>
      <c r="AK5" s="202" t="s">
        <v>182</v>
      </c>
      <c r="AL5" s="202" t="s">
        <v>182</v>
      </c>
      <c r="AM5" s="202" t="s">
        <v>182</v>
      </c>
      <c r="AN5" s="202" t="s">
        <v>180</v>
      </c>
      <c r="AO5" s="202" t="s">
        <v>180</v>
      </c>
      <c r="AP5" s="202" t="s">
        <v>7</v>
      </c>
      <c r="AQ5" s="202" t="s">
        <v>7</v>
      </c>
      <c r="AR5" s="202" t="s">
        <v>7</v>
      </c>
      <c r="AS5" s="202" t="s">
        <v>7</v>
      </c>
      <c r="AT5" s="202" t="s">
        <v>4</v>
      </c>
      <c r="AU5" s="202" t="s">
        <v>4</v>
      </c>
    </row>
    <row r="6" spans="1:47" x14ac:dyDescent="0.25">
      <c r="AH6" s="202" t="s">
        <v>166</v>
      </c>
      <c r="AI6" s="202" t="s">
        <v>166</v>
      </c>
      <c r="AJ6" s="202" t="s">
        <v>166</v>
      </c>
      <c r="AK6" s="202" t="s">
        <v>166</v>
      </c>
      <c r="AL6" s="202" t="s">
        <v>166</v>
      </c>
      <c r="AM6" s="202" t="s">
        <v>166</v>
      </c>
      <c r="AP6" s="202" t="s">
        <v>191</v>
      </c>
      <c r="AQ6" s="202" t="s">
        <v>191</v>
      </c>
      <c r="AR6" s="202" t="s">
        <v>191</v>
      </c>
      <c r="AS6" s="202" t="s">
        <v>191</v>
      </c>
      <c r="AT6" s="202" t="s">
        <v>5</v>
      </c>
      <c r="AU6" s="202" t="s">
        <v>5</v>
      </c>
    </row>
    <row r="7" spans="1:47" x14ac:dyDescent="0.25">
      <c r="AH7" s="202" t="s">
        <v>167</v>
      </c>
      <c r="AI7" s="202" t="s">
        <v>167</v>
      </c>
      <c r="AJ7" s="202" t="s">
        <v>167</v>
      </c>
      <c r="AK7" s="202" t="s">
        <v>167</v>
      </c>
      <c r="AL7" s="202" t="s">
        <v>167</v>
      </c>
      <c r="AM7" s="202" t="s">
        <v>167</v>
      </c>
      <c r="AP7" s="202" t="s">
        <v>478</v>
      </c>
      <c r="AQ7" s="202" t="s">
        <v>478</v>
      </c>
      <c r="AR7" s="202" t="s">
        <v>478</v>
      </c>
      <c r="AS7" s="202" t="s">
        <v>478</v>
      </c>
      <c r="AT7" s="202" t="s">
        <v>6</v>
      </c>
      <c r="AU7" s="202" t="s">
        <v>6</v>
      </c>
    </row>
    <row r="8" spans="1:47" x14ac:dyDescent="0.25">
      <c r="AH8" s="202" t="s">
        <v>184</v>
      </c>
      <c r="AI8" s="202" t="s">
        <v>184</v>
      </c>
      <c r="AJ8" s="202" t="s">
        <v>184</v>
      </c>
      <c r="AK8" s="202" t="s">
        <v>184</v>
      </c>
      <c r="AL8" s="202" t="s">
        <v>184</v>
      </c>
      <c r="AM8" s="202" t="s">
        <v>184</v>
      </c>
      <c r="AP8" s="202" t="s">
        <v>10</v>
      </c>
      <c r="AQ8" s="202" t="s">
        <v>10</v>
      </c>
      <c r="AR8" s="202" t="s">
        <v>10</v>
      </c>
      <c r="AS8" s="202" t="s">
        <v>10</v>
      </c>
      <c r="AT8" s="202" t="s">
        <v>7</v>
      </c>
      <c r="AU8" s="202" t="s">
        <v>7</v>
      </c>
    </row>
    <row r="9" spans="1:47" x14ac:dyDescent="0.25">
      <c r="AH9" s="202" t="s">
        <v>168</v>
      </c>
      <c r="AI9" s="202" t="s">
        <v>168</v>
      </c>
      <c r="AJ9" s="202" t="s">
        <v>168</v>
      </c>
      <c r="AK9" s="202" t="s">
        <v>168</v>
      </c>
      <c r="AL9" s="202" t="s">
        <v>168</v>
      </c>
      <c r="AM9" s="202" t="s">
        <v>168</v>
      </c>
      <c r="AP9" s="202" t="s">
        <v>11</v>
      </c>
      <c r="AQ9" s="202" t="s">
        <v>11</v>
      </c>
      <c r="AR9" s="202" t="s">
        <v>11</v>
      </c>
      <c r="AS9" s="202" t="s">
        <v>11</v>
      </c>
      <c r="AT9" s="202" t="s">
        <v>191</v>
      </c>
      <c r="AU9" s="202" t="s">
        <v>191</v>
      </c>
    </row>
    <row r="10" spans="1:47" x14ac:dyDescent="0.25">
      <c r="AH10" s="202" t="s">
        <v>183</v>
      </c>
      <c r="AI10" s="202" t="s">
        <v>183</v>
      </c>
      <c r="AJ10" s="202" t="s">
        <v>183</v>
      </c>
      <c r="AK10" s="202" t="s">
        <v>183</v>
      </c>
      <c r="AL10" s="202" t="s">
        <v>183</v>
      </c>
      <c r="AM10" s="202" t="s">
        <v>183</v>
      </c>
      <c r="AP10" s="202" t="s">
        <v>112</v>
      </c>
      <c r="AQ10" s="202" t="s">
        <v>112</v>
      </c>
      <c r="AR10" s="202" t="s">
        <v>112</v>
      </c>
      <c r="AS10" s="202" t="s">
        <v>112</v>
      </c>
      <c r="AT10" s="202" t="s">
        <v>478</v>
      </c>
      <c r="AU10" s="202" t="s">
        <v>478</v>
      </c>
    </row>
    <row r="11" spans="1:47" x14ac:dyDescent="0.25">
      <c r="AP11" s="202" t="s">
        <v>12</v>
      </c>
      <c r="AQ11" s="202" t="s">
        <v>12</v>
      </c>
      <c r="AR11" s="202" t="s">
        <v>12</v>
      </c>
      <c r="AS11" s="202" t="s">
        <v>12</v>
      </c>
      <c r="AT11" s="202" t="s">
        <v>10</v>
      </c>
      <c r="AU11" s="202" t="s">
        <v>10</v>
      </c>
    </row>
    <row r="12" spans="1:47" x14ac:dyDescent="0.25">
      <c r="AP12" s="202" t="s">
        <v>14</v>
      </c>
      <c r="AQ12" s="202" t="s">
        <v>14</v>
      </c>
      <c r="AR12" s="202" t="s">
        <v>14</v>
      </c>
      <c r="AS12" s="202" t="s">
        <v>14</v>
      </c>
      <c r="AT12" s="202" t="s">
        <v>11</v>
      </c>
      <c r="AU12" s="202" t="s">
        <v>11</v>
      </c>
    </row>
    <row r="13" spans="1:47" x14ac:dyDescent="0.25">
      <c r="AP13" s="202" t="s">
        <v>13</v>
      </c>
      <c r="AQ13" s="202" t="s">
        <v>13</v>
      </c>
      <c r="AR13" s="202" t="s">
        <v>13</v>
      </c>
      <c r="AS13" s="202" t="s">
        <v>13</v>
      </c>
      <c r="AT13" s="202" t="s">
        <v>112</v>
      </c>
      <c r="AU13" s="202" t="s">
        <v>112</v>
      </c>
    </row>
    <row r="14" spans="1:47" x14ac:dyDescent="0.25">
      <c r="AP14" s="202" t="s">
        <v>479</v>
      </c>
      <c r="AQ14" s="202" t="s">
        <v>479</v>
      </c>
      <c r="AR14" s="202" t="s">
        <v>479</v>
      </c>
      <c r="AS14" s="202" t="s">
        <v>479</v>
      </c>
      <c r="AT14" s="202" t="s">
        <v>12</v>
      </c>
      <c r="AU14" s="202" t="s">
        <v>12</v>
      </c>
    </row>
    <row r="15" spans="1:47" x14ac:dyDescent="0.25">
      <c r="AP15" s="202" t="s">
        <v>17</v>
      </c>
      <c r="AQ15" s="202" t="s">
        <v>17</v>
      </c>
      <c r="AR15" s="202" t="s">
        <v>17</v>
      </c>
      <c r="AS15" s="202" t="s">
        <v>17</v>
      </c>
      <c r="AT15" s="202" t="s">
        <v>14</v>
      </c>
      <c r="AU15" s="202" t="s">
        <v>14</v>
      </c>
    </row>
    <row r="16" spans="1:47" x14ac:dyDescent="0.25">
      <c r="AP16" s="202" t="s">
        <v>18</v>
      </c>
      <c r="AQ16" s="202" t="s">
        <v>18</v>
      </c>
      <c r="AR16" s="202" t="s">
        <v>18</v>
      </c>
      <c r="AS16" s="202" t="s">
        <v>18</v>
      </c>
      <c r="AT16" s="202" t="s">
        <v>13</v>
      </c>
      <c r="AU16" s="202" t="s">
        <v>13</v>
      </c>
    </row>
    <row r="17" spans="42:47" x14ac:dyDescent="0.25">
      <c r="AP17" s="202" t="s">
        <v>20</v>
      </c>
      <c r="AQ17" s="202" t="s">
        <v>20</v>
      </c>
      <c r="AR17" s="202" t="s">
        <v>20</v>
      </c>
      <c r="AS17" s="202" t="s">
        <v>20</v>
      </c>
      <c r="AT17" s="202" t="s">
        <v>479</v>
      </c>
      <c r="AU17" s="202" t="s">
        <v>479</v>
      </c>
    </row>
    <row r="18" spans="42:47" x14ac:dyDescent="0.25">
      <c r="AP18" s="202" t="s">
        <v>19</v>
      </c>
      <c r="AQ18" s="202" t="s">
        <v>19</v>
      </c>
      <c r="AR18" s="202" t="s">
        <v>19</v>
      </c>
      <c r="AS18" s="202" t="s">
        <v>19</v>
      </c>
      <c r="AT18" s="202" t="s">
        <v>17</v>
      </c>
      <c r="AU18" s="202" t="s">
        <v>17</v>
      </c>
    </row>
    <row r="19" spans="42:47" x14ac:dyDescent="0.25">
      <c r="AP19" s="202" t="s">
        <v>22</v>
      </c>
      <c r="AQ19" s="202" t="s">
        <v>22</v>
      </c>
      <c r="AR19" s="202" t="s">
        <v>22</v>
      </c>
      <c r="AS19" s="202" t="s">
        <v>22</v>
      </c>
      <c r="AT19" s="202" t="s">
        <v>18</v>
      </c>
      <c r="AU19" s="202" t="s">
        <v>18</v>
      </c>
    </row>
    <row r="20" spans="42:47" x14ac:dyDescent="0.25">
      <c r="AT20" s="202" t="s">
        <v>20</v>
      </c>
      <c r="AU20" s="202" t="s">
        <v>20</v>
      </c>
    </row>
    <row r="21" spans="42:47" x14ac:dyDescent="0.25">
      <c r="AT21" s="202" t="s">
        <v>19</v>
      </c>
      <c r="AU21" s="202" t="s">
        <v>19</v>
      </c>
    </row>
    <row r="22" spans="42:47" x14ac:dyDescent="0.25">
      <c r="AT22" s="202" t="s">
        <v>22</v>
      </c>
      <c r="AU22" s="202" t="s">
        <v>22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28430"/>
  </sheetPr>
  <dimension ref="A2:G130"/>
  <sheetViews>
    <sheetView topLeftCell="A25" workbookViewId="0">
      <selection activeCell="G33" sqref="G33"/>
    </sheetView>
  </sheetViews>
  <sheetFormatPr defaultRowHeight="14.25" x14ac:dyDescent="0.2"/>
  <cols>
    <col min="1" max="1" width="9.140625" style="203"/>
    <col min="2" max="2" width="19.28515625" style="217" customWidth="1"/>
    <col min="3" max="6" width="19.28515625" style="218" customWidth="1"/>
    <col min="7" max="11" width="19.28515625" style="203" customWidth="1"/>
    <col min="12" max="16384" width="9.140625" style="203"/>
  </cols>
  <sheetData>
    <row r="2" spans="2:6" x14ac:dyDescent="0.2">
      <c r="B2" s="215"/>
    </row>
    <row r="3" spans="2:6" x14ac:dyDescent="0.2">
      <c r="B3" s="215"/>
    </row>
    <row r="4" spans="2:6" x14ac:dyDescent="0.2">
      <c r="B4" s="215"/>
    </row>
    <row r="5" spans="2:6" x14ac:dyDescent="0.2">
      <c r="B5" s="215"/>
    </row>
    <row r="6" spans="2:6" x14ac:dyDescent="0.2">
      <c r="B6" s="215"/>
    </row>
    <row r="7" spans="2:6" x14ac:dyDescent="0.2">
      <c r="B7" s="215"/>
    </row>
    <row r="8" spans="2:6" x14ac:dyDescent="0.2">
      <c r="B8" s="359"/>
      <c r="C8" s="359"/>
      <c r="D8" s="359"/>
      <c r="E8" s="359"/>
      <c r="F8" s="359"/>
    </row>
    <row r="9" spans="2:6" ht="21" x14ac:dyDescent="0.2">
      <c r="B9" s="369" t="s">
        <v>495</v>
      </c>
      <c r="C9" s="369"/>
      <c r="D9" s="369"/>
      <c r="E9" s="369"/>
      <c r="F9" s="369"/>
    </row>
    <row r="10" spans="2:6" x14ac:dyDescent="0.2">
      <c r="B10" s="367" t="s">
        <v>313</v>
      </c>
      <c r="C10" s="367"/>
      <c r="D10" s="367"/>
      <c r="E10" s="367"/>
      <c r="F10" s="367"/>
    </row>
    <row r="11" spans="2:6" x14ac:dyDescent="0.2">
      <c r="B11" s="203"/>
      <c r="C11" s="313">
        <f>+Plaasinligting!C41</f>
        <v>0</v>
      </c>
      <c r="D11" s="313"/>
      <c r="E11" s="313"/>
      <c r="F11" s="203"/>
    </row>
    <row r="12" spans="2:6" x14ac:dyDescent="0.2">
      <c r="B12" s="367" t="s">
        <v>314</v>
      </c>
      <c r="C12" s="367"/>
      <c r="D12" s="367"/>
      <c r="E12" s="367"/>
      <c r="F12" s="367"/>
    </row>
    <row r="13" spans="2:6" x14ac:dyDescent="0.2">
      <c r="B13" s="367" t="s">
        <v>315</v>
      </c>
      <c r="C13" s="367"/>
      <c r="D13" s="367"/>
      <c r="E13" s="367"/>
      <c r="F13" s="367"/>
    </row>
    <row r="14" spans="2:6" x14ac:dyDescent="0.2">
      <c r="B14" s="367" t="s">
        <v>316</v>
      </c>
      <c r="C14" s="367"/>
      <c r="D14" s="367"/>
      <c r="E14" s="367"/>
      <c r="F14" s="367"/>
    </row>
    <row r="15" spans="2:6" x14ac:dyDescent="0.2">
      <c r="B15" s="367" t="s">
        <v>317</v>
      </c>
      <c r="C15" s="367"/>
      <c r="D15" s="367"/>
      <c r="E15" s="367"/>
      <c r="F15" s="367"/>
    </row>
    <row r="16" spans="2:6" x14ac:dyDescent="0.2">
      <c r="B16" s="367"/>
      <c r="C16" s="367"/>
      <c r="D16" s="367"/>
      <c r="E16" s="367"/>
      <c r="F16" s="367"/>
    </row>
    <row r="17" spans="2:7" x14ac:dyDescent="0.2">
      <c r="B17" s="359"/>
      <c r="C17" s="359"/>
      <c r="D17" s="359"/>
      <c r="E17" s="359"/>
      <c r="F17" s="359"/>
    </row>
    <row r="18" spans="2:7" ht="15" x14ac:dyDescent="0.2">
      <c r="B18" s="368" t="s">
        <v>334</v>
      </c>
      <c r="C18" s="368"/>
      <c r="D18" s="368"/>
      <c r="E18" s="368"/>
      <c r="F18" s="368"/>
    </row>
    <row r="19" spans="2:7" ht="32.25" customHeight="1" x14ac:dyDescent="0.2">
      <c r="B19" s="360" t="s">
        <v>318</v>
      </c>
      <c r="C19" s="360"/>
      <c r="D19" s="360"/>
      <c r="E19" s="360"/>
      <c r="F19" s="360"/>
    </row>
    <row r="20" spans="2:7" ht="51.75" customHeight="1" x14ac:dyDescent="0.2">
      <c r="B20" s="365" t="s">
        <v>335</v>
      </c>
      <c r="C20" s="365"/>
      <c r="D20" s="365"/>
      <c r="E20" s="365"/>
      <c r="F20" s="365"/>
    </row>
    <row r="21" spans="2:7" ht="33" customHeight="1" x14ac:dyDescent="0.2">
      <c r="B21" s="365" t="s">
        <v>336</v>
      </c>
      <c r="C21" s="365"/>
      <c r="D21" s="365"/>
      <c r="E21" s="365"/>
      <c r="F21" s="365"/>
      <c r="G21" s="312" t="s">
        <v>431</v>
      </c>
    </row>
    <row r="22" spans="2:7" ht="15" x14ac:dyDescent="0.2">
      <c r="B22" s="366" t="s">
        <v>337</v>
      </c>
      <c r="C22" s="366"/>
      <c r="D22" s="366"/>
      <c r="E22" s="366"/>
      <c r="F22" s="366"/>
      <c r="G22" s="312" t="s">
        <v>497</v>
      </c>
    </row>
    <row r="23" spans="2:7" ht="15" x14ac:dyDescent="0.2">
      <c r="B23" s="366" t="s">
        <v>338</v>
      </c>
      <c r="C23" s="366"/>
      <c r="D23" s="366"/>
      <c r="E23" s="366"/>
      <c r="F23" s="366"/>
    </row>
    <row r="24" spans="2:7" x14ac:dyDescent="0.2">
      <c r="B24" s="203"/>
      <c r="C24" s="313">
        <f>+Plaasinligting!E33</f>
        <v>0</v>
      </c>
      <c r="D24" s="313"/>
      <c r="E24" s="313"/>
      <c r="F24" s="203"/>
    </row>
    <row r="25" spans="2:7" ht="15" x14ac:dyDescent="0.2">
      <c r="B25" s="366" t="s">
        <v>339</v>
      </c>
      <c r="C25" s="366"/>
      <c r="D25" s="366"/>
      <c r="E25" s="366"/>
      <c r="F25" s="366"/>
    </row>
    <row r="26" spans="2:7" ht="46.5" customHeight="1" x14ac:dyDescent="0.2">
      <c r="B26" s="365" t="s">
        <v>340</v>
      </c>
      <c r="C26" s="365"/>
      <c r="D26" s="365"/>
      <c r="E26" s="365"/>
      <c r="F26" s="365"/>
    </row>
    <row r="27" spans="2:7" ht="30" customHeight="1" x14ac:dyDescent="0.2">
      <c r="B27" s="365" t="s">
        <v>341</v>
      </c>
      <c r="C27" s="365"/>
      <c r="D27" s="365"/>
      <c r="E27" s="365"/>
      <c r="F27" s="365"/>
    </row>
    <row r="28" spans="2:7" ht="30" customHeight="1" x14ac:dyDescent="0.2">
      <c r="B28" s="365" t="s">
        <v>342</v>
      </c>
      <c r="C28" s="365"/>
      <c r="D28" s="365"/>
      <c r="E28" s="365"/>
      <c r="F28" s="365"/>
      <c r="G28" s="312" t="s">
        <v>498</v>
      </c>
    </row>
    <row r="29" spans="2:7" ht="30.75" customHeight="1" x14ac:dyDescent="0.2">
      <c r="B29" s="365" t="s">
        <v>343</v>
      </c>
      <c r="C29" s="365"/>
      <c r="D29" s="365"/>
      <c r="E29" s="365"/>
      <c r="F29" s="365"/>
    </row>
    <row r="30" spans="2:7" ht="46.5" customHeight="1" x14ac:dyDescent="0.2">
      <c r="B30" s="365" t="s">
        <v>344</v>
      </c>
      <c r="C30" s="365"/>
      <c r="D30" s="365"/>
      <c r="E30" s="365"/>
      <c r="F30" s="365"/>
    </row>
    <row r="31" spans="2:7" ht="38.25" customHeight="1" x14ac:dyDescent="0.2">
      <c r="B31" s="365" t="s">
        <v>345</v>
      </c>
      <c r="C31" s="365"/>
      <c r="D31" s="365"/>
      <c r="E31" s="365"/>
      <c r="F31" s="365"/>
      <c r="G31" s="312" t="s">
        <v>498</v>
      </c>
    </row>
    <row r="32" spans="2:7" ht="45.75" customHeight="1" x14ac:dyDescent="0.2">
      <c r="B32" s="365" t="s">
        <v>346</v>
      </c>
      <c r="C32" s="365"/>
      <c r="D32" s="365"/>
      <c r="E32" s="365"/>
      <c r="F32" s="365"/>
      <c r="G32" s="312" t="s">
        <v>499</v>
      </c>
    </row>
    <row r="33" spans="2:6" x14ac:dyDescent="0.2">
      <c r="B33" s="359"/>
      <c r="C33" s="359"/>
      <c r="D33" s="359"/>
      <c r="E33" s="359"/>
      <c r="F33" s="359"/>
    </row>
    <row r="34" spans="2:6" ht="15" x14ac:dyDescent="0.2">
      <c r="B34" s="358" t="s">
        <v>347</v>
      </c>
      <c r="C34" s="358"/>
      <c r="D34" s="358"/>
      <c r="E34" s="358"/>
      <c r="F34" s="358"/>
    </row>
    <row r="35" spans="2:6" ht="45.75" customHeight="1" x14ac:dyDescent="0.2">
      <c r="B35" s="365" t="s">
        <v>319</v>
      </c>
      <c r="C35" s="365"/>
      <c r="D35" s="365"/>
      <c r="E35" s="365"/>
      <c r="F35" s="365"/>
    </row>
    <row r="36" spans="2:6" x14ac:dyDescent="0.2">
      <c r="B36" s="359"/>
      <c r="C36" s="359"/>
      <c r="D36" s="359"/>
      <c r="E36" s="359"/>
      <c r="F36" s="359"/>
    </row>
    <row r="37" spans="2:6" ht="15" x14ac:dyDescent="0.2">
      <c r="B37" s="358" t="s">
        <v>348</v>
      </c>
      <c r="C37" s="358"/>
      <c r="D37" s="358"/>
      <c r="E37" s="358"/>
      <c r="F37" s="358"/>
    </row>
    <row r="38" spans="2:6" x14ac:dyDescent="0.2">
      <c r="B38" s="359" t="s">
        <v>320</v>
      </c>
      <c r="C38" s="359"/>
      <c r="D38" s="359"/>
      <c r="E38" s="359"/>
      <c r="F38" s="359"/>
    </row>
    <row r="39" spans="2:6" x14ac:dyDescent="0.2">
      <c r="B39" s="214"/>
      <c r="C39" s="214"/>
      <c r="D39" s="214"/>
      <c r="E39" s="214"/>
      <c r="F39" s="214"/>
    </row>
    <row r="40" spans="2:6" ht="15" x14ac:dyDescent="0.2">
      <c r="B40" s="358" t="s">
        <v>349</v>
      </c>
      <c r="C40" s="358"/>
      <c r="D40" s="358"/>
      <c r="E40" s="358"/>
      <c r="F40" s="358"/>
    </row>
    <row r="41" spans="2:6" x14ac:dyDescent="0.2">
      <c r="B41" s="359" t="s">
        <v>332</v>
      </c>
      <c r="C41" s="359"/>
      <c r="D41" s="359"/>
      <c r="E41" s="359"/>
      <c r="F41" s="359"/>
    </row>
    <row r="42" spans="2:6" x14ac:dyDescent="0.2">
      <c r="B42" s="203"/>
      <c r="C42" s="361">
        <f>+Gewasbeskermingsprogram!C9</f>
        <v>0</v>
      </c>
      <c r="D42" s="361"/>
      <c r="E42" s="361"/>
      <c r="F42" s="203" t="s">
        <v>333</v>
      </c>
    </row>
    <row r="43" spans="2:6" x14ac:dyDescent="0.2">
      <c r="B43" s="359"/>
      <c r="C43" s="359"/>
      <c r="D43" s="359"/>
      <c r="E43" s="359"/>
      <c r="F43" s="359"/>
    </row>
    <row r="44" spans="2:6" ht="17.25" x14ac:dyDescent="0.2">
      <c r="B44" s="358" t="s">
        <v>350</v>
      </c>
      <c r="C44" s="358"/>
      <c r="D44" s="358"/>
      <c r="E44" s="358"/>
      <c r="F44" s="358"/>
    </row>
    <row r="45" spans="2:6" ht="16.5" x14ac:dyDescent="0.2">
      <c r="B45" s="359" t="s">
        <v>351</v>
      </c>
      <c r="C45" s="359"/>
      <c r="D45" s="359"/>
      <c r="E45" s="359"/>
      <c r="F45" s="359"/>
    </row>
    <row r="46" spans="2:6" ht="30.75" customHeight="1" x14ac:dyDescent="0.2">
      <c r="B46" s="365" t="s">
        <v>321</v>
      </c>
      <c r="C46" s="365"/>
      <c r="D46" s="365"/>
      <c r="E46" s="365"/>
      <c r="F46" s="365"/>
    </row>
    <row r="47" spans="2:6" ht="30.75" customHeight="1" x14ac:dyDescent="0.2">
      <c r="B47" s="365" t="s">
        <v>352</v>
      </c>
      <c r="C47" s="365"/>
      <c r="D47" s="365"/>
      <c r="E47" s="365"/>
      <c r="F47" s="365"/>
    </row>
    <row r="48" spans="2:6" ht="32.25" customHeight="1" x14ac:dyDescent="0.2">
      <c r="B48" s="365" t="s">
        <v>353</v>
      </c>
      <c r="C48" s="365"/>
      <c r="D48" s="365"/>
      <c r="E48" s="365"/>
      <c r="F48" s="365"/>
    </row>
    <row r="49" spans="2:6" ht="31.5" customHeight="1" x14ac:dyDescent="0.2">
      <c r="B49" s="365" t="s">
        <v>354</v>
      </c>
      <c r="C49" s="365"/>
      <c r="D49" s="365"/>
      <c r="E49" s="365"/>
      <c r="F49" s="365"/>
    </row>
    <row r="50" spans="2:6" ht="66" customHeight="1" x14ac:dyDescent="0.2">
      <c r="B50" s="365" t="s">
        <v>355</v>
      </c>
      <c r="C50" s="365"/>
      <c r="D50" s="365"/>
      <c r="E50" s="365"/>
      <c r="F50" s="365"/>
    </row>
    <row r="51" spans="2:6" ht="45" customHeight="1" x14ac:dyDescent="0.2">
      <c r="B51" s="365" t="s">
        <v>356</v>
      </c>
      <c r="C51" s="365"/>
      <c r="D51" s="365"/>
      <c r="E51" s="365"/>
      <c r="F51" s="365"/>
    </row>
    <row r="52" spans="2:6" ht="46.5" customHeight="1" x14ac:dyDescent="0.2">
      <c r="B52" s="365" t="s">
        <v>357</v>
      </c>
      <c r="C52" s="365"/>
      <c r="D52" s="365"/>
      <c r="E52" s="365"/>
      <c r="F52" s="365"/>
    </row>
    <row r="53" spans="2:6" x14ac:dyDescent="0.2">
      <c r="B53" s="359"/>
      <c r="C53" s="359"/>
      <c r="D53" s="359"/>
      <c r="E53" s="359"/>
      <c r="F53" s="359"/>
    </row>
    <row r="54" spans="2:6" ht="15" x14ac:dyDescent="0.2">
      <c r="B54" s="358" t="s">
        <v>358</v>
      </c>
      <c r="C54" s="358"/>
      <c r="D54" s="358"/>
      <c r="E54" s="358"/>
      <c r="F54" s="358"/>
    </row>
    <row r="55" spans="2:6" ht="64.5" customHeight="1" x14ac:dyDescent="0.2">
      <c r="B55" s="365" t="s">
        <v>322</v>
      </c>
      <c r="C55" s="365"/>
      <c r="D55" s="365"/>
      <c r="E55" s="365"/>
      <c r="F55" s="365"/>
    </row>
    <row r="56" spans="2:6" x14ac:dyDescent="0.2">
      <c r="B56" s="359"/>
      <c r="C56" s="359"/>
      <c r="D56" s="359"/>
      <c r="E56" s="359"/>
      <c r="F56" s="359"/>
    </row>
    <row r="57" spans="2:6" ht="17.25" x14ac:dyDescent="0.2">
      <c r="B57" s="358" t="s">
        <v>359</v>
      </c>
      <c r="C57" s="358"/>
      <c r="D57" s="358"/>
      <c r="E57" s="358"/>
      <c r="F57" s="358"/>
    </row>
    <row r="58" spans="2:6" ht="33.75" customHeight="1" x14ac:dyDescent="0.2">
      <c r="B58" s="365" t="s">
        <v>381</v>
      </c>
      <c r="C58" s="365"/>
      <c r="D58" s="365"/>
      <c r="E58" s="365"/>
      <c r="F58" s="365"/>
    </row>
    <row r="59" spans="2:6" ht="17.25" customHeight="1" x14ac:dyDescent="0.2">
      <c r="B59" s="362">
        <f>+Verskansingsvoordeel!C14</f>
        <v>0</v>
      </c>
      <c r="C59" s="363"/>
      <c r="D59" s="364" t="s">
        <v>382</v>
      </c>
      <c r="E59" s="364"/>
      <c r="F59" s="216"/>
    </row>
    <row r="60" spans="2:6" ht="16.5" x14ac:dyDescent="0.2">
      <c r="B60" s="359" t="s">
        <v>360</v>
      </c>
      <c r="C60" s="359"/>
      <c r="D60" s="359"/>
      <c r="E60" s="359"/>
      <c r="F60" s="359"/>
    </row>
    <row r="61" spans="2:6" ht="34.5" customHeight="1" x14ac:dyDescent="0.2">
      <c r="B61" s="365" t="s">
        <v>323</v>
      </c>
      <c r="C61" s="365"/>
      <c r="D61" s="365"/>
      <c r="E61" s="365"/>
      <c r="F61" s="365"/>
    </row>
    <row r="62" spans="2:6" ht="33.75" customHeight="1" x14ac:dyDescent="0.2">
      <c r="B62" s="365" t="s">
        <v>361</v>
      </c>
      <c r="C62" s="365"/>
      <c r="D62" s="365"/>
      <c r="E62" s="365"/>
      <c r="F62" s="365"/>
    </row>
    <row r="63" spans="2:6" ht="68.25" customHeight="1" x14ac:dyDescent="0.2">
      <c r="B63" s="365" t="s">
        <v>362</v>
      </c>
      <c r="C63" s="365"/>
      <c r="D63" s="365"/>
      <c r="E63" s="365"/>
      <c r="F63" s="365"/>
    </row>
    <row r="64" spans="2:6" ht="47.25" customHeight="1" x14ac:dyDescent="0.2">
      <c r="B64" s="365" t="s">
        <v>363</v>
      </c>
      <c r="C64" s="365"/>
      <c r="D64" s="365"/>
      <c r="E64" s="365"/>
      <c r="F64" s="365"/>
    </row>
    <row r="65" spans="2:6" x14ac:dyDescent="0.2">
      <c r="B65" s="359"/>
      <c r="C65" s="359"/>
      <c r="D65" s="359"/>
      <c r="E65" s="359"/>
      <c r="F65" s="359"/>
    </row>
    <row r="66" spans="2:6" ht="15" x14ac:dyDescent="0.2">
      <c r="B66" s="358" t="s">
        <v>364</v>
      </c>
      <c r="C66" s="358"/>
      <c r="D66" s="358"/>
      <c r="E66" s="358"/>
      <c r="F66" s="358"/>
    </row>
    <row r="67" spans="2:6" ht="15" x14ac:dyDescent="0.2">
      <c r="B67" s="359" t="s">
        <v>365</v>
      </c>
      <c r="C67" s="359"/>
      <c r="D67" s="359"/>
      <c r="E67" s="359"/>
      <c r="F67" s="359"/>
    </row>
    <row r="68" spans="2:6" ht="59.25" customHeight="1" x14ac:dyDescent="0.2">
      <c r="B68" s="365" t="s">
        <v>366</v>
      </c>
      <c r="C68" s="365"/>
      <c r="D68" s="365"/>
      <c r="E68" s="365"/>
      <c r="F68" s="365"/>
    </row>
    <row r="69" spans="2:6" ht="42.75" customHeight="1" x14ac:dyDescent="0.2">
      <c r="B69" s="354">
        <f>+Plaasinligting!E13</f>
        <v>0</v>
      </c>
      <c r="C69" s="354"/>
      <c r="E69" s="353"/>
      <c r="F69" s="353"/>
    </row>
    <row r="70" spans="2:6" ht="4.5" customHeight="1" x14ac:dyDescent="0.2">
      <c r="B70" s="219"/>
      <c r="C70" s="220"/>
      <c r="E70" s="220"/>
      <c r="F70" s="220"/>
    </row>
    <row r="71" spans="2:6" ht="37.5" customHeight="1" x14ac:dyDescent="0.2">
      <c r="E71" s="353"/>
      <c r="F71" s="353"/>
    </row>
    <row r="72" spans="2:6" ht="4.5" customHeight="1" x14ac:dyDescent="0.2">
      <c r="E72" s="220"/>
      <c r="F72" s="220"/>
    </row>
    <row r="73" spans="2:6" ht="42" customHeight="1" x14ac:dyDescent="0.2">
      <c r="E73" s="353"/>
      <c r="F73" s="353"/>
    </row>
    <row r="74" spans="2:6" ht="4.5" customHeight="1" x14ac:dyDescent="0.2">
      <c r="E74" s="220"/>
      <c r="F74" s="220"/>
    </row>
    <row r="75" spans="2:6" ht="45.75" customHeight="1" x14ac:dyDescent="0.2">
      <c r="E75" s="353"/>
      <c r="F75" s="353"/>
    </row>
    <row r="76" spans="2:6" ht="4.5" customHeight="1" x14ac:dyDescent="0.2">
      <c r="E76" s="220"/>
      <c r="F76" s="220"/>
    </row>
    <row r="77" spans="2:6" ht="27.75" customHeight="1" x14ac:dyDescent="0.2"/>
    <row r="78" spans="2:6" ht="27.75" customHeight="1" x14ac:dyDescent="0.2">
      <c r="B78" s="355" t="s">
        <v>383</v>
      </c>
      <c r="C78" s="355"/>
      <c r="E78" s="355" t="s">
        <v>423</v>
      </c>
      <c r="F78" s="355"/>
    </row>
    <row r="79" spans="2:6" ht="27.75" customHeight="1" x14ac:dyDescent="0.2">
      <c r="B79" s="355"/>
      <c r="C79" s="355"/>
      <c r="E79" s="355"/>
      <c r="F79" s="355"/>
    </row>
    <row r="80" spans="2:6" x14ac:dyDescent="0.2">
      <c r="B80" s="355"/>
      <c r="C80" s="355"/>
      <c r="E80" s="355"/>
      <c r="F80" s="355"/>
    </row>
    <row r="81" spans="2:6" x14ac:dyDescent="0.2">
      <c r="B81" s="355"/>
      <c r="C81" s="355"/>
      <c r="E81" s="355"/>
      <c r="F81" s="355"/>
    </row>
    <row r="83" spans="2:6" ht="29.25" customHeight="1" x14ac:dyDescent="0.2">
      <c r="B83" s="365" t="s">
        <v>367</v>
      </c>
      <c r="C83" s="365"/>
      <c r="D83" s="365"/>
      <c r="E83" s="365"/>
      <c r="F83" s="365"/>
    </row>
    <row r="84" spans="2:6" ht="43.5" customHeight="1" x14ac:dyDescent="0.2">
      <c r="B84" s="365" t="s">
        <v>368</v>
      </c>
      <c r="C84" s="365"/>
      <c r="D84" s="365"/>
      <c r="E84" s="365"/>
      <c r="F84" s="365"/>
    </row>
    <row r="85" spans="2:6" ht="29.25" customHeight="1" x14ac:dyDescent="0.2">
      <c r="B85" s="365" t="s">
        <v>369</v>
      </c>
      <c r="C85" s="365"/>
      <c r="D85" s="365"/>
      <c r="E85" s="365"/>
      <c r="F85" s="365"/>
    </row>
    <row r="86" spans="2:6" ht="45.75" customHeight="1" x14ac:dyDescent="0.2">
      <c r="B86" s="365" t="s">
        <v>370</v>
      </c>
      <c r="C86" s="365"/>
      <c r="D86" s="365"/>
      <c r="E86" s="365"/>
      <c r="F86" s="365"/>
    </row>
    <row r="87" spans="2:6" ht="18" customHeight="1" x14ac:dyDescent="0.2">
      <c r="B87" s="216"/>
      <c r="C87" s="216"/>
      <c r="D87" s="216"/>
      <c r="E87" s="216"/>
      <c r="F87" s="216"/>
    </row>
    <row r="88" spans="2:6" ht="15" x14ac:dyDescent="0.2">
      <c r="B88" s="359" t="s">
        <v>371</v>
      </c>
      <c r="C88" s="359"/>
      <c r="D88" s="359"/>
      <c r="E88" s="359"/>
      <c r="F88" s="359"/>
    </row>
    <row r="89" spans="2:6" x14ac:dyDescent="0.2">
      <c r="B89" s="359" t="s">
        <v>325</v>
      </c>
      <c r="C89" s="359"/>
      <c r="D89" s="359"/>
      <c r="E89" s="359"/>
      <c r="F89" s="359"/>
    </row>
    <row r="90" spans="2:6" ht="15" x14ac:dyDescent="0.2">
      <c r="B90" s="359" t="s">
        <v>372</v>
      </c>
      <c r="C90" s="359"/>
      <c r="D90" s="359"/>
      <c r="E90" s="359"/>
      <c r="F90" s="359"/>
    </row>
    <row r="91" spans="2:6" ht="46.5" customHeight="1" x14ac:dyDescent="0.2">
      <c r="B91" s="365" t="s">
        <v>326</v>
      </c>
      <c r="C91" s="365"/>
      <c r="D91" s="365"/>
      <c r="E91" s="365"/>
      <c r="F91" s="365"/>
    </row>
    <row r="92" spans="2:6" ht="15" x14ac:dyDescent="0.2">
      <c r="B92" s="359" t="s">
        <v>373</v>
      </c>
      <c r="C92" s="359"/>
      <c r="D92" s="359"/>
      <c r="E92" s="359"/>
      <c r="F92" s="359"/>
    </row>
    <row r="93" spans="2:6" x14ac:dyDescent="0.2">
      <c r="B93" s="359" t="s">
        <v>327</v>
      </c>
      <c r="C93" s="359"/>
      <c r="D93" s="359"/>
      <c r="E93" s="359"/>
      <c r="F93" s="359"/>
    </row>
    <row r="94" spans="2:6" ht="15" x14ac:dyDescent="0.2">
      <c r="B94" s="359" t="s">
        <v>374</v>
      </c>
      <c r="C94" s="359"/>
      <c r="D94" s="359"/>
      <c r="E94" s="359"/>
      <c r="F94" s="359"/>
    </row>
    <row r="95" spans="2:6" ht="45.75" customHeight="1" x14ac:dyDescent="0.2">
      <c r="B95" s="365" t="s">
        <v>328</v>
      </c>
      <c r="C95" s="365"/>
      <c r="D95" s="365"/>
      <c r="E95" s="365"/>
      <c r="F95" s="365"/>
    </row>
    <row r="96" spans="2:6" ht="15" x14ac:dyDescent="0.2">
      <c r="B96" s="359" t="s">
        <v>375</v>
      </c>
      <c r="C96" s="359"/>
      <c r="D96" s="359"/>
      <c r="E96" s="359"/>
      <c r="F96" s="359"/>
    </row>
    <row r="97" spans="2:6" ht="28.5" customHeight="1" x14ac:dyDescent="0.2">
      <c r="B97" s="365" t="s">
        <v>329</v>
      </c>
      <c r="C97" s="365"/>
      <c r="D97" s="365"/>
      <c r="E97" s="365"/>
      <c r="F97" s="365"/>
    </row>
    <row r="100" spans="2:6" ht="15" x14ac:dyDescent="0.2">
      <c r="B100" s="358" t="s">
        <v>376</v>
      </c>
      <c r="C100" s="358"/>
      <c r="D100" s="358"/>
      <c r="E100" s="358"/>
      <c r="F100" s="358"/>
    </row>
    <row r="101" spans="2:6" ht="21.75" customHeight="1" x14ac:dyDescent="0.2">
      <c r="B101" s="359" t="s">
        <v>377</v>
      </c>
      <c r="C101" s="359"/>
      <c r="D101" s="359"/>
      <c r="E101" s="359"/>
      <c r="F101" s="359"/>
    </row>
    <row r="102" spans="2:6" ht="19.5" customHeight="1" x14ac:dyDescent="0.2">
      <c r="C102" s="353">
        <f>+Plaasinligting!E13</f>
        <v>0</v>
      </c>
      <c r="D102" s="353"/>
    </row>
    <row r="103" spans="2:6" ht="19.5" customHeight="1" x14ac:dyDescent="0.2">
      <c r="B103" s="359" t="s">
        <v>378</v>
      </c>
      <c r="C103" s="359"/>
      <c r="D103" s="359"/>
      <c r="E103" s="359"/>
      <c r="F103" s="359"/>
    </row>
    <row r="104" spans="2:6" ht="19.5" customHeight="1" x14ac:dyDescent="0.2">
      <c r="C104" s="352">
        <f>+Plaasinligting!I55</f>
        <v>0</v>
      </c>
      <c r="D104" s="352"/>
    </row>
    <row r="105" spans="2:6" ht="19.5" customHeight="1" x14ac:dyDescent="0.2">
      <c r="B105" s="359" t="s">
        <v>482</v>
      </c>
      <c r="C105" s="359"/>
      <c r="D105" s="359"/>
      <c r="E105" s="359"/>
      <c r="F105" s="359"/>
    </row>
    <row r="106" spans="2:6" ht="19.5" customHeight="1" x14ac:dyDescent="0.2">
      <c r="C106" s="352"/>
      <c r="D106" s="352"/>
    </row>
    <row r="107" spans="2:6" ht="19.5" customHeight="1" x14ac:dyDescent="0.2">
      <c r="B107" s="359" t="s">
        <v>379</v>
      </c>
      <c r="C107" s="359"/>
      <c r="D107" s="359"/>
      <c r="E107" s="359"/>
      <c r="F107" s="359"/>
    </row>
    <row r="108" spans="2:6" ht="19.5" customHeight="1" x14ac:dyDescent="0.2">
      <c r="C108" s="356">
        <f>+Gewasbeskermingsprogram!C9</f>
        <v>0</v>
      </c>
      <c r="D108" s="356"/>
    </row>
    <row r="109" spans="2:6" ht="19.5" customHeight="1" x14ac:dyDescent="0.2">
      <c r="B109" s="359" t="s">
        <v>380</v>
      </c>
      <c r="C109" s="359"/>
      <c r="D109" s="359"/>
      <c r="E109" s="359"/>
      <c r="F109" s="359"/>
    </row>
    <row r="110" spans="2:6" ht="19.5" customHeight="1" x14ac:dyDescent="0.2">
      <c r="C110" s="357">
        <f>+Verskansingsvoordeel!C14</f>
        <v>0</v>
      </c>
      <c r="D110" s="353"/>
      <c r="E110" s="218" t="s">
        <v>384</v>
      </c>
    </row>
    <row r="111" spans="2:6" ht="16.5" customHeight="1" x14ac:dyDescent="0.2"/>
    <row r="112" spans="2:6" ht="16.5" customHeight="1" x14ac:dyDescent="0.2">
      <c r="B112" s="221" t="s">
        <v>385</v>
      </c>
      <c r="C112" s="353"/>
      <c r="D112" s="353"/>
    </row>
    <row r="113" spans="1:6" ht="16.5" customHeight="1" x14ac:dyDescent="0.2">
      <c r="B113" s="221" t="s">
        <v>386</v>
      </c>
      <c r="C113" s="352"/>
      <c r="D113" s="352"/>
      <c r="E113" s="218">
        <v>2013</v>
      </c>
    </row>
    <row r="114" spans="1:6" ht="16.5" customHeight="1" x14ac:dyDescent="0.25">
      <c r="C114" s="211" t="s">
        <v>330</v>
      </c>
    </row>
    <row r="115" spans="1:6" ht="16.5" customHeight="1" x14ac:dyDescent="0.2">
      <c r="B115" s="203"/>
      <c r="C115" s="203"/>
      <c r="D115" s="203"/>
      <c r="E115" s="203"/>
      <c r="F115" s="203"/>
    </row>
    <row r="116" spans="1:6" ht="16.5" customHeight="1" x14ac:dyDescent="0.2">
      <c r="B116" s="221" t="s">
        <v>385</v>
      </c>
      <c r="C116" s="353"/>
      <c r="D116" s="353"/>
      <c r="F116" s="203"/>
    </row>
    <row r="117" spans="1:6" ht="16.5" customHeight="1" x14ac:dyDescent="0.2">
      <c r="B117" s="221" t="s">
        <v>386</v>
      </c>
      <c r="C117" s="352"/>
      <c r="D117" s="352"/>
      <c r="E117" s="218">
        <v>2013</v>
      </c>
      <c r="F117" s="203"/>
    </row>
    <row r="118" spans="1:6" ht="16.5" customHeight="1" x14ac:dyDescent="0.25">
      <c r="C118" s="211" t="s">
        <v>324</v>
      </c>
      <c r="F118" s="203"/>
    </row>
    <row r="119" spans="1:6" ht="16.5" customHeight="1" x14ac:dyDescent="0.2">
      <c r="B119" s="203"/>
      <c r="C119" s="203"/>
      <c r="D119" s="203"/>
      <c r="E119" s="203"/>
      <c r="F119" s="203"/>
    </row>
    <row r="120" spans="1:6" ht="16.5" customHeight="1" x14ac:dyDescent="0.2">
      <c r="B120" s="203"/>
      <c r="C120" s="203"/>
      <c r="D120" s="203"/>
      <c r="E120" s="203"/>
      <c r="F120" s="203"/>
    </row>
    <row r="121" spans="1:6" ht="16.5" customHeight="1" x14ac:dyDescent="0.2">
      <c r="B121" s="359" t="s">
        <v>331</v>
      </c>
      <c r="C121" s="359"/>
      <c r="D121" s="359"/>
      <c r="E121" s="359"/>
      <c r="F121" s="359"/>
    </row>
    <row r="122" spans="1:6" ht="16.5" customHeight="1" x14ac:dyDescent="0.2">
      <c r="B122" s="304"/>
      <c r="C122" s="304"/>
      <c r="D122" s="304"/>
      <c r="E122" s="304"/>
      <c r="F122" s="304"/>
    </row>
    <row r="123" spans="1:6" ht="16.5" customHeight="1" x14ac:dyDescent="0.2">
      <c r="B123" s="304"/>
      <c r="C123" s="304"/>
      <c r="D123" s="304"/>
      <c r="E123" s="304"/>
      <c r="F123" s="304"/>
    </row>
    <row r="124" spans="1:6" ht="16.5" customHeight="1" x14ac:dyDescent="0.2">
      <c r="B124" s="304"/>
      <c r="C124" s="304"/>
      <c r="D124" s="304"/>
      <c r="E124" s="304"/>
      <c r="F124" s="304"/>
    </row>
    <row r="125" spans="1:6" ht="16.5" customHeight="1" x14ac:dyDescent="0.2">
      <c r="E125" s="218" t="s">
        <v>493</v>
      </c>
    </row>
    <row r="126" spans="1:6" ht="6" customHeight="1" x14ac:dyDescent="0.2">
      <c r="A126" s="225"/>
      <c r="B126" s="226"/>
      <c r="C126" s="227"/>
      <c r="D126" s="227"/>
      <c r="E126" s="227"/>
    </row>
    <row r="127" spans="1:6" ht="16.5" customHeight="1" x14ac:dyDescent="0.2"/>
    <row r="130" spans="6:6" x14ac:dyDescent="0.2">
      <c r="F130" s="296">
        <f>+C102</f>
        <v>0</v>
      </c>
    </row>
  </sheetData>
  <mergeCells count="98">
    <mergeCell ref="B8:F8"/>
    <mergeCell ref="B9:F9"/>
    <mergeCell ref="B10:F10"/>
    <mergeCell ref="B12:F12"/>
    <mergeCell ref="B13:F13"/>
    <mergeCell ref="C11:E11"/>
    <mergeCell ref="B14:F14"/>
    <mergeCell ref="B15:F15"/>
    <mergeCell ref="B16:F16"/>
    <mergeCell ref="B17:F17"/>
    <mergeCell ref="B18:F18"/>
    <mergeCell ref="B31:F31"/>
    <mergeCell ref="B20:F20"/>
    <mergeCell ref="B21:F21"/>
    <mergeCell ref="B22:F22"/>
    <mergeCell ref="B23:F23"/>
    <mergeCell ref="B25:F25"/>
    <mergeCell ref="B26:F26"/>
    <mergeCell ref="B27:F27"/>
    <mergeCell ref="B28:F28"/>
    <mergeCell ref="B29:F29"/>
    <mergeCell ref="B30:F30"/>
    <mergeCell ref="B38:F38"/>
    <mergeCell ref="B40:F40"/>
    <mergeCell ref="B41:F41"/>
    <mergeCell ref="B43:F43"/>
    <mergeCell ref="B32:F32"/>
    <mergeCell ref="B33:F33"/>
    <mergeCell ref="B34:F34"/>
    <mergeCell ref="B35:F35"/>
    <mergeCell ref="B36:F36"/>
    <mergeCell ref="B37:F37"/>
    <mergeCell ref="B55:F55"/>
    <mergeCell ref="B44:F44"/>
    <mergeCell ref="B45:F45"/>
    <mergeCell ref="B46:F46"/>
    <mergeCell ref="B47:F47"/>
    <mergeCell ref="B48:F48"/>
    <mergeCell ref="B49:F49"/>
    <mergeCell ref="B50:F50"/>
    <mergeCell ref="B51:F51"/>
    <mergeCell ref="B52:F52"/>
    <mergeCell ref="B53:F53"/>
    <mergeCell ref="B54:F54"/>
    <mergeCell ref="B68:F68"/>
    <mergeCell ref="B56:F56"/>
    <mergeCell ref="B57:F57"/>
    <mergeCell ref="B58:F58"/>
    <mergeCell ref="B60:F60"/>
    <mergeCell ref="B61:F61"/>
    <mergeCell ref="B62:F62"/>
    <mergeCell ref="B63:F63"/>
    <mergeCell ref="B64:F64"/>
    <mergeCell ref="B65:F65"/>
    <mergeCell ref="B66:F66"/>
    <mergeCell ref="B67:F67"/>
    <mergeCell ref="B90:F90"/>
    <mergeCell ref="B91:F91"/>
    <mergeCell ref="B92:F92"/>
    <mergeCell ref="B93:F93"/>
    <mergeCell ref="B83:F83"/>
    <mergeCell ref="B84:F84"/>
    <mergeCell ref="B85:F85"/>
    <mergeCell ref="B86:F86"/>
    <mergeCell ref="B88:F88"/>
    <mergeCell ref="B89:F89"/>
    <mergeCell ref="B121:F121"/>
    <mergeCell ref="B19:F19"/>
    <mergeCell ref="C42:E42"/>
    <mergeCell ref="C24:E24"/>
    <mergeCell ref="B59:C59"/>
    <mergeCell ref="D59:E59"/>
    <mergeCell ref="E78:F81"/>
    <mergeCell ref="B109:F109"/>
    <mergeCell ref="C113:D113"/>
    <mergeCell ref="B103:F103"/>
    <mergeCell ref="B105:F105"/>
    <mergeCell ref="B107:F107"/>
    <mergeCell ref="B94:F94"/>
    <mergeCell ref="B95:F95"/>
    <mergeCell ref="B96:F96"/>
    <mergeCell ref="B97:F97"/>
    <mergeCell ref="C117:D117"/>
    <mergeCell ref="C112:D112"/>
    <mergeCell ref="C116:D116"/>
    <mergeCell ref="B69:C69"/>
    <mergeCell ref="E69:F69"/>
    <mergeCell ref="E71:F71"/>
    <mergeCell ref="E73:F73"/>
    <mergeCell ref="E75:F75"/>
    <mergeCell ref="B78:C81"/>
    <mergeCell ref="C102:D102"/>
    <mergeCell ref="C104:D104"/>
    <mergeCell ref="C106:D106"/>
    <mergeCell ref="C108:D108"/>
    <mergeCell ref="C110:D110"/>
    <mergeCell ref="B100:F100"/>
    <mergeCell ref="B101:F101"/>
  </mergeCells>
  <pageMargins left="0.7" right="0.7" top="0.75" bottom="0.75" header="0.3" footer="0.3"/>
  <pageSetup paperSize="9" orientation="portrait" r:id="rId1"/>
  <customProperties>
    <customPr name="SSCSheetTrackingNo" r:id="rId2"/>
  </customProperties>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D5D6A2"/>
    <pageSetUpPr fitToPage="1"/>
  </sheetPr>
  <dimension ref="A1:I39"/>
  <sheetViews>
    <sheetView zoomScale="80" zoomScaleNormal="80" workbookViewId="0">
      <selection activeCell="C20" sqref="C20"/>
    </sheetView>
  </sheetViews>
  <sheetFormatPr defaultRowHeight="15" x14ac:dyDescent="0.2"/>
  <cols>
    <col min="1" max="1" width="2.5703125" style="253" customWidth="1"/>
    <col min="2" max="2" width="63.140625" style="255" customWidth="1"/>
    <col min="3" max="3" width="30.7109375" style="255" customWidth="1"/>
    <col min="4" max="4" width="2.42578125" style="253" customWidth="1"/>
    <col min="5" max="5" width="9.140625" style="254" customWidth="1"/>
    <col min="6" max="6" width="9.140625" style="233"/>
    <col min="7" max="16384" width="9.140625" style="255"/>
  </cols>
  <sheetData>
    <row r="1" spans="2:9" s="253" customFormat="1" ht="17.25" customHeight="1" x14ac:dyDescent="0.2">
      <c r="B1" s="255"/>
      <c r="C1" s="255"/>
      <c r="E1" s="254"/>
      <c r="G1" s="255"/>
      <c r="H1" s="255"/>
      <c r="I1" s="255"/>
    </row>
    <row r="2" spans="2:9" s="253" customFormat="1" ht="17.25" customHeight="1" x14ac:dyDescent="0.2">
      <c r="B2" s="255"/>
      <c r="C2" s="255"/>
      <c r="E2" s="254"/>
      <c r="G2" s="255"/>
      <c r="H2" s="255"/>
      <c r="I2" s="255"/>
    </row>
    <row r="3" spans="2:9" s="253" customFormat="1" ht="17.25" customHeight="1" x14ac:dyDescent="0.2">
      <c r="B3" s="255"/>
      <c r="C3" s="255"/>
      <c r="E3" s="254"/>
      <c r="G3" s="255"/>
      <c r="H3" s="255"/>
      <c r="I3" s="255"/>
    </row>
    <row r="4" spans="2:9" s="253" customFormat="1" ht="17.25" customHeight="1" x14ac:dyDescent="0.2">
      <c r="B4" s="255"/>
      <c r="C4" s="255"/>
      <c r="E4" s="254"/>
      <c r="G4" s="255"/>
      <c r="H4" s="255"/>
      <c r="I4" s="255"/>
    </row>
    <row r="5" spans="2:9" s="253" customFormat="1" ht="17.25" customHeight="1" x14ac:dyDescent="0.2">
      <c r="B5" s="255"/>
      <c r="C5" s="255"/>
      <c r="E5" s="254"/>
      <c r="G5" s="255"/>
      <c r="H5" s="255"/>
      <c r="I5" s="255"/>
    </row>
    <row r="6" spans="2:9" s="253" customFormat="1" ht="17.25" customHeight="1" x14ac:dyDescent="0.2">
      <c r="B6" s="255"/>
      <c r="C6" s="255"/>
      <c r="E6" s="254"/>
      <c r="G6" s="255"/>
      <c r="H6" s="255"/>
      <c r="I6" s="255"/>
    </row>
    <row r="7" spans="2:9" s="253" customFormat="1" ht="17.25" customHeight="1" x14ac:dyDescent="0.2">
      <c r="B7" s="255"/>
      <c r="C7" s="255"/>
      <c r="E7" s="254"/>
      <c r="G7" s="255"/>
      <c r="H7" s="255"/>
      <c r="I7" s="255"/>
    </row>
    <row r="8" spans="2:9" s="253" customFormat="1" ht="39" customHeight="1" x14ac:dyDescent="0.35">
      <c r="B8" s="310" t="s">
        <v>78</v>
      </c>
      <c r="C8" s="255"/>
      <c r="E8" s="254"/>
      <c r="G8" s="255"/>
      <c r="H8" s="255"/>
      <c r="I8" s="255"/>
    </row>
    <row r="9" spans="2:9" ht="17.25" customHeight="1" x14ac:dyDescent="0.2">
      <c r="F9" s="255"/>
    </row>
    <row r="10" spans="2:9" ht="17.25" customHeight="1" x14ac:dyDescent="0.25">
      <c r="B10" s="224" t="s">
        <v>92</v>
      </c>
      <c r="C10" s="259">
        <f>Gewasbeskermingsprogram!C9</f>
        <v>0</v>
      </c>
      <c r="D10" s="256"/>
      <c r="E10" s="224"/>
      <c r="F10" s="255"/>
    </row>
    <row r="11" spans="2:9" ht="17.25" customHeight="1" x14ac:dyDescent="0.25">
      <c r="B11" s="224"/>
      <c r="C11" s="257"/>
      <c r="D11" s="256"/>
      <c r="E11" s="224"/>
      <c r="F11" s="255"/>
    </row>
    <row r="12" spans="2:9" ht="17.25" customHeight="1" x14ac:dyDescent="0.25">
      <c r="B12" s="224" t="s">
        <v>480</v>
      </c>
      <c r="C12" s="260"/>
      <c r="D12" s="256"/>
      <c r="E12" s="224" t="s">
        <v>79</v>
      </c>
      <c r="F12" s="255"/>
    </row>
    <row r="13" spans="2:9" ht="17.25" customHeight="1" x14ac:dyDescent="0.25">
      <c r="B13" s="224"/>
      <c r="C13" s="257"/>
      <c r="D13" s="256"/>
      <c r="E13" s="224"/>
      <c r="F13" s="255"/>
    </row>
    <row r="14" spans="2:9" ht="17.25" customHeight="1" x14ac:dyDescent="0.25">
      <c r="B14" s="224" t="s">
        <v>80</v>
      </c>
      <c r="C14" s="258">
        <f>IFERROR((C10)/(C12),0)</f>
        <v>0</v>
      </c>
      <c r="D14" s="256"/>
      <c r="E14" s="224" t="s">
        <v>90</v>
      </c>
      <c r="F14" s="255"/>
    </row>
    <row r="15" spans="2:9" ht="17.25" customHeight="1" x14ac:dyDescent="0.25">
      <c r="B15" s="224"/>
      <c r="C15" s="257"/>
      <c r="D15" s="256"/>
      <c r="E15" s="224"/>
      <c r="F15" s="255"/>
    </row>
    <row r="16" spans="2:9" ht="17.25" customHeight="1" x14ac:dyDescent="0.25">
      <c r="B16" s="224"/>
      <c r="C16" s="257"/>
      <c r="D16" s="256"/>
      <c r="E16" s="224"/>
      <c r="F16" s="255"/>
    </row>
    <row r="17" spans="2:9" ht="17.25" customHeight="1" x14ac:dyDescent="0.25">
      <c r="B17" s="224"/>
      <c r="C17" s="257"/>
      <c r="D17" s="256"/>
      <c r="E17" s="224"/>
      <c r="F17" s="255"/>
    </row>
    <row r="18" spans="2:9" ht="17.25" customHeight="1" x14ac:dyDescent="0.25">
      <c r="B18" s="224" t="s">
        <v>187</v>
      </c>
      <c r="C18" s="260"/>
      <c r="D18" s="256"/>
      <c r="E18" s="224" t="s">
        <v>79</v>
      </c>
      <c r="F18" s="255"/>
    </row>
    <row r="19" spans="2:9" ht="17.25" customHeight="1" x14ac:dyDescent="0.25">
      <c r="B19" s="224"/>
      <c r="C19" s="257"/>
      <c r="D19" s="256"/>
      <c r="E19" s="224"/>
      <c r="F19" s="255"/>
    </row>
    <row r="20" spans="2:9" ht="17.25" customHeight="1" x14ac:dyDescent="0.25">
      <c r="B20" s="224" t="s">
        <v>481</v>
      </c>
      <c r="C20" s="311">
        <f>IF((C18&gt;C12),0,(C10-(C18*C14)))</f>
        <v>0</v>
      </c>
      <c r="D20" s="256"/>
      <c r="E20" s="224"/>
      <c r="F20" s="255"/>
    </row>
    <row r="21" spans="2:9" ht="17.25" customHeight="1" x14ac:dyDescent="0.25">
      <c r="B21" s="224"/>
      <c r="F21" s="255"/>
    </row>
    <row r="22" spans="2:9" ht="17.25" customHeight="1" x14ac:dyDescent="0.25">
      <c r="B22" s="224"/>
      <c r="F22" s="255"/>
    </row>
    <row r="23" spans="2:9" ht="17.25" customHeight="1" x14ac:dyDescent="0.25">
      <c r="B23" s="224"/>
      <c r="F23" s="255"/>
    </row>
    <row r="24" spans="2:9" ht="17.25" customHeight="1" x14ac:dyDescent="0.25">
      <c r="B24" s="224"/>
      <c r="F24" s="255"/>
    </row>
    <row r="25" spans="2:9" s="253" customFormat="1" ht="17.25" customHeight="1" x14ac:dyDescent="0.2">
      <c r="B25" s="255"/>
      <c r="C25" s="255"/>
      <c r="E25" s="307" t="s">
        <v>493</v>
      </c>
      <c r="G25" s="255"/>
      <c r="H25" s="255"/>
      <c r="I25" s="255"/>
    </row>
    <row r="26" spans="2:9" s="253" customFormat="1" ht="6.75" customHeight="1" x14ac:dyDescent="0.2">
      <c r="B26" s="261"/>
      <c r="C26" s="261"/>
      <c r="D26" s="261"/>
      <c r="E26" s="262"/>
      <c r="G26" s="255"/>
      <c r="H26" s="255"/>
      <c r="I26" s="255"/>
    </row>
    <row r="27" spans="2:9" s="253" customFormat="1" ht="17.25" customHeight="1" x14ac:dyDescent="0.2">
      <c r="B27" s="255"/>
      <c r="C27" s="255"/>
      <c r="E27" s="254"/>
      <c r="G27" s="255"/>
      <c r="H27" s="255"/>
      <c r="I27" s="255"/>
    </row>
    <row r="28" spans="2:9" s="253" customFormat="1" ht="17.25" customHeight="1" x14ac:dyDescent="0.2">
      <c r="B28" s="255"/>
      <c r="C28" s="255"/>
      <c r="E28" s="254"/>
      <c r="G28" s="255"/>
      <c r="H28" s="255"/>
      <c r="I28" s="255"/>
    </row>
    <row r="29" spans="2:9" s="253" customFormat="1" ht="17.25" customHeight="1" x14ac:dyDescent="0.2">
      <c r="B29" s="255"/>
      <c r="C29" s="255"/>
      <c r="E29" s="254"/>
      <c r="G29" s="255"/>
      <c r="H29" s="255"/>
      <c r="I29" s="255"/>
    </row>
    <row r="30" spans="2:9" s="253" customFormat="1" ht="17.25" customHeight="1" x14ac:dyDescent="0.2">
      <c r="B30" s="255"/>
      <c r="C30" s="255"/>
      <c r="E30" s="254"/>
      <c r="G30" s="255"/>
      <c r="H30" s="255"/>
      <c r="I30" s="255"/>
    </row>
    <row r="31" spans="2:9" s="253" customFormat="1" ht="17.25" customHeight="1" x14ac:dyDescent="0.2">
      <c r="B31" s="255"/>
      <c r="C31" s="255"/>
      <c r="E31" s="254"/>
      <c r="G31" s="255"/>
      <c r="H31" s="255"/>
      <c r="I31" s="255"/>
    </row>
    <row r="32" spans="2:9" s="253" customFormat="1" ht="17.25" customHeight="1" x14ac:dyDescent="0.2">
      <c r="B32" s="255"/>
      <c r="C32" s="255"/>
      <c r="E32" s="254"/>
      <c r="G32" s="255"/>
      <c r="H32" s="255"/>
      <c r="I32" s="255"/>
    </row>
    <row r="33" spans="2:9" s="253" customFormat="1" ht="17.25" customHeight="1" x14ac:dyDescent="0.2">
      <c r="B33" s="255"/>
      <c r="C33" s="255"/>
      <c r="E33" s="254"/>
      <c r="G33" s="255"/>
      <c r="H33" s="255"/>
      <c r="I33" s="255"/>
    </row>
    <row r="34" spans="2:9" s="253" customFormat="1" ht="17.25" customHeight="1" x14ac:dyDescent="0.2">
      <c r="B34" s="255"/>
      <c r="C34" s="255"/>
      <c r="E34" s="254"/>
      <c r="G34" s="255"/>
      <c r="H34" s="255"/>
      <c r="I34" s="255"/>
    </row>
    <row r="35" spans="2:9" ht="17.25" customHeight="1" x14ac:dyDescent="0.2">
      <c r="F35" s="255"/>
    </row>
    <row r="36" spans="2:9" ht="17.25" customHeight="1" x14ac:dyDescent="0.2">
      <c r="F36" s="255"/>
    </row>
    <row r="37" spans="2:9" ht="17.25" customHeight="1" x14ac:dyDescent="0.2">
      <c r="F37" s="255"/>
    </row>
    <row r="38" spans="2:9" ht="17.25" customHeight="1" x14ac:dyDescent="0.2">
      <c r="F38" s="255"/>
    </row>
    <row r="39" spans="2:9" ht="17.25" customHeight="1" x14ac:dyDescent="0.2">
      <c r="F39" s="255"/>
    </row>
  </sheetData>
  <sheetProtection selectLockedCells="1"/>
  <printOptions horizontalCentered="1"/>
  <pageMargins left="0.53" right="0.53" top="0.75" bottom="0.75" header="0.3" footer="0.3"/>
  <pageSetup paperSize="9" scale="68" orientation="portrait" r:id="rId1"/>
  <customProperties>
    <customPr name="SSCSheetTrackingNo" r:id="rId2"/>
  </customProperties>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D5D6A2"/>
  </sheetPr>
  <dimension ref="A1"/>
  <sheetViews>
    <sheetView workbookViewId="0">
      <selection activeCell="M32" sqref="M32"/>
    </sheetView>
  </sheetViews>
  <sheetFormatPr defaultRowHeight="15" x14ac:dyDescent="0.25"/>
  <sheetData/>
  <pageMargins left="0.7" right="0.7" top="0.75" bottom="0.75" header="0.3" footer="0.3"/>
  <customProperties>
    <customPr name="SSCSheetTrackingNo" r:id="rId1"/>
  </customPropertie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28430"/>
    <pageSetUpPr fitToPage="1"/>
  </sheetPr>
  <dimension ref="A1:V77"/>
  <sheetViews>
    <sheetView topLeftCell="A61" zoomScaleNormal="100" workbookViewId="0">
      <selection activeCell="G79" sqref="G79"/>
    </sheetView>
  </sheetViews>
  <sheetFormatPr defaultRowHeight="15" x14ac:dyDescent="0.25"/>
  <cols>
    <col min="1" max="1" width="18.7109375" style="27" customWidth="1"/>
    <col min="2" max="2" width="9.140625" style="27" customWidth="1"/>
    <col min="3" max="3" width="8.7109375" style="27" customWidth="1"/>
    <col min="4" max="4" width="9.140625" style="27"/>
    <col min="5" max="5" width="11.5703125" style="27" bestFit="1" customWidth="1"/>
    <col min="6" max="6" width="13.7109375" style="27" bestFit="1" customWidth="1"/>
    <col min="7" max="7" width="14" style="27" bestFit="1" customWidth="1"/>
    <col min="8" max="8" width="10.42578125" style="27" customWidth="1"/>
    <col min="9" max="9" width="11.140625" style="27" customWidth="1"/>
    <col min="10" max="10" width="12.5703125" style="27" bestFit="1" customWidth="1"/>
    <col min="11" max="11" width="14.140625" style="27" customWidth="1"/>
    <col min="12" max="12" width="14.85546875" style="27" customWidth="1"/>
    <col min="13" max="13" width="9.140625" style="27" customWidth="1"/>
    <col min="14" max="14" width="12.28515625" style="27" customWidth="1"/>
    <col min="15" max="15" width="10.5703125" style="27" customWidth="1"/>
    <col min="16" max="16" width="14.140625" style="27" customWidth="1"/>
    <col min="17" max="17" width="13.42578125" style="27" customWidth="1"/>
    <col min="18" max="18" width="18.42578125" style="27" customWidth="1"/>
    <col min="19" max="19" width="9.140625" style="27" customWidth="1"/>
    <col min="20" max="20" width="12.28515625" style="27" customWidth="1"/>
    <col min="21" max="21" width="10.5703125" style="27" customWidth="1"/>
    <col min="22" max="23" width="9.140625" style="27" customWidth="1"/>
    <col min="24" max="16384" width="9.140625" style="27"/>
  </cols>
  <sheetData>
    <row r="1" spans="1:14" s="61" customFormat="1" ht="15" customHeight="1" x14ac:dyDescent="0.25"/>
    <row r="4" spans="1:14" ht="15.75" thickBot="1" x14ac:dyDescent="0.3"/>
    <row r="5" spans="1:14" ht="15.75" thickBot="1" x14ac:dyDescent="0.3">
      <c r="C5" s="76"/>
      <c r="F5" s="117" t="s">
        <v>134</v>
      </c>
      <c r="G5" s="118" t="s">
        <v>172</v>
      </c>
    </row>
    <row r="6" spans="1:14" x14ac:dyDescent="0.25">
      <c r="C6" s="76"/>
    </row>
    <row r="7" spans="1:14" ht="15.75" thickBot="1" x14ac:dyDescent="0.3"/>
    <row r="8" spans="1:14" ht="15.75" thickBot="1" x14ac:dyDescent="0.3">
      <c r="A8" s="404" t="s">
        <v>39</v>
      </c>
      <c r="B8" s="405"/>
      <c r="C8" s="406"/>
      <c r="F8" s="376" t="s">
        <v>48</v>
      </c>
      <c r="G8" s="377"/>
      <c r="H8" s="378"/>
      <c r="J8" s="376" t="s">
        <v>36</v>
      </c>
      <c r="K8" s="377"/>
      <c r="L8" s="378"/>
    </row>
    <row r="9" spans="1:14" x14ac:dyDescent="0.25">
      <c r="A9" s="28" t="s">
        <v>40</v>
      </c>
      <c r="B9" s="407" t="s">
        <v>143</v>
      </c>
      <c r="C9" s="408"/>
      <c r="F9" s="28" t="s">
        <v>81</v>
      </c>
      <c r="G9" s="387" t="s">
        <v>148</v>
      </c>
      <c r="H9" s="388"/>
      <c r="J9" s="420" t="str">
        <f>+A20</f>
        <v>Saadbehandeling</v>
      </c>
      <c r="K9" s="421"/>
      <c r="L9" s="23">
        <f>+L23</f>
        <v>2500</v>
      </c>
    </row>
    <row r="10" spans="1:14" x14ac:dyDescent="0.25">
      <c r="A10" s="29" t="s">
        <v>47</v>
      </c>
      <c r="B10" s="379" t="s">
        <v>144</v>
      </c>
      <c r="C10" s="380"/>
      <c r="F10" s="29" t="s">
        <v>82</v>
      </c>
      <c r="G10" s="383" t="s">
        <v>149</v>
      </c>
      <c r="H10" s="384"/>
      <c r="J10" s="389" t="str">
        <f>+A30</f>
        <v>Voor plant</v>
      </c>
      <c r="K10" s="390"/>
      <c r="L10" s="24">
        <f>+L32</f>
        <v>15000</v>
      </c>
    </row>
    <row r="11" spans="1:14" x14ac:dyDescent="0.25">
      <c r="A11" s="30"/>
      <c r="B11" s="379"/>
      <c r="C11" s="380"/>
      <c r="F11" s="29" t="s">
        <v>83</v>
      </c>
      <c r="G11" s="383" t="s">
        <v>150</v>
      </c>
      <c r="H11" s="384"/>
      <c r="J11" s="389" t="str">
        <f>+A41</f>
        <v>Voor-opkoms (met plant)</v>
      </c>
      <c r="K11" s="390"/>
      <c r="L11" s="24">
        <f>+L43</f>
        <v>66000</v>
      </c>
    </row>
    <row r="12" spans="1:14" x14ac:dyDescent="0.25">
      <c r="A12" s="29" t="s">
        <v>45</v>
      </c>
      <c r="B12" s="381" t="s">
        <v>145</v>
      </c>
      <c r="C12" s="382"/>
      <c r="F12" s="29" t="s">
        <v>84</v>
      </c>
      <c r="G12" s="383" t="s">
        <v>151</v>
      </c>
      <c r="H12" s="384"/>
      <c r="J12" s="389" t="str">
        <f>+A52</f>
        <v>Na-opkoms</v>
      </c>
      <c r="K12" s="390"/>
      <c r="L12" s="24">
        <f>+L54</f>
        <v>34200</v>
      </c>
    </row>
    <row r="13" spans="1:14" x14ac:dyDescent="0.25">
      <c r="A13" s="29" t="s">
        <v>41</v>
      </c>
      <c r="B13" s="381"/>
      <c r="C13" s="382"/>
      <c r="F13" s="29" t="s">
        <v>85</v>
      </c>
      <c r="G13" s="385" t="s">
        <v>152</v>
      </c>
      <c r="H13" s="386"/>
      <c r="J13" s="389" t="str">
        <f>+A65</f>
        <v>Ander</v>
      </c>
      <c r="K13" s="390"/>
      <c r="L13" s="24">
        <f>+L67</f>
        <v>2500</v>
      </c>
    </row>
    <row r="14" spans="1:14" ht="15.75" thickBot="1" x14ac:dyDescent="0.3">
      <c r="A14" s="29" t="s">
        <v>42</v>
      </c>
      <c r="B14" s="381"/>
      <c r="C14" s="382"/>
      <c r="F14" s="29" t="s">
        <v>86</v>
      </c>
      <c r="G14" s="385" t="s">
        <v>155</v>
      </c>
      <c r="H14" s="386"/>
      <c r="J14" s="391" t="s">
        <v>55</v>
      </c>
      <c r="K14" s="392"/>
      <c r="L14" s="26">
        <f>SUM(L9:L13)</f>
        <v>120200</v>
      </c>
    </row>
    <row r="15" spans="1:14" ht="16.5" thickTop="1" thickBot="1" x14ac:dyDescent="0.3">
      <c r="A15" s="29" t="s">
        <v>43</v>
      </c>
      <c r="B15" s="381" t="s">
        <v>146</v>
      </c>
      <c r="C15" s="382"/>
      <c r="F15" s="29" t="s">
        <v>87</v>
      </c>
      <c r="G15" s="385" t="s">
        <v>153</v>
      </c>
      <c r="H15" s="386"/>
      <c r="J15" s="122" t="s">
        <v>108</v>
      </c>
      <c r="K15" s="123"/>
      <c r="L15" s="25">
        <f>+U74</f>
        <v>1000</v>
      </c>
    </row>
    <row r="16" spans="1:14" ht="15.75" thickBot="1" x14ac:dyDescent="0.3">
      <c r="A16" s="31" t="s">
        <v>44</v>
      </c>
      <c r="B16" s="393" t="s">
        <v>147</v>
      </c>
      <c r="C16" s="394"/>
      <c r="F16" s="31" t="s">
        <v>88</v>
      </c>
      <c r="G16" s="393" t="s">
        <v>154</v>
      </c>
      <c r="H16" s="394"/>
      <c r="J16" s="120" t="s">
        <v>70</v>
      </c>
      <c r="K16" s="121"/>
      <c r="L16" s="104">
        <f>+G23+G32+G43+G54+G67</f>
        <v>2610</v>
      </c>
      <c r="N16" s="62">
        <f>+L14/L18</f>
        <v>267.11111111111109</v>
      </c>
    </row>
    <row r="17" spans="1:22" ht="15.75" thickBot="1" x14ac:dyDescent="0.3">
      <c r="E17" s="32"/>
    </row>
    <row r="18" spans="1:22" ht="15.75" thickBot="1" x14ac:dyDescent="0.3">
      <c r="A18" s="35" t="s">
        <v>106</v>
      </c>
      <c r="B18" s="418" t="s">
        <v>159</v>
      </c>
      <c r="C18" s="419"/>
      <c r="E18" s="32"/>
      <c r="F18" s="35" t="s">
        <v>69</v>
      </c>
      <c r="G18" s="418" t="s">
        <v>105</v>
      </c>
      <c r="H18" s="419"/>
      <c r="J18" s="404" t="s">
        <v>46</v>
      </c>
      <c r="K18" s="405"/>
      <c r="L18" s="3">
        <v>450</v>
      </c>
    </row>
    <row r="19" spans="1:22" s="77" customFormat="1" ht="15.75" thickBot="1" x14ac:dyDescent="0.3">
      <c r="A19" s="101"/>
      <c r="B19" s="109"/>
      <c r="C19" s="109"/>
      <c r="E19" s="102"/>
      <c r="F19" s="101"/>
      <c r="G19" s="109"/>
      <c r="H19" s="109"/>
      <c r="J19" s="100"/>
      <c r="K19" s="100"/>
      <c r="L19" s="110"/>
    </row>
    <row r="20" spans="1:22" s="77" customFormat="1" ht="18" thickBot="1" x14ac:dyDescent="0.35">
      <c r="A20" s="409" t="s">
        <v>38</v>
      </c>
      <c r="B20" s="410"/>
      <c r="C20" s="410"/>
      <c r="D20" s="410"/>
      <c r="E20" s="410"/>
      <c r="F20" s="410"/>
      <c r="G20" s="410"/>
      <c r="H20" s="410"/>
      <c r="I20" s="410"/>
      <c r="J20" s="410"/>
      <c r="K20" s="410"/>
      <c r="L20" s="411"/>
    </row>
    <row r="21" spans="1:22" s="77" customFormat="1" ht="15.75" thickBot="1" x14ac:dyDescent="0.3">
      <c r="A21" s="57"/>
      <c r="B21" s="58" t="s">
        <v>174</v>
      </c>
      <c r="C21" s="20">
        <v>50</v>
      </c>
      <c r="D21" s="177"/>
      <c r="E21" s="178"/>
      <c r="F21" s="179"/>
      <c r="G21" s="176"/>
      <c r="H21" s="58" t="s">
        <v>173</v>
      </c>
      <c r="I21" s="175">
        <v>100</v>
      </c>
      <c r="J21" s="59"/>
      <c r="K21" s="59"/>
      <c r="L21" s="60"/>
    </row>
    <row r="22" spans="1:22" s="77" customFormat="1" ht="45.75" thickBot="1" x14ac:dyDescent="0.3">
      <c r="A22" s="37" t="s">
        <v>1</v>
      </c>
      <c r="B22" s="38" t="s">
        <v>175</v>
      </c>
      <c r="C22" s="39" t="s">
        <v>190</v>
      </c>
      <c r="D22" s="40" t="s">
        <v>93</v>
      </c>
      <c r="E22" s="39" t="s">
        <v>61</v>
      </c>
      <c r="F22" s="40" t="s">
        <v>94</v>
      </c>
      <c r="G22" s="41" t="s">
        <v>60</v>
      </c>
      <c r="H22" s="39" t="s">
        <v>59</v>
      </c>
      <c r="I22" s="103" t="s">
        <v>56</v>
      </c>
      <c r="J22" s="40" t="s">
        <v>57</v>
      </c>
      <c r="K22" s="40" t="s">
        <v>58</v>
      </c>
      <c r="L22" s="42" t="s">
        <v>0</v>
      </c>
      <c r="N22" s="63" t="s">
        <v>101</v>
      </c>
      <c r="O22" s="63" t="s">
        <v>100</v>
      </c>
      <c r="P22" s="64" t="s">
        <v>102</v>
      </c>
      <c r="Q22" s="64" t="s">
        <v>103</v>
      </c>
      <c r="R22" s="64" t="s">
        <v>104</v>
      </c>
      <c r="S22" s="27"/>
      <c r="T22" s="65" t="s">
        <v>72</v>
      </c>
      <c r="U22" s="65" t="s">
        <v>74</v>
      </c>
      <c r="V22" s="65" t="s">
        <v>75</v>
      </c>
    </row>
    <row r="23" spans="1:22" s="77" customFormat="1" x14ac:dyDescent="0.25">
      <c r="A23" s="9" t="s">
        <v>179</v>
      </c>
      <c r="B23" s="191">
        <v>1</v>
      </c>
      <c r="C23" s="21">
        <v>1000</v>
      </c>
      <c r="D23" s="188">
        <f>+B23*C23/100</f>
        <v>10</v>
      </c>
      <c r="E23" s="12">
        <v>100</v>
      </c>
      <c r="F23" s="47">
        <f>+IFERROR(((D23*E23)/(C23/$I$21)),0)</f>
        <v>100</v>
      </c>
      <c r="G23" s="401">
        <f>SUM(F23:F28)</f>
        <v>200</v>
      </c>
      <c r="H23" s="185">
        <v>1</v>
      </c>
      <c r="I23" s="183">
        <f t="shared" ref="I23:I25" si="0">+IFERROR(ROUNDUP(D23/H23,0),0)</f>
        <v>10</v>
      </c>
      <c r="J23" s="47">
        <f>+E23*H23</f>
        <v>100</v>
      </c>
      <c r="K23" s="47">
        <f>+I23*J23</f>
        <v>1000</v>
      </c>
      <c r="L23" s="370">
        <f>SUM(K23:K28)</f>
        <v>2500</v>
      </c>
      <c r="T23" s="70" t="str">
        <f>IFERROR(VLOOKUP(A23,VLOOKUPS!$A$34:$B$50,2,0),"Ander")</f>
        <v>Syngenta</v>
      </c>
      <c r="U23" s="71">
        <f t="shared" ref="U23:U28" si="1">IF(T23="Syngenta",K23,0)</f>
        <v>1000</v>
      </c>
      <c r="V23" s="71">
        <f t="shared" ref="V23:V28" si="2">IF(T23="Ander",K23,0)</f>
        <v>0</v>
      </c>
    </row>
    <row r="24" spans="1:22" s="77" customFormat="1" x14ac:dyDescent="0.25">
      <c r="A24" s="9" t="s">
        <v>170</v>
      </c>
      <c r="B24" s="191">
        <v>1</v>
      </c>
      <c r="C24" s="21">
        <v>1250</v>
      </c>
      <c r="D24" s="188">
        <f t="shared" ref="D24:D28" si="3">+B24*C24/100</f>
        <v>12.5</v>
      </c>
      <c r="E24" s="12">
        <v>100</v>
      </c>
      <c r="F24" s="47">
        <f>+IFERROR(((D24*E24)/(C24/$I$21)),0)</f>
        <v>100</v>
      </c>
      <c r="G24" s="402"/>
      <c r="H24" s="186">
        <v>5</v>
      </c>
      <c r="I24" s="183">
        <f t="shared" ref="I24" si="4">+IFERROR(ROUNDUP(D24/H24,0),0)</f>
        <v>3</v>
      </c>
      <c r="J24" s="47">
        <f>+E24*H24</f>
        <v>500</v>
      </c>
      <c r="K24" s="47">
        <f>+I24*J24</f>
        <v>1500</v>
      </c>
      <c r="L24" s="371"/>
      <c r="T24" s="70" t="str">
        <f>IFERROR(VLOOKUP(A24,VLOOKUPS!$A$34:$B$50,2,0),"Ander")</f>
        <v>Ander</v>
      </c>
      <c r="U24" s="71">
        <f t="shared" ref="U24" si="5">IF(T24="Syngenta",K24,0)</f>
        <v>0</v>
      </c>
      <c r="V24" s="71">
        <f t="shared" ref="V24" si="6">IF(T24="Ander",K24,0)</f>
        <v>1500</v>
      </c>
    </row>
    <row r="25" spans="1:22" s="77" customFormat="1" x14ac:dyDescent="0.25">
      <c r="A25" s="9"/>
      <c r="B25" s="191"/>
      <c r="C25" s="21"/>
      <c r="D25" s="188">
        <f t="shared" si="3"/>
        <v>0</v>
      </c>
      <c r="E25" s="12"/>
      <c r="F25" s="47">
        <f t="shared" ref="F25:F28" si="7">+IFERROR(((D25*E25)/(C25/$I$21)),0)</f>
        <v>0</v>
      </c>
      <c r="G25" s="402"/>
      <c r="H25" s="186"/>
      <c r="I25" s="183">
        <f t="shared" si="0"/>
        <v>0</v>
      </c>
      <c r="J25" s="47">
        <f t="shared" ref="J25:J28" si="8">+E25*H25</f>
        <v>0</v>
      </c>
      <c r="K25" s="47">
        <f t="shared" ref="K25:K28" si="9">+I25*J25</f>
        <v>0</v>
      </c>
      <c r="L25" s="371"/>
      <c r="T25" s="70" t="str">
        <f>IFERROR(VLOOKUP(A25,VLOOKUPS!$A$34:$B$50,2,0),"Ander")</f>
        <v>Ander</v>
      </c>
      <c r="U25" s="71">
        <f t="shared" si="1"/>
        <v>0</v>
      </c>
      <c r="V25" s="71">
        <f t="shared" si="2"/>
        <v>0</v>
      </c>
    </row>
    <row r="26" spans="1:22" s="77" customFormat="1" x14ac:dyDescent="0.25">
      <c r="A26" s="9"/>
      <c r="B26" s="191"/>
      <c r="C26" s="21"/>
      <c r="D26" s="188">
        <f t="shared" si="3"/>
        <v>0</v>
      </c>
      <c r="E26" s="12"/>
      <c r="F26" s="47">
        <f t="shared" si="7"/>
        <v>0</v>
      </c>
      <c r="G26" s="402"/>
      <c r="H26" s="186"/>
      <c r="I26" s="183">
        <f>+IFERROR(ROUNDUP(D26/H26,0),0)</f>
        <v>0</v>
      </c>
      <c r="J26" s="47">
        <f t="shared" si="8"/>
        <v>0</v>
      </c>
      <c r="K26" s="47">
        <f t="shared" si="9"/>
        <v>0</v>
      </c>
      <c r="L26" s="371"/>
      <c r="T26" s="70" t="str">
        <f>IFERROR(VLOOKUP(A26,VLOOKUPS!$A$34:$B$50,2,0),"Ander")</f>
        <v>Ander</v>
      </c>
      <c r="U26" s="71">
        <f t="shared" si="1"/>
        <v>0</v>
      </c>
      <c r="V26" s="71">
        <f t="shared" si="2"/>
        <v>0</v>
      </c>
    </row>
    <row r="27" spans="1:22" s="77" customFormat="1" x14ac:dyDescent="0.25">
      <c r="A27" s="9"/>
      <c r="B27" s="191"/>
      <c r="C27" s="21"/>
      <c r="D27" s="188">
        <f t="shared" si="3"/>
        <v>0</v>
      </c>
      <c r="E27" s="12"/>
      <c r="F27" s="47">
        <f t="shared" si="7"/>
        <v>0</v>
      </c>
      <c r="G27" s="402"/>
      <c r="H27" s="186"/>
      <c r="I27" s="183">
        <f t="shared" ref="I27:I28" si="10">+IFERROR(ROUNDUP(D27/H27,0),0)</f>
        <v>0</v>
      </c>
      <c r="J27" s="47">
        <f t="shared" si="8"/>
        <v>0</v>
      </c>
      <c r="K27" s="47">
        <f t="shared" si="9"/>
        <v>0</v>
      </c>
      <c r="L27" s="371"/>
      <c r="T27" s="70" t="str">
        <f>IFERROR(VLOOKUP(A27,VLOOKUPS!$A$34:$B$50,2,0),"Ander")</f>
        <v>Ander</v>
      </c>
      <c r="U27" s="71">
        <f t="shared" si="1"/>
        <v>0</v>
      </c>
      <c r="V27" s="71">
        <f t="shared" si="2"/>
        <v>0</v>
      </c>
    </row>
    <row r="28" spans="1:22" s="77" customFormat="1" ht="15.75" thickBot="1" x14ac:dyDescent="0.3">
      <c r="A28" s="14"/>
      <c r="B28" s="192"/>
      <c r="C28" s="22"/>
      <c r="D28" s="189">
        <f t="shared" si="3"/>
        <v>0</v>
      </c>
      <c r="E28" s="17"/>
      <c r="F28" s="50">
        <f t="shared" si="7"/>
        <v>0</v>
      </c>
      <c r="G28" s="403"/>
      <c r="H28" s="187"/>
      <c r="I28" s="184">
        <f t="shared" si="10"/>
        <v>0</v>
      </c>
      <c r="J28" s="50">
        <f t="shared" si="8"/>
        <v>0</v>
      </c>
      <c r="K28" s="50">
        <f t="shared" si="9"/>
        <v>0</v>
      </c>
      <c r="L28" s="372"/>
      <c r="T28" s="70" t="str">
        <f>IFERROR(VLOOKUP(A28,VLOOKUPS!$A$34:$B$50,2,0),"Ander")</f>
        <v>Ander</v>
      </c>
      <c r="U28" s="71">
        <f t="shared" si="1"/>
        <v>0</v>
      </c>
      <c r="V28" s="71">
        <f t="shared" si="2"/>
        <v>0</v>
      </c>
    </row>
    <row r="29" spans="1:22" s="77" customFormat="1" ht="15.75" thickBot="1" x14ac:dyDescent="0.3">
      <c r="A29" s="101"/>
      <c r="B29" s="109"/>
      <c r="C29" s="109"/>
      <c r="E29" s="102"/>
      <c r="F29" s="101"/>
      <c r="G29" s="109"/>
      <c r="H29" s="109"/>
      <c r="J29" s="100"/>
      <c r="K29" s="100"/>
      <c r="L29" s="110"/>
      <c r="T29" s="27"/>
      <c r="U29" s="72">
        <f>SUM(U23:U28)</f>
        <v>1000</v>
      </c>
      <c r="V29" s="72">
        <f>SUM(V23:V28)</f>
        <v>1500</v>
      </c>
    </row>
    <row r="30" spans="1:22" ht="18.75" thickTop="1" thickBot="1" x14ac:dyDescent="0.35">
      <c r="A30" s="415" t="s">
        <v>37</v>
      </c>
      <c r="B30" s="416"/>
      <c r="C30" s="416"/>
      <c r="D30" s="416"/>
      <c r="E30" s="416"/>
      <c r="F30" s="416"/>
      <c r="G30" s="416"/>
      <c r="H30" s="416"/>
      <c r="I30" s="416"/>
      <c r="J30" s="416"/>
      <c r="K30" s="416"/>
      <c r="L30" s="417"/>
    </row>
    <row r="31" spans="1:22" ht="33" customHeight="1" thickBot="1" x14ac:dyDescent="0.3">
      <c r="A31" s="37" t="s">
        <v>1</v>
      </c>
      <c r="B31" s="38" t="s">
        <v>62</v>
      </c>
      <c r="C31" s="39" t="s">
        <v>186</v>
      </c>
      <c r="D31" s="40" t="s">
        <v>93</v>
      </c>
      <c r="E31" s="39" t="s">
        <v>61</v>
      </c>
      <c r="F31" s="40" t="s">
        <v>94</v>
      </c>
      <c r="G31" s="41" t="s">
        <v>60</v>
      </c>
      <c r="H31" s="39" t="s">
        <v>59</v>
      </c>
      <c r="I31" s="103" t="s">
        <v>56</v>
      </c>
      <c r="J31" s="40" t="s">
        <v>57</v>
      </c>
      <c r="K31" s="40" t="s">
        <v>58</v>
      </c>
      <c r="L31" s="42" t="s">
        <v>0</v>
      </c>
    </row>
    <row r="32" spans="1:22" x14ac:dyDescent="0.25">
      <c r="A32" s="4" t="s">
        <v>189</v>
      </c>
      <c r="B32" s="193">
        <v>0.3</v>
      </c>
      <c r="C32" s="180">
        <v>300</v>
      </c>
      <c r="D32" s="190">
        <f>B32*C32</f>
        <v>90</v>
      </c>
      <c r="E32" s="7">
        <v>100</v>
      </c>
      <c r="F32" s="44">
        <f>IFERROR((D32*E32)/C32,0)</f>
        <v>30</v>
      </c>
      <c r="G32" s="373">
        <f>SUM(F32:F39)</f>
        <v>50</v>
      </c>
      <c r="H32" s="8">
        <v>5</v>
      </c>
      <c r="I32" s="45">
        <f t="shared" ref="I32:I39" si="11">+IFERROR(ROUNDUP(D32/H32,0),0)</f>
        <v>18</v>
      </c>
      <c r="J32" s="44">
        <f>+E32*H32</f>
        <v>500</v>
      </c>
      <c r="K32" s="44">
        <f t="shared" ref="K32:K39" si="12">+I32*J32</f>
        <v>9000</v>
      </c>
      <c r="L32" s="370">
        <f>SUM(K32:K39)</f>
        <v>15000</v>
      </c>
      <c r="N32" s="66">
        <f>+IFERROR((I32*H32)/B32,0)</f>
        <v>300</v>
      </c>
      <c r="O32" s="67">
        <f>+IFERROR(C32*$L$18,0)</f>
        <v>135000</v>
      </c>
      <c r="P32" s="68">
        <f t="shared" ref="P32:P34" si="13">+IFERROR(K32/N32,0)</f>
        <v>30</v>
      </c>
      <c r="Q32" s="68">
        <f t="shared" ref="Q32:Q34" si="14">+IFERROR(K32/O32,0)</f>
        <v>6.6666666666666666E-2</v>
      </c>
      <c r="R32" s="69">
        <f t="shared" ref="R32:R34" si="15">+B32*C32*E32</f>
        <v>9000</v>
      </c>
      <c r="T32" s="70" t="str">
        <f>IFERROR(VLOOKUP(A32,VLOOKUPS!$A$34:$B$50,2,0),"Ander")</f>
        <v>Ander</v>
      </c>
      <c r="U32" s="71">
        <f t="shared" ref="U32" si="16">IF(T32="Syngenta",K32,0)</f>
        <v>0</v>
      </c>
      <c r="V32" s="71">
        <f t="shared" ref="V32" si="17">IF(T32="Ander",K32,0)</f>
        <v>9000</v>
      </c>
    </row>
    <row r="33" spans="1:22" x14ac:dyDescent="0.25">
      <c r="A33" s="9" t="s">
        <v>178</v>
      </c>
      <c r="B33" s="191">
        <v>0.2</v>
      </c>
      <c r="C33" s="181">
        <v>300</v>
      </c>
      <c r="D33" s="190">
        <f t="shared" ref="D33:D39" si="18">B33*C33</f>
        <v>60</v>
      </c>
      <c r="E33" s="12">
        <v>100</v>
      </c>
      <c r="F33" s="44">
        <f t="shared" ref="F33:F39" si="19">IFERROR((D33*E33)/C33,0)</f>
        <v>20</v>
      </c>
      <c r="G33" s="374"/>
      <c r="H33" s="13">
        <v>5</v>
      </c>
      <c r="I33" s="48">
        <f t="shared" si="11"/>
        <v>12</v>
      </c>
      <c r="J33" s="47">
        <f>+E33*H33</f>
        <v>500</v>
      </c>
      <c r="K33" s="47">
        <f t="shared" si="12"/>
        <v>6000</v>
      </c>
      <c r="L33" s="371"/>
      <c r="N33" s="66">
        <f t="shared" ref="N33:N70" si="20">+IFERROR((I33*H33)/B33,0)</f>
        <v>300</v>
      </c>
      <c r="O33" s="67">
        <f t="shared" ref="O33:O70" si="21">+IFERROR(C33*$L$18,0)</f>
        <v>135000</v>
      </c>
      <c r="P33" s="68">
        <f t="shared" si="13"/>
        <v>20</v>
      </c>
      <c r="Q33" s="68">
        <f t="shared" si="14"/>
        <v>4.4444444444444446E-2</v>
      </c>
      <c r="R33" s="69">
        <f t="shared" si="15"/>
        <v>6000</v>
      </c>
      <c r="T33" s="70" t="str">
        <f>IFERROR(VLOOKUP(A33,VLOOKUPS!$A$34:$B$50,2,0),"Ander")</f>
        <v>Ander</v>
      </c>
      <c r="U33" s="71">
        <f t="shared" ref="U33:U39" si="22">IF(T33="Syngenta",K33,0)</f>
        <v>0</v>
      </c>
      <c r="V33" s="71">
        <f t="shared" ref="V33:V39" si="23">IF(T33="Ander",K33,0)</f>
        <v>6000</v>
      </c>
    </row>
    <row r="34" spans="1:22" x14ac:dyDescent="0.25">
      <c r="A34" s="9"/>
      <c r="B34" s="191"/>
      <c r="C34" s="181"/>
      <c r="D34" s="190">
        <f t="shared" si="18"/>
        <v>0</v>
      </c>
      <c r="E34" s="12"/>
      <c r="F34" s="44">
        <f t="shared" si="19"/>
        <v>0</v>
      </c>
      <c r="G34" s="374"/>
      <c r="H34" s="13"/>
      <c r="I34" s="48">
        <f t="shared" si="11"/>
        <v>0</v>
      </c>
      <c r="J34" s="47">
        <f>+E34*H34</f>
        <v>0</v>
      </c>
      <c r="K34" s="47">
        <f t="shared" si="12"/>
        <v>0</v>
      </c>
      <c r="L34" s="371"/>
      <c r="N34" s="66">
        <f t="shared" si="20"/>
        <v>0</v>
      </c>
      <c r="O34" s="67">
        <f t="shared" si="21"/>
        <v>0</v>
      </c>
      <c r="P34" s="68">
        <f t="shared" si="13"/>
        <v>0</v>
      </c>
      <c r="Q34" s="68">
        <f t="shared" si="14"/>
        <v>0</v>
      </c>
      <c r="R34" s="69">
        <f t="shared" si="15"/>
        <v>0</v>
      </c>
      <c r="T34" s="70" t="str">
        <f>IFERROR(VLOOKUP(A34,VLOOKUPS!$A$34:$B$50,2,0),"Ander")</f>
        <v>Ander</v>
      </c>
      <c r="U34" s="71">
        <f t="shared" si="22"/>
        <v>0</v>
      </c>
      <c r="V34" s="71">
        <f t="shared" si="23"/>
        <v>0</v>
      </c>
    </row>
    <row r="35" spans="1:22" x14ac:dyDescent="0.25">
      <c r="A35" s="9"/>
      <c r="B35" s="191"/>
      <c r="C35" s="181"/>
      <c r="D35" s="190">
        <f t="shared" si="18"/>
        <v>0</v>
      </c>
      <c r="E35" s="12"/>
      <c r="F35" s="44">
        <f t="shared" si="19"/>
        <v>0</v>
      </c>
      <c r="G35" s="374"/>
      <c r="H35" s="13"/>
      <c r="I35" s="48">
        <f t="shared" ref="I35:I36" si="24">+IFERROR(ROUNDUP(D35/H35,0),0)</f>
        <v>0</v>
      </c>
      <c r="J35" s="47">
        <f t="shared" ref="J35:J36" si="25">+E35*H35</f>
        <v>0</v>
      </c>
      <c r="K35" s="47">
        <f t="shared" ref="K35:K36" si="26">+I35*J35</f>
        <v>0</v>
      </c>
      <c r="L35" s="371"/>
      <c r="N35" s="66">
        <f t="shared" ref="N35:N39" si="27">+IFERROR((I35*H35)/B35,0)</f>
        <v>0</v>
      </c>
      <c r="O35" s="67">
        <f t="shared" ref="O35:O39" si="28">+IFERROR(C35*$L$18,0)</f>
        <v>0</v>
      </c>
      <c r="P35" s="68">
        <f t="shared" ref="P35:P39" si="29">+IFERROR(K35/N35,0)</f>
        <v>0</v>
      </c>
      <c r="Q35" s="68">
        <f t="shared" ref="Q35:Q39" si="30">+IFERROR(K35/O35,0)</f>
        <v>0</v>
      </c>
      <c r="R35" s="69">
        <f t="shared" ref="R35:R39" si="31">+B35*C35*E35</f>
        <v>0</v>
      </c>
      <c r="T35" s="70" t="str">
        <f>IFERROR(VLOOKUP(A35,VLOOKUPS!$A$34:$B$50,2,0),"Ander")</f>
        <v>Ander</v>
      </c>
      <c r="U35" s="71">
        <f t="shared" si="22"/>
        <v>0</v>
      </c>
      <c r="V35" s="71">
        <f t="shared" si="23"/>
        <v>0</v>
      </c>
    </row>
    <row r="36" spans="1:22" x14ac:dyDescent="0.25">
      <c r="A36" s="9"/>
      <c r="B36" s="191"/>
      <c r="C36" s="181"/>
      <c r="D36" s="190">
        <f t="shared" si="18"/>
        <v>0</v>
      </c>
      <c r="E36" s="12"/>
      <c r="F36" s="44">
        <f t="shared" si="19"/>
        <v>0</v>
      </c>
      <c r="G36" s="374"/>
      <c r="H36" s="13"/>
      <c r="I36" s="48">
        <f t="shared" si="24"/>
        <v>0</v>
      </c>
      <c r="J36" s="47">
        <f t="shared" si="25"/>
        <v>0</v>
      </c>
      <c r="K36" s="47">
        <f t="shared" si="26"/>
        <v>0</v>
      </c>
      <c r="L36" s="371"/>
      <c r="N36" s="66">
        <f t="shared" si="27"/>
        <v>0</v>
      </c>
      <c r="O36" s="67">
        <f t="shared" si="28"/>
        <v>0</v>
      </c>
      <c r="P36" s="68">
        <f t="shared" si="29"/>
        <v>0</v>
      </c>
      <c r="Q36" s="68">
        <f t="shared" si="30"/>
        <v>0</v>
      </c>
      <c r="R36" s="69">
        <f t="shared" si="31"/>
        <v>0</v>
      </c>
      <c r="T36" s="70" t="str">
        <f>IFERROR(VLOOKUP(A36,VLOOKUPS!$A$34:$B$50,2,0),"Ander")</f>
        <v>Ander</v>
      </c>
      <c r="U36" s="71">
        <f t="shared" si="22"/>
        <v>0</v>
      </c>
      <c r="V36" s="71">
        <f t="shared" si="23"/>
        <v>0</v>
      </c>
    </row>
    <row r="37" spans="1:22" x14ac:dyDescent="0.25">
      <c r="A37" s="9"/>
      <c r="B37" s="191"/>
      <c r="C37" s="181"/>
      <c r="D37" s="190">
        <f t="shared" si="18"/>
        <v>0</v>
      </c>
      <c r="E37" s="12"/>
      <c r="F37" s="44">
        <f t="shared" si="19"/>
        <v>0</v>
      </c>
      <c r="G37" s="374"/>
      <c r="H37" s="13"/>
      <c r="I37" s="48">
        <f t="shared" si="11"/>
        <v>0</v>
      </c>
      <c r="J37" s="47">
        <f t="shared" ref="J37" si="32">+E37*H37</f>
        <v>0</v>
      </c>
      <c r="K37" s="47">
        <f t="shared" si="12"/>
        <v>0</v>
      </c>
      <c r="L37" s="371"/>
      <c r="N37" s="66">
        <f t="shared" si="27"/>
        <v>0</v>
      </c>
      <c r="O37" s="67">
        <f t="shared" si="28"/>
        <v>0</v>
      </c>
      <c r="P37" s="68">
        <f t="shared" si="29"/>
        <v>0</v>
      </c>
      <c r="Q37" s="68">
        <f t="shared" si="30"/>
        <v>0</v>
      </c>
      <c r="R37" s="69">
        <f t="shared" si="31"/>
        <v>0</v>
      </c>
      <c r="T37" s="70" t="str">
        <f>IFERROR(VLOOKUP(A37,VLOOKUPS!$A$34:$B$50,2,0),"Ander")</f>
        <v>Ander</v>
      </c>
      <c r="U37" s="71">
        <f t="shared" si="22"/>
        <v>0</v>
      </c>
      <c r="V37" s="71">
        <f t="shared" si="23"/>
        <v>0</v>
      </c>
    </row>
    <row r="38" spans="1:22" x14ac:dyDescent="0.25">
      <c r="A38" s="9"/>
      <c r="B38" s="191"/>
      <c r="C38" s="181"/>
      <c r="D38" s="190">
        <f t="shared" si="18"/>
        <v>0</v>
      </c>
      <c r="E38" s="12"/>
      <c r="F38" s="44">
        <f t="shared" si="19"/>
        <v>0</v>
      </c>
      <c r="G38" s="374"/>
      <c r="H38" s="13"/>
      <c r="I38" s="48">
        <f t="shared" si="11"/>
        <v>0</v>
      </c>
      <c r="J38" s="47">
        <f>+E38*H38</f>
        <v>0</v>
      </c>
      <c r="K38" s="47">
        <f t="shared" si="12"/>
        <v>0</v>
      </c>
      <c r="L38" s="371"/>
      <c r="N38" s="66">
        <f t="shared" si="27"/>
        <v>0</v>
      </c>
      <c r="O38" s="67">
        <f t="shared" si="28"/>
        <v>0</v>
      </c>
      <c r="P38" s="68">
        <f t="shared" si="29"/>
        <v>0</v>
      </c>
      <c r="Q38" s="68">
        <f t="shared" si="30"/>
        <v>0</v>
      </c>
      <c r="R38" s="69">
        <f t="shared" si="31"/>
        <v>0</v>
      </c>
      <c r="T38" s="70" t="str">
        <f>IFERROR(VLOOKUP(A38,VLOOKUPS!$A$34:$B$50,2,0),"Ander")</f>
        <v>Ander</v>
      </c>
      <c r="U38" s="71">
        <f t="shared" si="22"/>
        <v>0</v>
      </c>
      <c r="V38" s="71">
        <f t="shared" si="23"/>
        <v>0</v>
      </c>
    </row>
    <row r="39" spans="1:22" ht="15.75" thickBot="1" x14ac:dyDescent="0.3">
      <c r="A39" s="14"/>
      <c r="B39" s="192"/>
      <c r="C39" s="182"/>
      <c r="D39" s="189">
        <f t="shared" si="18"/>
        <v>0</v>
      </c>
      <c r="E39" s="17"/>
      <c r="F39" s="50">
        <f t="shared" si="19"/>
        <v>0</v>
      </c>
      <c r="G39" s="375"/>
      <c r="H39" s="18"/>
      <c r="I39" s="51">
        <f t="shared" si="11"/>
        <v>0</v>
      </c>
      <c r="J39" s="50">
        <f>+E39*H39</f>
        <v>0</v>
      </c>
      <c r="K39" s="50">
        <f t="shared" si="12"/>
        <v>0</v>
      </c>
      <c r="L39" s="372"/>
      <c r="N39" s="66">
        <f t="shared" si="27"/>
        <v>0</v>
      </c>
      <c r="O39" s="67">
        <f t="shared" si="28"/>
        <v>0</v>
      </c>
      <c r="P39" s="68">
        <f t="shared" si="29"/>
        <v>0</v>
      </c>
      <c r="Q39" s="68">
        <f t="shared" si="30"/>
        <v>0</v>
      </c>
      <c r="R39" s="69">
        <f t="shared" si="31"/>
        <v>0</v>
      </c>
      <c r="T39" s="70" t="str">
        <f>IFERROR(VLOOKUP(A39,VLOOKUPS!$A$34:$B$50,2,0),"Ander")</f>
        <v>Ander</v>
      </c>
      <c r="U39" s="71">
        <f t="shared" si="22"/>
        <v>0</v>
      </c>
      <c r="V39" s="71">
        <f t="shared" si="23"/>
        <v>0</v>
      </c>
    </row>
    <row r="40" spans="1:22" ht="15.75" thickBot="1" x14ac:dyDescent="0.3">
      <c r="N40" s="66"/>
      <c r="O40" s="67"/>
      <c r="P40" s="68"/>
      <c r="Q40" s="68"/>
      <c r="R40" s="69"/>
      <c r="U40" s="72">
        <f>SUM(U32:U39)</f>
        <v>0</v>
      </c>
      <c r="V40" s="72">
        <f>SUM(V32:V39)</f>
        <v>15000</v>
      </c>
    </row>
    <row r="41" spans="1:22" ht="18.75" thickTop="1" thickBot="1" x14ac:dyDescent="0.3">
      <c r="A41" s="412" t="s">
        <v>107</v>
      </c>
      <c r="B41" s="413"/>
      <c r="C41" s="413"/>
      <c r="D41" s="413"/>
      <c r="E41" s="413"/>
      <c r="F41" s="413"/>
      <c r="G41" s="413"/>
      <c r="H41" s="413"/>
      <c r="I41" s="413"/>
      <c r="J41" s="413"/>
      <c r="K41" s="413"/>
      <c r="L41" s="414"/>
      <c r="N41" s="66"/>
      <c r="O41" s="67"/>
      <c r="P41" s="68"/>
      <c r="Q41" s="68"/>
      <c r="R41" s="69"/>
      <c r="U41" s="71"/>
      <c r="V41" s="71"/>
    </row>
    <row r="42" spans="1:22" ht="45.75" thickBot="1" x14ac:dyDescent="0.3">
      <c r="A42" s="37" t="s">
        <v>1</v>
      </c>
      <c r="B42" s="38" t="s">
        <v>62</v>
      </c>
      <c r="C42" s="39" t="s">
        <v>186</v>
      </c>
      <c r="D42" s="40" t="s">
        <v>93</v>
      </c>
      <c r="E42" s="39" t="s">
        <v>61</v>
      </c>
      <c r="F42" s="40" t="s">
        <v>94</v>
      </c>
      <c r="G42" s="41" t="s">
        <v>60</v>
      </c>
      <c r="H42" s="39" t="s">
        <v>59</v>
      </c>
      <c r="I42" s="103" t="s">
        <v>56</v>
      </c>
      <c r="J42" s="40" t="s">
        <v>57</v>
      </c>
      <c r="K42" s="40" t="s">
        <v>58</v>
      </c>
      <c r="L42" s="42" t="s">
        <v>0</v>
      </c>
      <c r="N42" s="66"/>
      <c r="O42" s="67"/>
      <c r="P42" s="68"/>
      <c r="Q42" s="68"/>
      <c r="R42" s="69"/>
      <c r="U42" s="71"/>
      <c r="V42" s="71"/>
    </row>
    <row r="43" spans="1:22" x14ac:dyDescent="0.25">
      <c r="A43" s="4" t="s">
        <v>185</v>
      </c>
      <c r="B43" s="193">
        <v>3</v>
      </c>
      <c r="C43" s="180">
        <v>200</v>
      </c>
      <c r="D43" s="190">
        <f>+B43*C43</f>
        <v>600</v>
      </c>
      <c r="E43" s="7">
        <v>100</v>
      </c>
      <c r="F43" s="44">
        <f>IFERROR((D43*E43)/C43,0)</f>
        <v>300</v>
      </c>
      <c r="G43" s="373">
        <f>SUM(F43:F50)</f>
        <v>330</v>
      </c>
      <c r="H43" s="8">
        <v>5</v>
      </c>
      <c r="I43" s="45">
        <f t="shared" ref="I43:I50" si="33">+IFERROR(ROUNDUP(D43/H43,0),0)</f>
        <v>120</v>
      </c>
      <c r="J43" s="44">
        <f>+E43*H43</f>
        <v>500</v>
      </c>
      <c r="K43" s="44">
        <f>+I43*J43</f>
        <v>60000</v>
      </c>
      <c r="L43" s="370">
        <f>SUM(K43:K50)</f>
        <v>66000</v>
      </c>
      <c r="N43" s="66">
        <f t="shared" si="20"/>
        <v>200</v>
      </c>
      <c r="O43" s="67">
        <f t="shared" si="21"/>
        <v>90000</v>
      </c>
      <c r="P43" s="68">
        <f t="shared" ref="P43:P50" si="34">+IFERROR(K43/N43,0)</f>
        <v>300</v>
      </c>
      <c r="Q43" s="68">
        <f t="shared" ref="Q43:Q50" si="35">+IFERROR(K43/O43,0)</f>
        <v>0.66666666666666663</v>
      </c>
      <c r="R43" s="69">
        <f t="shared" ref="R43:R50" si="36">+B43*C43*E43</f>
        <v>60000</v>
      </c>
      <c r="T43" s="70" t="str">
        <f>IFERROR(VLOOKUP(A43,VLOOKUPS!$A$34:$B$50,2,0),"Ander")</f>
        <v>Ander</v>
      </c>
      <c r="U43" s="71">
        <f t="shared" ref="U43:U50" si="37">IF(T43="Syngenta",K43,0)</f>
        <v>0</v>
      </c>
      <c r="V43" s="71">
        <f t="shared" ref="V43:V50" si="38">IF(T43="Ander",K43,0)</f>
        <v>60000</v>
      </c>
    </row>
    <row r="44" spans="1:22" x14ac:dyDescent="0.25">
      <c r="A44" s="9" t="s">
        <v>166</v>
      </c>
      <c r="B44" s="191">
        <v>0.03</v>
      </c>
      <c r="C44" s="180">
        <v>200</v>
      </c>
      <c r="D44" s="190">
        <f t="shared" ref="D44:D50" si="39">+B44*C44</f>
        <v>6</v>
      </c>
      <c r="E44" s="12">
        <v>1000</v>
      </c>
      <c r="F44" s="47">
        <f t="shared" ref="F44:F50" si="40">IFERROR((D44*E44)/C44,0)</f>
        <v>30</v>
      </c>
      <c r="G44" s="374"/>
      <c r="H44" s="13">
        <v>1</v>
      </c>
      <c r="I44" s="48">
        <f t="shared" si="33"/>
        <v>6</v>
      </c>
      <c r="J44" s="47">
        <f t="shared" ref="J44:J50" si="41">+E44*H44</f>
        <v>1000</v>
      </c>
      <c r="K44" s="47">
        <f t="shared" ref="K44:K50" si="42">+I44*J44</f>
        <v>6000</v>
      </c>
      <c r="L44" s="371"/>
      <c r="N44" s="66">
        <f t="shared" si="20"/>
        <v>200</v>
      </c>
      <c r="O44" s="67">
        <f t="shared" si="21"/>
        <v>90000</v>
      </c>
      <c r="P44" s="68">
        <f t="shared" si="34"/>
        <v>30</v>
      </c>
      <c r="Q44" s="68">
        <f t="shared" si="35"/>
        <v>6.6666666666666666E-2</v>
      </c>
      <c r="R44" s="69">
        <f t="shared" si="36"/>
        <v>6000</v>
      </c>
      <c r="T44" s="70" t="str">
        <f>IFERROR(VLOOKUP(A44,VLOOKUPS!$A$34:$B$50,2,0),"Ander")</f>
        <v>Ander</v>
      </c>
      <c r="U44" s="71">
        <f t="shared" si="37"/>
        <v>0</v>
      </c>
      <c r="V44" s="71">
        <f t="shared" si="38"/>
        <v>6000</v>
      </c>
    </row>
    <row r="45" spans="1:22" x14ac:dyDescent="0.25">
      <c r="A45" s="9"/>
      <c r="B45" s="191"/>
      <c r="C45" s="180"/>
      <c r="D45" s="190">
        <f t="shared" si="39"/>
        <v>0</v>
      </c>
      <c r="E45" s="12"/>
      <c r="F45" s="47">
        <f t="shared" si="40"/>
        <v>0</v>
      </c>
      <c r="G45" s="374"/>
      <c r="H45" s="13"/>
      <c r="I45" s="48">
        <f t="shared" si="33"/>
        <v>0</v>
      </c>
      <c r="J45" s="47">
        <f t="shared" si="41"/>
        <v>0</v>
      </c>
      <c r="K45" s="47">
        <f t="shared" si="42"/>
        <v>0</v>
      </c>
      <c r="L45" s="371"/>
      <c r="N45" s="66">
        <f t="shared" si="20"/>
        <v>0</v>
      </c>
      <c r="O45" s="67">
        <f t="shared" si="21"/>
        <v>0</v>
      </c>
      <c r="P45" s="68">
        <f t="shared" si="34"/>
        <v>0</v>
      </c>
      <c r="Q45" s="68">
        <f t="shared" si="35"/>
        <v>0</v>
      </c>
      <c r="R45" s="69">
        <f t="shared" si="36"/>
        <v>0</v>
      </c>
      <c r="T45" s="70" t="str">
        <f>IFERROR(VLOOKUP(A45,VLOOKUPS!$A$34:$B$50,2,0),"Ander")</f>
        <v>Ander</v>
      </c>
      <c r="U45" s="71">
        <f t="shared" si="37"/>
        <v>0</v>
      </c>
      <c r="V45" s="71">
        <f t="shared" si="38"/>
        <v>0</v>
      </c>
    </row>
    <row r="46" spans="1:22" x14ac:dyDescent="0.25">
      <c r="A46" s="9"/>
      <c r="B46" s="191"/>
      <c r="C46" s="180"/>
      <c r="D46" s="190">
        <f t="shared" si="39"/>
        <v>0</v>
      </c>
      <c r="E46" s="12"/>
      <c r="F46" s="47">
        <f t="shared" si="40"/>
        <v>0</v>
      </c>
      <c r="G46" s="374"/>
      <c r="H46" s="13"/>
      <c r="I46" s="48">
        <f t="shared" si="33"/>
        <v>0</v>
      </c>
      <c r="J46" s="47">
        <f t="shared" si="41"/>
        <v>0</v>
      </c>
      <c r="K46" s="47">
        <f t="shared" si="42"/>
        <v>0</v>
      </c>
      <c r="L46" s="371"/>
      <c r="N46" s="66"/>
      <c r="O46" s="67"/>
      <c r="P46" s="68"/>
      <c r="Q46" s="68"/>
      <c r="R46" s="69"/>
      <c r="T46" s="70" t="str">
        <f>IFERROR(VLOOKUP(A46,VLOOKUPS!$A$34:$B$50,2,0),"Ander")</f>
        <v>Ander</v>
      </c>
      <c r="U46" s="71">
        <f t="shared" ref="U46:U47" si="43">IF(T46="Syngenta",K46,0)</f>
        <v>0</v>
      </c>
      <c r="V46" s="71">
        <f t="shared" ref="V46:V47" si="44">IF(T46="Ander",K46,0)</f>
        <v>0</v>
      </c>
    </row>
    <row r="47" spans="1:22" x14ac:dyDescent="0.25">
      <c r="A47" s="9"/>
      <c r="B47" s="191"/>
      <c r="C47" s="180"/>
      <c r="D47" s="190">
        <f t="shared" si="39"/>
        <v>0</v>
      </c>
      <c r="E47" s="12"/>
      <c r="F47" s="47">
        <f t="shared" si="40"/>
        <v>0</v>
      </c>
      <c r="G47" s="374"/>
      <c r="H47" s="13"/>
      <c r="I47" s="48">
        <f t="shared" si="33"/>
        <v>0</v>
      </c>
      <c r="J47" s="47">
        <f t="shared" si="41"/>
        <v>0</v>
      </c>
      <c r="K47" s="47">
        <f t="shared" si="42"/>
        <v>0</v>
      </c>
      <c r="L47" s="371"/>
      <c r="N47" s="66"/>
      <c r="O47" s="67"/>
      <c r="P47" s="68"/>
      <c r="Q47" s="68"/>
      <c r="R47" s="69"/>
      <c r="T47" s="70" t="str">
        <f>IFERROR(VLOOKUP(A47,VLOOKUPS!$A$34:$B$50,2,0),"Ander")</f>
        <v>Ander</v>
      </c>
      <c r="U47" s="71">
        <f t="shared" si="43"/>
        <v>0</v>
      </c>
      <c r="V47" s="71">
        <f t="shared" si="44"/>
        <v>0</v>
      </c>
    </row>
    <row r="48" spans="1:22" x14ac:dyDescent="0.25">
      <c r="A48" s="9"/>
      <c r="B48" s="191"/>
      <c r="C48" s="180"/>
      <c r="D48" s="190">
        <f t="shared" si="39"/>
        <v>0</v>
      </c>
      <c r="E48" s="12"/>
      <c r="F48" s="47">
        <f t="shared" si="40"/>
        <v>0</v>
      </c>
      <c r="G48" s="374"/>
      <c r="H48" s="13"/>
      <c r="I48" s="48">
        <f t="shared" si="33"/>
        <v>0</v>
      </c>
      <c r="J48" s="47">
        <f t="shared" si="41"/>
        <v>0</v>
      </c>
      <c r="K48" s="47">
        <f t="shared" si="42"/>
        <v>0</v>
      </c>
      <c r="L48" s="371"/>
      <c r="N48" s="66">
        <f t="shared" si="20"/>
        <v>0</v>
      </c>
      <c r="O48" s="67">
        <f t="shared" si="21"/>
        <v>0</v>
      </c>
      <c r="P48" s="68">
        <f t="shared" si="34"/>
        <v>0</v>
      </c>
      <c r="Q48" s="68">
        <f t="shared" si="35"/>
        <v>0</v>
      </c>
      <c r="R48" s="69">
        <f t="shared" si="36"/>
        <v>0</v>
      </c>
      <c r="T48" s="70" t="str">
        <f>IFERROR(VLOOKUP(A48,VLOOKUPS!$A$34:$B$50,2,0),"Ander")</f>
        <v>Ander</v>
      </c>
      <c r="U48" s="71">
        <f t="shared" si="37"/>
        <v>0</v>
      </c>
      <c r="V48" s="71">
        <f t="shared" si="38"/>
        <v>0</v>
      </c>
    </row>
    <row r="49" spans="1:22" x14ac:dyDescent="0.25">
      <c r="A49" s="9"/>
      <c r="B49" s="191"/>
      <c r="C49" s="180"/>
      <c r="D49" s="190">
        <f t="shared" si="39"/>
        <v>0</v>
      </c>
      <c r="E49" s="12"/>
      <c r="F49" s="47">
        <f t="shared" si="40"/>
        <v>0</v>
      </c>
      <c r="G49" s="374"/>
      <c r="H49" s="13"/>
      <c r="I49" s="48">
        <f t="shared" si="33"/>
        <v>0</v>
      </c>
      <c r="J49" s="47">
        <f t="shared" si="41"/>
        <v>0</v>
      </c>
      <c r="K49" s="47">
        <f t="shared" si="42"/>
        <v>0</v>
      </c>
      <c r="L49" s="371"/>
      <c r="N49" s="66">
        <f t="shared" si="20"/>
        <v>0</v>
      </c>
      <c r="O49" s="67">
        <f t="shared" si="21"/>
        <v>0</v>
      </c>
      <c r="P49" s="68">
        <f t="shared" si="34"/>
        <v>0</v>
      </c>
      <c r="Q49" s="68">
        <f t="shared" si="35"/>
        <v>0</v>
      </c>
      <c r="R49" s="69">
        <f t="shared" si="36"/>
        <v>0</v>
      </c>
      <c r="T49" s="70" t="str">
        <f>IFERROR(VLOOKUP(A49,VLOOKUPS!$A$34:$B$50,2,0),"Ander")</f>
        <v>Ander</v>
      </c>
      <c r="U49" s="71">
        <f t="shared" si="37"/>
        <v>0</v>
      </c>
      <c r="V49" s="71">
        <f t="shared" si="38"/>
        <v>0</v>
      </c>
    </row>
    <row r="50" spans="1:22" ht="15.75" thickBot="1" x14ac:dyDescent="0.3">
      <c r="A50" s="14"/>
      <c r="B50" s="192"/>
      <c r="C50" s="182"/>
      <c r="D50" s="189">
        <f t="shared" si="39"/>
        <v>0</v>
      </c>
      <c r="E50" s="17"/>
      <c r="F50" s="50">
        <f t="shared" si="40"/>
        <v>0</v>
      </c>
      <c r="G50" s="375"/>
      <c r="H50" s="18"/>
      <c r="I50" s="51">
        <f t="shared" si="33"/>
        <v>0</v>
      </c>
      <c r="J50" s="50">
        <f t="shared" si="41"/>
        <v>0</v>
      </c>
      <c r="K50" s="50">
        <f t="shared" si="42"/>
        <v>0</v>
      </c>
      <c r="L50" s="372"/>
      <c r="N50" s="66">
        <f t="shared" si="20"/>
        <v>0</v>
      </c>
      <c r="O50" s="67">
        <f t="shared" si="21"/>
        <v>0</v>
      </c>
      <c r="P50" s="68">
        <f t="shared" si="34"/>
        <v>0</v>
      </c>
      <c r="Q50" s="68">
        <f t="shared" si="35"/>
        <v>0</v>
      </c>
      <c r="R50" s="69">
        <f t="shared" si="36"/>
        <v>0</v>
      </c>
      <c r="T50" s="70" t="str">
        <f>IFERROR(VLOOKUP(A50,VLOOKUPS!$A$34:$B$50,2,0),"Ander")</f>
        <v>Ander</v>
      </c>
      <c r="U50" s="71">
        <f t="shared" si="37"/>
        <v>0</v>
      </c>
      <c r="V50" s="71">
        <f t="shared" si="38"/>
        <v>0</v>
      </c>
    </row>
    <row r="51" spans="1:22" ht="15.75" thickBot="1" x14ac:dyDescent="0.3">
      <c r="N51" s="66"/>
      <c r="O51" s="67"/>
      <c r="P51" s="68"/>
      <c r="Q51" s="68"/>
      <c r="R51" s="69"/>
      <c r="U51" s="72">
        <f>SUM(U43:U50)</f>
        <v>0</v>
      </c>
      <c r="V51" s="72">
        <f>SUM(V43:V50)</f>
        <v>66000</v>
      </c>
    </row>
    <row r="52" spans="1:22" ht="18.75" thickTop="1" thickBot="1" x14ac:dyDescent="0.3">
      <c r="A52" s="412" t="s">
        <v>64</v>
      </c>
      <c r="B52" s="413"/>
      <c r="C52" s="413"/>
      <c r="D52" s="413"/>
      <c r="E52" s="413"/>
      <c r="F52" s="413"/>
      <c r="G52" s="413"/>
      <c r="H52" s="413"/>
      <c r="I52" s="413"/>
      <c r="J52" s="413"/>
      <c r="K52" s="413"/>
      <c r="L52" s="414"/>
      <c r="N52" s="66"/>
      <c r="O52" s="67"/>
      <c r="P52" s="68"/>
      <c r="Q52" s="68"/>
      <c r="R52" s="69"/>
      <c r="U52" s="71"/>
      <c r="V52" s="71"/>
    </row>
    <row r="53" spans="1:22" ht="45.75" thickBot="1" x14ac:dyDescent="0.3">
      <c r="A53" s="37" t="s">
        <v>1</v>
      </c>
      <c r="B53" s="38" t="s">
        <v>62</v>
      </c>
      <c r="C53" s="39" t="s">
        <v>186</v>
      </c>
      <c r="D53" s="40" t="s">
        <v>93</v>
      </c>
      <c r="E53" s="39" t="s">
        <v>61</v>
      </c>
      <c r="F53" s="40" t="s">
        <v>94</v>
      </c>
      <c r="G53" s="41" t="s">
        <v>60</v>
      </c>
      <c r="H53" s="39" t="s">
        <v>59</v>
      </c>
      <c r="I53" s="103" t="s">
        <v>56</v>
      </c>
      <c r="J53" s="40" t="s">
        <v>57</v>
      </c>
      <c r="K53" s="40" t="s">
        <v>58</v>
      </c>
      <c r="L53" s="42" t="s">
        <v>0</v>
      </c>
      <c r="N53" s="66"/>
      <c r="O53" s="67"/>
      <c r="P53" s="68"/>
      <c r="Q53" s="68"/>
      <c r="R53" s="69"/>
      <c r="U53" s="71"/>
      <c r="V53" s="71"/>
    </row>
    <row r="54" spans="1:22" x14ac:dyDescent="0.25">
      <c r="A54" s="4" t="s">
        <v>169</v>
      </c>
      <c r="B54" s="193">
        <v>2</v>
      </c>
      <c r="C54" s="180">
        <v>20</v>
      </c>
      <c r="D54" s="190">
        <f>B54*C54</f>
        <v>40</v>
      </c>
      <c r="E54" s="7">
        <v>200</v>
      </c>
      <c r="F54" s="44">
        <f>IFERROR((D54*E54)/C54,0)</f>
        <v>400</v>
      </c>
      <c r="G54" s="373">
        <f>SUM(F54:F63)</f>
        <v>1780</v>
      </c>
      <c r="H54" s="8">
        <v>5</v>
      </c>
      <c r="I54" s="45">
        <f>+IFERROR(ROUNDUP(D54/H54,0),0)</f>
        <v>8</v>
      </c>
      <c r="J54" s="44">
        <f>+E54*H54</f>
        <v>1000</v>
      </c>
      <c r="K54" s="44">
        <f>+I54*J54</f>
        <v>8000</v>
      </c>
      <c r="L54" s="370">
        <f>SUM(K54:K63)</f>
        <v>34200</v>
      </c>
      <c r="N54" s="66">
        <f t="shared" si="20"/>
        <v>20</v>
      </c>
      <c r="O54" s="67">
        <f t="shared" si="21"/>
        <v>9000</v>
      </c>
      <c r="P54" s="68">
        <f t="shared" ref="P54:P63" si="45">+IFERROR(K54/N54,0)</f>
        <v>400</v>
      </c>
      <c r="Q54" s="68">
        <f t="shared" ref="Q54:Q63" si="46">+IFERROR(K54/O54,0)</f>
        <v>0.88888888888888884</v>
      </c>
      <c r="R54" s="69">
        <f t="shared" ref="R54:R63" si="47">+B54*C54*E54</f>
        <v>8000</v>
      </c>
      <c r="T54" s="70" t="str">
        <f>IFERROR(VLOOKUP(A54,VLOOKUPS!$A$34:$B$50,2,0),"Ander")</f>
        <v>Ander</v>
      </c>
      <c r="U54" s="71">
        <f t="shared" ref="U54" si="48">IF(T54="Syngenta",K54,0)</f>
        <v>0</v>
      </c>
      <c r="V54" s="71">
        <f t="shared" ref="V54" si="49">IF(T54="Ander",K54,0)</f>
        <v>8000</v>
      </c>
    </row>
    <row r="55" spans="1:22" x14ac:dyDescent="0.25">
      <c r="A55" s="9" t="s">
        <v>181</v>
      </c>
      <c r="B55" s="191">
        <v>0.6</v>
      </c>
      <c r="C55" s="180">
        <v>30</v>
      </c>
      <c r="D55" s="190">
        <f t="shared" ref="D55:D63" si="50">B55*C55</f>
        <v>18</v>
      </c>
      <c r="E55" s="12">
        <v>500</v>
      </c>
      <c r="F55" s="47">
        <f t="shared" ref="F55:F63" si="51">IFERROR((D55*E55)/C55,0)</f>
        <v>300</v>
      </c>
      <c r="G55" s="374"/>
      <c r="H55" s="13">
        <v>5</v>
      </c>
      <c r="I55" s="48">
        <f t="shared" ref="I55:I56" si="52">+IFERROR(ROUNDUP(D55/H55,0),0)</f>
        <v>4</v>
      </c>
      <c r="J55" s="47">
        <f t="shared" ref="J55:J56" si="53">+E55*H55</f>
        <v>2500</v>
      </c>
      <c r="K55" s="47">
        <f t="shared" ref="K55:K56" si="54">+I55*J55</f>
        <v>10000</v>
      </c>
      <c r="L55" s="371"/>
      <c r="N55" s="66">
        <f t="shared" si="20"/>
        <v>33.333333333333336</v>
      </c>
      <c r="O55" s="67">
        <f t="shared" si="21"/>
        <v>13500</v>
      </c>
      <c r="P55" s="68">
        <f t="shared" si="45"/>
        <v>300</v>
      </c>
      <c r="Q55" s="68">
        <f t="shared" si="46"/>
        <v>0.7407407407407407</v>
      </c>
      <c r="R55" s="69">
        <f t="shared" si="47"/>
        <v>9000</v>
      </c>
      <c r="T55" s="70" t="str">
        <f>IFERROR(VLOOKUP(A55,VLOOKUPS!$A$34:$B$50,2,0),"Ander")</f>
        <v>Ander</v>
      </c>
      <c r="U55" s="71">
        <f t="shared" ref="U55:U63" si="55">IF(T55="Syngenta",K55,0)</f>
        <v>0</v>
      </c>
      <c r="V55" s="71">
        <f t="shared" ref="V55:V63" si="56">IF(T55="Ander",K55,0)</f>
        <v>10000</v>
      </c>
    </row>
    <row r="56" spans="1:22" x14ac:dyDescent="0.25">
      <c r="A56" s="9" t="s">
        <v>24</v>
      </c>
      <c r="B56" s="191">
        <v>1.8</v>
      </c>
      <c r="C56" s="180">
        <v>15</v>
      </c>
      <c r="D56" s="190">
        <f t="shared" si="50"/>
        <v>27</v>
      </c>
      <c r="E56" s="12">
        <v>600</v>
      </c>
      <c r="F56" s="47">
        <f>IFERROR((D56*E56)/C56,0)</f>
        <v>1080</v>
      </c>
      <c r="G56" s="374"/>
      <c r="H56" s="13">
        <v>1</v>
      </c>
      <c r="I56" s="48">
        <f t="shared" si="52"/>
        <v>27</v>
      </c>
      <c r="J56" s="47">
        <f t="shared" si="53"/>
        <v>600</v>
      </c>
      <c r="K56" s="47">
        <f t="shared" si="54"/>
        <v>16200</v>
      </c>
      <c r="L56" s="371"/>
      <c r="N56" s="66">
        <f t="shared" si="20"/>
        <v>15</v>
      </c>
      <c r="O56" s="67">
        <f t="shared" si="21"/>
        <v>6750</v>
      </c>
      <c r="P56" s="68">
        <f t="shared" si="45"/>
        <v>1080</v>
      </c>
      <c r="Q56" s="68">
        <f t="shared" si="46"/>
        <v>2.4</v>
      </c>
      <c r="R56" s="69">
        <f t="shared" si="47"/>
        <v>16200</v>
      </c>
      <c r="T56" s="70" t="str">
        <f>IFERROR(VLOOKUP(A56,VLOOKUPS!$A$34:$B$50,2,0),"Ander")</f>
        <v>Ander</v>
      </c>
      <c r="U56" s="71">
        <f t="shared" si="55"/>
        <v>0</v>
      </c>
      <c r="V56" s="71">
        <f t="shared" si="56"/>
        <v>16200</v>
      </c>
    </row>
    <row r="57" spans="1:22" x14ac:dyDescent="0.25">
      <c r="A57" s="9"/>
      <c r="B57" s="191"/>
      <c r="C57" s="180"/>
      <c r="D57" s="190">
        <f t="shared" si="50"/>
        <v>0</v>
      </c>
      <c r="E57" s="12"/>
      <c r="F57" s="47">
        <f t="shared" si="51"/>
        <v>0</v>
      </c>
      <c r="G57" s="374"/>
      <c r="H57" s="13"/>
      <c r="I57" s="48">
        <f t="shared" ref="I57:I63" si="57">+IFERROR(ROUNDUP(D57/H57,0),0)</f>
        <v>0</v>
      </c>
      <c r="J57" s="47">
        <f t="shared" ref="J57:J63" si="58">+E57*H57</f>
        <v>0</v>
      </c>
      <c r="K57" s="47">
        <f t="shared" ref="K57:K63" si="59">+I57*J57</f>
        <v>0</v>
      </c>
      <c r="L57" s="371"/>
      <c r="N57" s="66"/>
      <c r="O57" s="67"/>
      <c r="P57" s="68"/>
      <c r="Q57" s="68"/>
      <c r="R57" s="69"/>
      <c r="T57" s="70" t="str">
        <f>IFERROR(VLOOKUP(A57,VLOOKUPS!$A$34:$B$50,2,0),"Ander")</f>
        <v>Ander</v>
      </c>
      <c r="U57" s="71">
        <f t="shared" si="55"/>
        <v>0</v>
      </c>
      <c r="V57" s="71">
        <f t="shared" si="56"/>
        <v>0</v>
      </c>
    </row>
    <row r="58" spans="1:22" x14ac:dyDescent="0.25">
      <c r="A58" s="9"/>
      <c r="B58" s="191"/>
      <c r="C58" s="180"/>
      <c r="D58" s="190">
        <f t="shared" si="50"/>
        <v>0</v>
      </c>
      <c r="E58" s="12"/>
      <c r="F58" s="47">
        <f t="shared" si="51"/>
        <v>0</v>
      </c>
      <c r="G58" s="374"/>
      <c r="H58" s="13"/>
      <c r="I58" s="48">
        <f t="shared" si="57"/>
        <v>0</v>
      </c>
      <c r="J58" s="47">
        <f t="shared" si="58"/>
        <v>0</v>
      </c>
      <c r="K58" s="47">
        <f t="shared" si="59"/>
        <v>0</v>
      </c>
      <c r="L58" s="371"/>
      <c r="N58" s="66"/>
      <c r="O58" s="67"/>
      <c r="P58" s="68"/>
      <c r="Q58" s="68"/>
      <c r="R58" s="69"/>
      <c r="T58" s="70" t="str">
        <f>IFERROR(VLOOKUP(A58,VLOOKUPS!$A$34:$B$50,2,0),"Ander")</f>
        <v>Ander</v>
      </c>
      <c r="U58" s="71">
        <f t="shared" si="55"/>
        <v>0</v>
      </c>
      <c r="V58" s="71">
        <f t="shared" si="56"/>
        <v>0</v>
      </c>
    </row>
    <row r="59" spans="1:22" x14ac:dyDescent="0.25">
      <c r="A59" s="9"/>
      <c r="B59" s="191"/>
      <c r="C59" s="180"/>
      <c r="D59" s="190">
        <f t="shared" si="50"/>
        <v>0</v>
      </c>
      <c r="E59" s="12"/>
      <c r="F59" s="47">
        <f t="shared" si="51"/>
        <v>0</v>
      </c>
      <c r="G59" s="374"/>
      <c r="H59" s="13"/>
      <c r="I59" s="48">
        <f t="shared" si="57"/>
        <v>0</v>
      </c>
      <c r="J59" s="47">
        <f t="shared" si="58"/>
        <v>0</v>
      </c>
      <c r="K59" s="47">
        <f t="shared" si="59"/>
        <v>0</v>
      </c>
      <c r="L59" s="371"/>
      <c r="N59" s="66"/>
      <c r="O59" s="67"/>
      <c r="P59" s="68"/>
      <c r="Q59" s="68"/>
      <c r="R59" s="69"/>
      <c r="T59" s="70" t="str">
        <f>IFERROR(VLOOKUP(A59,VLOOKUPS!$A$34:$B$50,2,0),"Ander")</f>
        <v>Ander</v>
      </c>
      <c r="U59" s="71">
        <f t="shared" ref="U59:U60" si="60">IF(T59="Syngenta",K59,0)</f>
        <v>0</v>
      </c>
      <c r="V59" s="71">
        <f t="shared" ref="V59:V60" si="61">IF(T59="Ander",K59,0)</f>
        <v>0</v>
      </c>
    </row>
    <row r="60" spans="1:22" x14ac:dyDescent="0.25">
      <c r="A60" s="9"/>
      <c r="B60" s="191"/>
      <c r="C60" s="180"/>
      <c r="D60" s="190">
        <f t="shared" si="50"/>
        <v>0</v>
      </c>
      <c r="E60" s="12"/>
      <c r="F60" s="47">
        <f t="shared" si="51"/>
        <v>0</v>
      </c>
      <c r="G60" s="374"/>
      <c r="H60" s="13"/>
      <c r="I60" s="48">
        <f t="shared" si="57"/>
        <v>0</v>
      </c>
      <c r="J60" s="47">
        <f t="shared" si="58"/>
        <v>0</v>
      </c>
      <c r="K60" s="47">
        <f t="shared" si="59"/>
        <v>0</v>
      </c>
      <c r="L60" s="371"/>
      <c r="N60" s="66"/>
      <c r="O60" s="67"/>
      <c r="P60" s="68"/>
      <c r="Q60" s="68"/>
      <c r="R60" s="69"/>
      <c r="T60" s="70" t="str">
        <f>IFERROR(VLOOKUP(A60,VLOOKUPS!$A$34:$B$50,2,0),"Ander")</f>
        <v>Ander</v>
      </c>
      <c r="U60" s="71">
        <f t="shared" si="60"/>
        <v>0</v>
      </c>
      <c r="V60" s="71">
        <f t="shared" si="61"/>
        <v>0</v>
      </c>
    </row>
    <row r="61" spans="1:22" x14ac:dyDescent="0.25">
      <c r="A61" s="9"/>
      <c r="B61" s="191"/>
      <c r="C61" s="180"/>
      <c r="D61" s="190">
        <f t="shared" si="50"/>
        <v>0</v>
      </c>
      <c r="E61" s="12"/>
      <c r="F61" s="47">
        <f t="shared" si="51"/>
        <v>0</v>
      </c>
      <c r="G61" s="374"/>
      <c r="H61" s="13"/>
      <c r="I61" s="48">
        <f t="shared" si="57"/>
        <v>0</v>
      </c>
      <c r="J61" s="47">
        <f t="shared" si="58"/>
        <v>0</v>
      </c>
      <c r="K61" s="47">
        <f t="shared" si="59"/>
        <v>0</v>
      </c>
      <c r="L61" s="371"/>
      <c r="N61" s="66">
        <f t="shared" si="20"/>
        <v>0</v>
      </c>
      <c r="O61" s="67">
        <f t="shared" si="21"/>
        <v>0</v>
      </c>
      <c r="P61" s="68">
        <f t="shared" si="45"/>
        <v>0</v>
      </c>
      <c r="Q61" s="68">
        <f t="shared" si="46"/>
        <v>0</v>
      </c>
      <c r="R61" s="69">
        <f t="shared" si="47"/>
        <v>0</v>
      </c>
      <c r="T61" s="70" t="str">
        <f>IFERROR(VLOOKUP(A61,VLOOKUPS!$A$34:$B$50,2,0),"Ander")</f>
        <v>Ander</v>
      </c>
      <c r="U61" s="71">
        <f t="shared" si="55"/>
        <v>0</v>
      </c>
      <c r="V61" s="71">
        <f t="shared" si="56"/>
        <v>0</v>
      </c>
    </row>
    <row r="62" spans="1:22" x14ac:dyDescent="0.25">
      <c r="A62" s="9"/>
      <c r="B62" s="191"/>
      <c r="C62" s="180"/>
      <c r="D62" s="190">
        <f t="shared" si="50"/>
        <v>0</v>
      </c>
      <c r="E62" s="12"/>
      <c r="F62" s="47">
        <f t="shared" si="51"/>
        <v>0</v>
      </c>
      <c r="G62" s="374"/>
      <c r="H62" s="13"/>
      <c r="I62" s="48">
        <f t="shared" si="57"/>
        <v>0</v>
      </c>
      <c r="J62" s="47">
        <f t="shared" si="58"/>
        <v>0</v>
      </c>
      <c r="K62" s="47">
        <f t="shared" si="59"/>
        <v>0</v>
      </c>
      <c r="L62" s="371"/>
      <c r="N62" s="66">
        <f t="shared" si="20"/>
        <v>0</v>
      </c>
      <c r="O62" s="67">
        <f t="shared" si="21"/>
        <v>0</v>
      </c>
      <c r="P62" s="68">
        <f t="shared" si="45"/>
        <v>0</v>
      </c>
      <c r="Q62" s="68">
        <f t="shared" si="46"/>
        <v>0</v>
      </c>
      <c r="R62" s="69">
        <f t="shared" si="47"/>
        <v>0</v>
      </c>
      <c r="T62" s="70" t="str">
        <f>IFERROR(VLOOKUP(A62,VLOOKUPS!$A$34:$B$50,2,0),"Ander")</f>
        <v>Ander</v>
      </c>
      <c r="U62" s="71">
        <f t="shared" si="55"/>
        <v>0</v>
      </c>
      <c r="V62" s="71">
        <f t="shared" si="56"/>
        <v>0</v>
      </c>
    </row>
    <row r="63" spans="1:22" ht="15.75" thickBot="1" x14ac:dyDescent="0.3">
      <c r="A63" s="14"/>
      <c r="B63" s="192"/>
      <c r="C63" s="182"/>
      <c r="D63" s="189">
        <f t="shared" si="50"/>
        <v>0</v>
      </c>
      <c r="E63" s="17"/>
      <c r="F63" s="50">
        <f t="shared" si="51"/>
        <v>0</v>
      </c>
      <c r="G63" s="375"/>
      <c r="H63" s="18"/>
      <c r="I63" s="51">
        <f t="shared" si="57"/>
        <v>0</v>
      </c>
      <c r="J63" s="50">
        <f t="shared" si="58"/>
        <v>0</v>
      </c>
      <c r="K63" s="50">
        <f t="shared" si="59"/>
        <v>0</v>
      </c>
      <c r="L63" s="372"/>
      <c r="N63" s="66">
        <f t="shared" si="20"/>
        <v>0</v>
      </c>
      <c r="O63" s="67">
        <f t="shared" si="21"/>
        <v>0</v>
      </c>
      <c r="P63" s="68">
        <f t="shared" si="45"/>
        <v>0</v>
      </c>
      <c r="Q63" s="68">
        <f t="shared" si="46"/>
        <v>0</v>
      </c>
      <c r="R63" s="69">
        <f t="shared" si="47"/>
        <v>0</v>
      </c>
      <c r="T63" s="70" t="str">
        <f>IFERROR(VLOOKUP(A63,VLOOKUPS!$A$34:$B$50,2,0),"Ander")</f>
        <v>Ander</v>
      </c>
      <c r="U63" s="71">
        <f t="shared" si="55"/>
        <v>0</v>
      </c>
      <c r="V63" s="71">
        <f t="shared" si="56"/>
        <v>0</v>
      </c>
    </row>
    <row r="64" spans="1:22" ht="15.75" thickBot="1" x14ac:dyDescent="0.3">
      <c r="N64" s="66"/>
      <c r="O64" s="67"/>
      <c r="P64" s="68"/>
      <c r="Q64" s="68"/>
      <c r="R64" s="69"/>
      <c r="U64" s="72">
        <f>SUM(U54:U63)</f>
        <v>0</v>
      </c>
      <c r="V64" s="72">
        <f>SUM(V54:V63)</f>
        <v>34200</v>
      </c>
    </row>
    <row r="65" spans="1:22" ht="18.75" thickTop="1" thickBot="1" x14ac:dyDescent="0.35">
      <c r="A65" s="409" t="s">
        <v>67</v>
      </c>
      <c r="B65" s="410"/>
      <c r="C65" s="410"/>
      <c r="D65" s="410"/>
      <c r="E65" s="410"/>
      <c r="F65" s="410"/>
      <c r="G65" s="410"/>
      <c r="H65" s="410"/>
      <c r="I65" s="410"/>
      <c r="J65" s="410"/>
      <c r="K65" s="410"/>
      <c r="L65" s="411"/>
      <c r="N65" s="66"/>
      <c r="O65" s="67"/>
      <c r="P65" s="68"/>
      <c r="Q65" s="68"/>
      <c r="R65" s="69"/>
      <c r="U65" s="71"/>
      <c r="V65" s="71"/>
    </row>
    <row r="66" spans="1:22" ht="45.75" thickBot="1" x14ac:dyDescent="0.3">
      <c r="A66" s="37" t="s">
        <v>1</v>
      </c>
      <c r="B66" s="38" t="s">
        <v>62</v>
      </c>
      <c r="C66" s="39" t="s">
        <v>186</v>
      </c>
      <c r="D66" s="40" t="s">
        <v>93</v>
      </c>
      <c r="E66" s="39" t="s">
        <v>61</v>
      </c>
      <c r="F66" s="40" t="s">
        <v>94</v>
      </c>
      <c r="G66" s="41" t="s">
        <v>60</v>
      </c>
      <c r="H66" s="39" t="s">
        <v>59</v>
      </c>
      <c r="I66" s="103" t="s">
        <v>56</v>
      </c>
      <c r="J66" s="40" t="s">
        <v>57</v>
      </c>
      <c r="K66" s="40" t="s">
        <v>58</v>
      </c>
      <c r="L66" s="42" t="s">
        <v>0</v>
      </c>
      <c r="N66" s="66"/>
      <c r="O66" s="67"/>
      <c r="P66" s="68"/>
      <c r="Q66" s="68"/>
      <c r="R66" s="69"/>
      <c r="U66" s="71"/>
      <c r="V66" s="71"/>
    </row>
    <row r="67" spans="1:22" x14ac:dyDescent="0.25">
      <c r="A67" s="4" t="s">
        <v>156</v>
      </c>
      <c r="B67" s="193">
        <v>0.5</v>
      </c>
      <c r="C67" s="180">
        <v>1</v>
      </c>
      <c r="D67" s="190">
        <f>B67*C67</f>
        <v>0.5</v>
      </c>
      <c r="E67" s="7">
        <v>500</v>
      </c>
      <c r="F67" s="44">
        <f>IFERROR((D67*E67)/C67,0)</f>
        <v>250</v>
      </c>
      <c r="G67" s="373">
        <f>SUM(F67:F70)</f>
        <v>250</v>
      </c>
      <c r="H67" s="8">
        <v>5</v>
      </c>
      <c r="I67" s="45">
        <f t="shared" ref="I67:I69" si="62">+IFERROR(ROUNDUP(D67/H67,0),0)</f>
        <v>1</v>
      </c>
      <c r="J67" s="44">
        <f>+E67*H67</f>
        <v>2500</v>
      </c>
      <c r="K67" s="44">
        <f>+I67*J67</f>
        <v>2500</v>
      </c>
      <c r="L67" s="370">
        <f>SUM(K67:K70)</f>
        <v>2500</v>
      </c>
      <c r="N67" s="66">
        <f t="shared" si="20"/>
        <v>10</v>
      </c>
      <c r="O67" s="67">
        <f t="shared" si="21"/>
        <v>450</v>
      </c>
      <c r="P67" s="68">
        <f t="shared" ref="P67:P70" si="63">+IFERROR(K67/N67,0)</f>
        <v>250</v>
      </c>
      <c r="Q67" s="68">
        <f t="shared" ref="Q67:Q70" si="64">+IFERROR(K67/O67,0)</f>
        <v>5.5555555555555554</v>
      </c>
      <c r="R67" s="69">
        <f t="shared" ref="R67:R70" si="65">+B67*C67*E67</f>
        <v>250</v>
      </c>
      <c r="T67" s="70" t="str">
        <f>IFERROR(VLOOKUP(A67,VLOOKUPS!$A$34:$B$50,2,0),"Ander")</f>
        <v>Ander</v>
      </c>
      <c r="U67" s="71">
        <f t="shared" ref="U67" si="66">IF(T67="Syngenta",K67,0)</f>
        <v>0</v>
      </c>
      <c r="V67" s="71">
        <f t="shared" ref="V67" si="67">IF(T67="Ander",K67,0)</f>
        <v>2500</v>
      </c>
    </row>
    <row r="68" spans="1:22" x14ac:dyDescent="0.25">
      <c r="A68" s="9"/>
      <c r="B68" s="191"/>
      <c r="C68" s="180"/>
      <c r="D68" s="190">
        <f t="shared" ref="D68:D70" si="68">B68*C68</f>
        <v>0</v>
      </c>
      <c r="E68" s="12"/>
      <c r="F68" s="47">
        <f t="shared" ref="F68:F70" si="69">IFERROR((D68*E68)/C68,0)</f>
        <v>0</v>
      </c>
      <c r="G68" s="374"/>
      <c r="H68" s="13"/>
      <c r="I68" s="48">
        <f t="shared" si="62"/>
        <v>0</v>
      </c>
      <c r="J68" s="47">
        <f t="shared" ref="J68:J70" si="70">+E68*H68</f>
        <v>0</v>
      </c>
      <c r="K68" s="47">
        <f t="shared" ref="K68:K70" si="71">+I68*J68</f>
        <v>0</v>
      </c>
      <c r="L68" s="371"/>
      <c r="N68" s="66">
        <f t="shared" si="20"/>
        <v>0</v>
      </c>
      <c r="O68" s="67">
        <f t="shared" si="21"/>
        <v>0</v>
      </c>
      <c r="P68" s="68">
        <f t="shared" si="63"/>
        <v>0</v>
      </c>
      <c r="Q68" s="68">
        <f t="shared" si="64"/>
        <v>0</v>
      </c>
      <c r="R68" s="69">
        <f t="shared" si="65"/>
        <v>0</v>
      </c>
      <c r="T68" s="70" t="str">
        <f>IFERROR(VLOOKUP(A68,VLOOKUPS!$A$34:$B$50,2,0),"Ander")</f>
        <v>Ander</v>
      </c>
      <c r="U68" s="71">
        <f t="shared" ref="U68:U70" si="72">IF(T68="Syngenta",K68,0)</f>
        <v>0</v>
      </c>
      <c r="V68" s="71">
        <f t="shared" ref="V68:V70" si="73">IF(T68="Ander",K68,0)</f>
        <v>0</v>
      </c>
    </row>
    <row r="69" spans="1:22" x14ac:dyDescent="0.25">
      <c r="A69" s="9"/>
      <c r="B69" s="191"/>
      <c r="C69" s="180"/>
      <c r="D69" s="190">
        <f t="shared" si="68"/>
        <v>0</v>
      </c>
      <c r="E69" s="12"/>
      <c r="F69" s="47">
        <f t="shared" si="69"/>
        <v>0</v>
      </c>
      <c r="G69" s="374"/>
      <c r="H69" s="13"/>
      <c r="I69" s="48">
        <f t="shared" si="62"/>
        <v>0</v>
      </c>
      <c r="J69" s="47">
        <f t="shared" si="70"/>
        <v>0</v>
      </c>
      <c r="K69" s="47">
        <f t="shared" si="71"/>
        <v>0</v>
      </c>
      <c r="L69" s="371"/>
      <c r="N69" s="66">
        <f t="shared" si="20"/>
        <v>0</v>
      </c>
      <c r="O69" s="67">
        <f t="shared" si="21"/>
        <v>0</v>
      </c>
      <c r="P69" s="68">
        <f t="shared" si="63"/>
        <v>0</v>
      </c>
      <c r="Q69" s="68">
        <f t="shared" si="64"/>
        <v>0</v>
      </c>
      <c r="R69" s="69">
        <f t="shared" si="65"/>
        <v>0</v>
      </c>
      <c r="T69" s="70" t="str">
        <f>IFERROR(VLOOKUP(A69,VLOOKUPS!$A$34:$B$50,2,0),"Ander")</f>
        <v>Ander</v>
      </c>
      <c r="U69" s="71">
        <f t="shared" si="72"/>
        <v>0</v>
      </c>
      <c r="V69" s="71">
        <f t="shared" si="73"/>
        <v>0</v>
      </c>
    </row>
    <row r="70" spans="1:22" ht="15.75" thickBot="1" x14ac:dyDescent="0.3">
      <c r="A70" s="14"/>
      <c r="B70" s="192"/>
      <c r="C70" s="182"/>
      <c r="D70" s="189">
        <f t="shared" si="68"/>
        <v>0</v>
      </c>
      <c r="E70" s="17"/>
      <c r="F70" s="50">
        <f t="shared" si="69"/>
        <v>0</v>
      </c>
      <c r="G70" s="375"/>
      <c r="H70" s="18"/>
      <c r="I70" s="51">
        <f t="shared" ref="I70" si="74">+IFERROR(ROUNDUP(D70/H70,0),0)</f>
        <v>0</v>
      </c>
      <c r="J70" s="50">
        <f t="shared" si="70"/>
        <v>0</v>
      </c>
      <c r="K70" s="50">
        <f t="shared" si="71"/>
        <v>0</v>
      </c>
      <c r="L70" s="372"/>
      <c r="N70" s="66">
        <f t="shared" si="20"/>
        <v>0</v>
      </c>
      <c r="O70" s="67">
        <f t="shared" si="21"/>
        <v>0</v>
      </c>
      <c r="P70" s="68">
        <f t="shared" si="63"/>
        <v>0</v>
      </c>
      <c r="Q70" s="68">
        <f t="shared" si="64"/>
        <v>0</v>
      </c>
      <c r="R70" s="69">
        <f t="shared" si="65"/>
        <v>0</v>
      </c>
      <c r="T70" s="70" t="str">
        <f>IFERROR(VLOOKUP(A70,VLOOKUPS!$A$34:$B$50,2,0),"Ander")</f>
        <v>Ander</v>
      </c>
      <c r="U70" s="71">
        <f t="shared" si="72"/>
        <v>0</v>
      </c>
      <c r="V70" s="71">
        <f t="shared" si="73"/>
        <v>0</v>
      </c>
    </row>
    <row r="71" spans="1:22" ht="15.75" thickBot="1" x14ac:dyDescent="0.3">
      <c r="U71" s="72">
        <f>SUM(U67:U70)</f>
        <v>0</v>
      </c>
      <c r="V71" s="72">
        <f>SUM(V67:V70)</f>
        <v>2500</v>
      </c>
    </row>
    <row r="72" spans="1:22" ht="15.75" thickTop="1" x14ac:dyDescent="0.25">
      <c r="U72" s="73"/>
      <c r="V72" s="73"/>
    </row>
    <row r="73" spans="1:22" ht="15" customHeight="1" thickBot="1" x14ac:dyDescent="0.3">
      <c r="B73" s="395" t="s">
        <v>89</v>
      </c>
      <c r="C73" s="396"/>
      <c r="D73" s="396"/>
      <c r="E73" s="396"/>
      <c r="F73" s="396"/>
      <c r="G73" s="396"/>
      <c r="H73" s="396"/>
      <c r="I73" s="396"/>
      <c r="J73" s="396"/>
      <c r="K73" s="397"/>
    </row>
    <row r="74" spans="1:22" ht="15.75" thickBot="1" x14ac:dyDescent="0.3">
      <c r="B74" s="398"/>
      <c r="C74" s="399"/>
      <c r="D74" s="399"/>
      <c r="E74" s="399"/>
      <c r="F74" s="399"/>
      <c r="G74" s="399"/>
      <c r="H74" s="399"/>
      <c r="I74" s="399"/>
      <c r="J74" s="399"/>
      <c r="K74" s="400"/>
      <c r="T74" s="74" t="s">
        <v>76</v>
      </c>
      <c r="U74" s="105">
        <f>U71+U64+U51+U40+U29</f>
        <v>1000</v>
      </c>
      <c r="V74" s="106">
        <f>V71+V64+V51+V40+V29</f>
        <v>119200</v>
      </c>
    </row>
    <row r="75" spans="1:22" x14ac:dyDescent="0.25">
      <c r="B75" s="36"/>
      <c r="C75" s="111"/>
      <c r="D75" s="111"/>
      <c r="E75" s="111"/>
      <c r="F75" s="111"/>
      <c r="T75" s="27" t="s">
        <v>77</v>
      </c>
      <c r="U75" s="75">
        <f>V74+U74-L14</f>
        <v>0</v>
      </c>
    </row>
    <row r="76" spans="1:22" x14ac:dyDescent="0.25">
      <c r="B76" s="36"/>
      <c r="C76" s="111"/>
      <c r="D76" s="111"/>
      <c r="E76" s="111"/>
      <c r="F76" s="111"/>
    </row>
    <row r="77" spans="1:22" x14ac:dyDescent="0.25">
      <c r="B77" s="36"/>
      <c r="C77" s="111"/>
      <c r="D77" s="111"/>
      <c r="E77" s="111"/>
      <c r="F77" s="111"/>
    </row>
  </sheetData>
  <sheetProtection selectLockedCells="1"/>
  <mergeCells count="44">
    <mergeCell ref="A8:C8"/>
    <mergeCell ref="B9:C9"/>
    <mergeCell ref="A20:L20"/>
    <mergeCell ref="A65:L65"/>
    <mergeCell ref="J8:L8"/>
    <mergeCell ref="A52:L52"/>
    <mergeCell ref="A41:L41"/>
    <mergeCell ref="A30:L30"/>
    <mergeCell ref="B10:C10"/>
    <mergeCell ref="B18:C18"/>
    <mergeCell ref="J18:K18"/>
    <mergeCell ref="G18:H18"/>
    <mergeCell ref="B16:C16"/>
    <mergeCell ref="J9:K9"/>
    <mergeCell ref="J10:K10"/>
    <mergeCell ref="J12:K12"/>
    <mergeCell ref="J14:K14"/>
    <mergeCell ref="G16:H16"/>
    <mergeCell ref="B73:K74"/>
    <mergeCell ref="G23:G28"/>
    <mergeCell ref="G54:G63"/>
    <mergeCell ref="L23:L28"/>
    <mergeCell ref="F8:H8"/>
    <mergeCell ref="B11:C11"/>
    <mergeCell ref="B13:C13"/>
    <mergeCell ref="B15:C15"/>
    <mergeCell ref="G10:H10"/>
    <mergeCell ref="G11:H11"/>
    <mergeCell ref="G12:H12"/>
    <mergeCell ref="G13:H13"/>
    <mergeCell ref="G14:H14"/>
    <mergeCell ref="G15:H15"/>
    <mergeCell ref="B14:C14"/>
    <mergeCell ref="G9:H9"/>
    <mergeCell ref="B12:C12"/>
    <mergeCell ref="J11:K11"/>
    <mergeCell ref="J13:K13"/>
    <mergeCell ref="L54:L63"/>
    <mergeCell ref="G67:G70"/>
    <mergeCell ref="L67:L70"/>
    <mergeCell ref="G32:G39"/>
    <mergeCell ref="L32:L39"/>
    <mergeCell ref="G43:G50"/>
    <mergeCell ref="L43:L50"/>
  </mergeCells>
  <dataValidations xWindow="48" yWindow="355" count="1">
    <dataValidation allowBlank="1" sqref="H67:H70"/>
  </dataValidations>
  <printOptions horizontalCentered="1" verticalCentered="1"/>
  <pageMargins left="0.26" right="0.28999999999999998" top="0.19" bottom="0.18" header="0" footer="0"/>
  <pageSetup paperSize="9" scale="64" orientation="portrait" r:id="rId1"/>
  <customProperties>
    <customPr name="SSCSheetTrackingNo" r:id="rId2"/>
  </customProperties>
  <drawing r:id="rId3"/>
  <extLst>
    <ext xmlns:x14="http://schemas.microsoft.com/office/spreadsheetml/2009/9/main" uri="{CCE6A557-97BC-4b89-ADB6-D9C93CAAB3DF}">
      <x14:dataValidations xmlns:xm="http://schemas.microsoft.com/office/excel/2006/main" xWindow="48" yWindow="355" count="8">
        <x14:dataValidation type="list" errorStyle="warning" showInputMessage="1" showErrorMessage="1" errorTitle="LET WEL" error="Hierdie is nie 'n voorgeskrewe Syngenta produk nie" promptTitle="Produk" prompt="Kies 'n relevante Syngenta produk op die lys">
          <x14:formula1>
            <xm:f>Produklys!$C$28:$C$32</xm:f>
          </x14:formula1>
          <xm:sqref>A32:A39</xm:sqref>
        </x14:dataValidation>
        <x14:dataValidation type="list" errorStyle="warning" showInputMessage="1" showErrorMessage="1" errorTitle="LET WEL" error="Hierdie is nie 'n voorgeskrewe Syngenta produk nie" promptTitle="Produk" prompt="Kies 'n relevante Syngenta produk op die lys">
          <x14:formula1>
            <xm:f>Produklys!$E$28:$E$30</xm:f>
          </x14:formula1>
          <xm:sqref>A43:A50</xm:sqref>
        </x14:dataValidation>
        <x14:dataValidation type="list" errorStyle="warning" showInputMessage="1" showErrorMessage="1" errorTitle="LET WEL" error="Hierdie is nie 'n voorgeskrewe Syngenta produk nie">
          <x14:formula1>
            <xm:f>Produklys!$A$28:$A$31</xm:f>
          </x14:formula1>
          <xm:sqref>A23:A28</xm:sqref>
        </x14:dataValidation>
        <x14:dataValidation type="list" errorStyle="information">
          <x14:formula1>
            <xm:f>Produklys!$B$28:$B$30</xm:f>
          </x14:formula1>
          <xm:sqref>H23:H28</xm:sqref>
        </x14:dataValidation>
        <x14:dataValidation type="list" allowBlank="1">
          <x14:formula1>
            <xm:f>Produklys!$H$28:$H$31</xm:f>
          </x14:formula1>
          <xm:sqref>H54:H63</xm:sqref>
        </x14:dataValidation>
        <x14:dataValidation type="list" allowBlank="1">
          <x14:formula1>
            <xm:f>Produklys!$F$28:$F$30</xm:f>
          </x14:formula1>
          <xm:sqref>H43:H50</xm:sqref>
        </x14:dataValidation>
        <x14:dataValidation type="list" allowBlank="1">
          <x14:formula1>
            <xm:f>Produklys!$D$28:$D$32</xm:f>
          </x14:formula1>
          <xm:sqref>H32:H39</xm:sqref>
        </x14:dataValidation>
        <x14:dataValidation type="list" errorStyle="warning" showInputMessage="1" showErrorMessage="1" errorTitle="LET WEL" error="Hierdie is nie 'n voorgeskrewe Syngenta produk nie" promptTitle="Produk" prompt="Kies 'n relevante Syngenta produk op die lys">
          <x14:formula1>
            <xm:f>Produklys!$G$28:$G$36</xm:f>
          </x14:formula1>
          <xm:sqref>A54:A63</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K43"/>
  <sheetViews>
    <sheetView zoomScale="80" zoomScaleNormal="80" workbookViewId="0">
      <selection activeCell="C40" sqref="C40"/>
    </sheetView>
  </sheetViews>
  <sheetFormatPr defaultRowHeight="15" x14ac:dyDescent="0.25"/>
  <cols>
    <col min="1" max="1" width="0.7109375" style="55" customWidth="1"/>
    <col min="2" max="2" width="93.28515625" style="27" customWidth="1"/>
    <col min="3" max="3" width="30.7109375" style="27" customWidth="1"/>
    <col min="4" max="4" width="9.140625" style="27" customWidth="1"/>
    <col min="5" max="5" width="2.42578125" style="55" customWidth="1"/>
    <col min="6" max="6" width="16" style="55" customWidth="1"/>
    <col min="7" max="25" width="9.140625" style="55"/>
    <col min="26" max="37" width="9.140625" style="77"/>
    <col min="38" max="16384" width="9.140625" style="27"/>
  </cols>
  <sheetData>
    <row r="1" spans="2:37" s="55" customFormat="1" x14ac:dyDescent="0.25"/>
    <row r="2" spans="2:37" s="55" customFormat="1" x14ac:dyDescent="0.25"/>
    <row r="3" spans="2:37" s="55" customFormat="1" x14ac:dyDescent="0.25"/>
    <row r="4" spans="2:37" s="55" customFormat="1" x14ac:dyDescent="0.25"/>
    <row r="5" spans="2:37" s="55" customFormat="1" x14ac:dyDescent="0.25"/>
    <row r="6" spans="2:37" s="55" customFormat="1" x14ac:dyDescent="0.25"/>
    <row r="7" spans="2:37" s="55" customFormat="1" ht="1.5" customHeight="1" x14ac:dyDescent="0.25"/>
    <row r="8" spans="2:37" s="55" customFormat="1" ht="9" customHeight="1" x14ac:dyDescent="0.25"/>
    <row r="9" spans="2:37" s="55" customFormat="1" ht="6" customHeight="1" x14ac:dyDescent="0.25">
      <c r="Z9" s="77"/>
      <c r="AA9" s="77"/>
      <c r="AB9" s="77"/>
      <c r="AC9" s="77"/>
      <c r="AD9" s="77"/>
      <c r="AE9" s="77"/>
      <c r="AF9" s="77"/>
      <c r="AG9" s="77"/>
      <c r="AH9" s="77"/>
      <c r="AI9" s="77"/>
      <c r="AJ9" s="77"/>
      <c r="AK9" s="77"/>
    </row>
    <row r="10" spans="2:37" s="55" customFormat="1" ht="36" x14ac:dyDescent="0.55000000000000004">
      <c r="B10" s="78" t="s">
        <v>78</v>
      </c>
      <c r="Z10" s="77"/>
      <c r="AA10" s="77"/>
      <c r="AB10" s="77"/>
      <c r="AC10" s="77"/>
      <c r="AD10" s="77"/>
      <c r="AE10" s="77"/>
      <c r="AF10" s="77"/>
      <c r="AG10" s="77"/>
      <c r="AH10" s="77"/>
      <c r="AI10" s="77"/>
      <c r="AJ10" s="77"/>
      <c r="AK10" s="77"/>
    </row>
    <row r="11" spans="2:37" ht="21" customHeight="1" x14ac:dyDescent="0.3">
      <c r="B11" s="79"/>
      <c r="C11" s="79"/>
      <c r="D11" s="79"/>
      <c r="E11" s="79"/>
    </row>
    <row r="12" spans="2:37" ht="21" customHeight="1" x14ac:dyDescent="0.35">
      <c r="B12" s="80" t="s">
        <v>92</v>
      </c>
      <c r="C12" s="1">
        <f>'Koring 1 (dont use)'!L15</f>
        <v>1000</v>
      </c>
      <c r="D12" s="81"/>
      <c r="E12" s="79"/>
    </row>
    <row r="13" spans="2:37" ht="21" customHeight="1" x14ac:dyDescent="0.3">
      <c r="B13" s="81"/>
      <c r="C13" s="79"/>
      <c r="D13" s="81"/>
      <c r="E13" s="79"/>
    </row>
    <row r="14" spans="2:37" ht="21" customHeight="1" x14ac:dyDescent="0.35">
      <c r="B14" s="80" t="s">
        <v>188</v>
      </c>
      <c r="C14" s="2">
        <v>3000</v>
      </c>
      <c r="D14" s="80" t="s">
        <v>79</v>
      </c>
      <c r="E14" s="79"/>
    </row>
    <row r="15" spans="2:37" ht="21" customHeight="1" x14ac:dyDescent="0.3">
      <c r="B15" s="79"/>
      <c r="C15" s="79"/>
      <c r="D15" s="79"/>
      <c r="E15" s="79"/>
    </row>
    <row r="16" spans="2:37" ht="21" customHeight="1" x14ac:dyDescent="0.35">
      <c r="B16" s="82" t="s">
        <v>80</v>
      </c>
      <c r="C16" s="201">
        <f>IFERROR((C12)/(C14),0)</f>
        <v>0.33333333333333331</v>
      </c>
      <c r="D16" s="82" t="s">
        <v>90</v>
      </c>
      <c r="E16" s="79"/>
    </row>
    <row r="17" spans="2:37" ht="21" customHeight="1" x14ac:dyDescent="0.3">
      <c r="B17" s="83"/>
      <c r="C17" s="83"/>
      <c r="D17" s="83"/>
      <c r="E17" s="79"/>
    </row>
    <row r="18" spans="2:37" ht="9.75" customHeight="1" x14ac:dyDescent="0.4">
      <c r="B18" s="84"/>
      <c r="C18" s="84"/>
      <c r="D18" s="84"/>
      <c r="E18" s="85"/>
    </row>
    <row r="19" spans="2:37" ht="9.75" customHeight="1" x14ac:dyDescent="0.4">
      <c r="B19" s="86"/>
      <c r="C19" s="86"/>
      <c r="D19" s="86"/>
      <c r="E19" s="87"/>
    </row>
    <row r="20" spans="2:37" ht="26.25" x14ac:dyDescent="0.4">
      <c r="B20" s="194" t="s">
        <v>187</v>
      </c>
      <c r="C20" s="195">
        <v>2700</v>
      </c>
      <c r="D20" s="86" t="s">
        <v>79</v>
      </c>
      <c r="E20" s="87"/>
    </row>
    <row r="21" spans="2:37" ht="14.25" customHeight="1" x14ac:dyDescent="0.4">
      <c r="B21" s="86"/>
      <c r="C21" s="86"/>
      <c r="D21" s="86"/>
      <c r="E21" s="87"/>
    </row>
    <row r="22" spans="2:37" ht="26.25" x14ac:dyDescent="0.4">
      <c r="B22" s="422" t="s">
        <v>91</v>
      </c>
      <c r="C22" s="423">
        <f>IF((C20&gt;C14),0,(C14-C20)*C16)</f>
        <v>100</v>
      </c>
      <c r="D22" s="86"/>
      <c r="E22" s="87"/>
    </row>
    <row r="23" spans="2:37" ht="23.45" customHeight="1" x14ac:dyDescent="0.4">
      <c r="B23" s="422"/>
      <c r="C23" s="423"/>
      <c r="D23" s="86"/>
      <c r="E23" s="87"/>
    </row>
    <row r="24" spans="2:37" s="55" customFormat="1" ht="26.25" x14ac:dyDescent="0.4">
      <c r="B24" s="87"/>
      <c r="C24" s="87"/>
      <c r="D24" s="87"/>
      <c r="E24" s="87"/>
      <c r="Z24" s="77"/>
      <c r="AA24" s="77"/>
      <c r="AB24" s="77"/>
      <c r="AC24" s="77"/>
      <c r="AD24" s="77"/>
      <c r="AE24" s="77"/>
      <c r="AF24" s="77"/>
      <c r="AG24" s="77"/>
      <c r="AH24" s="77"/>
      <c r="AI24" s="77"/>
      <c r="AJ24" s="77"/>
      <c r="AK24" s="77"/>
    </row>
    <row r="25" spans="2:37" s="55" customFormat="1" ht="7.5" customHeight="1" x14ac:dyDescent="0.25">
      <c r="Z25" s="77"/>
      <c r="AA25" s="77"/>
      <c r="AB25" s="77"/>
      <c r="AC25" s="77"/>
      <c r="AD25" s="77"/>
      <c r="AE25" s="77"/>
      <c r="AF25" s="77"/>
      <c r="AG25" s="77"/>
      <c r="AH25" s="77"/>
      <c r="AI25" s="77"/>
      <c r="AJ25" s="77"/>
      <c r="AK25" s="77"/>
    </row>
    <row r="26" spans="2:37" s="55" customFormat="1" ht="8.25" customHeight="1" x14ac:dyDescent="0.25">
      <c r="B26" s="88"/>
      <c r="C26" s="88"/>
      <c r="D26" s="88"/>
      <c r="E26" s="88"/>
      <c r="H26" s="27"/>
      <c r="Z26" s="77"/>
      <c r="AA26" s="77"/>
      <c r="AB26" s="77"/>
      <c r="AC26" s="77"/>
      <c r="AD26" s="77"/>
      <c r="AE26" s="77"/>
      <c r="AF26" s="77"/>
      <c r="AG26" s="77"/>
      <c r="AH26" s="77"/>
      <c r="AI26" s="77"/>
      <c r="AJ26" s="77"/>
      <c r="AK26" s="77"/>
    </row>
    <row r="27" spans="2:37" s="55" customFormat="1" x14ac:dyDescent="0.25">
      <c r="Z27" s="77"/>
      <c r="AA27" s="77"/>
      <c r="AB27" s="77"/>
      <c r="AC27" s="77"/>
      <c r="AD27" s="77"/>
      <c r="AE27" s="77"/>
      <c r="AF27" s="77"/>
      <c r="AG27" s="77"/>
      <c r="AH27" s="77"/>
      <c r="AI27" s="77"/>
      <c r="AJ27" s="77"/>
      <c r="AK27" s="77"/>
    </row>
    <row r="28" spans="2:37" s="55" customFormat="1" x14ac:dyDescent="0.25">
      <c r="Z28" s="77"/>
      <c r="AA28" s="77"/>
      <c r="AB28" s="77"/>
      <c r="AC28" s="77"/>
      <c r="AD28" s="77"/>
      <c r="AE28" s="77"/>
      <c r="AF28" s="77"/>
      <c r="AG28" s="77"/>
      <c r="AH28" s="77"/>
      <c r="AI28" s="77"/>
      <c r="AJ28" s="77"/>
      <c r="AK28" s="77"/>
    </row>
    <row r="29" spans="2:37" s="55" customFormat="1" x14ac:dyDescent="0.25">
      <c r="Z29" s="77"/>
      <c r="AA29" s="77"/>
      <c r="AB29" s="77"/>
      <c r="AC29" s="77"/>
      <c r="AD29" s="77"/>
      <c r="AE29" s="77"/>
      <c r="AF29" s="77"/>
      <c r="AG29" s="77"/>
      <c r="AH29" s="77"/>
      <c r="AI29" s="77"/>
      <c r="AJ29" s="77"/>
      <c r="AK29" s="77"/>
    </row>
    <row r="30" spans="2:37" s="55" customFormat="1" x14ac:dyDescent="0.25">
      <c r="Z30" s="77"/>
      <c r="AA30" s="77"/>
      <c r="AB30" s="77"/>
      <c r="AC30" s="77"/>
      <c r="AD30" s="77"/>
      <c r="AE30" s="77"/>
      <c r="AF30" s="77"/>
      <c r="AG30" s="77"/>
      <c r="AH30" s="77"/>
      <c r="AI30" s="77"/>
      <c r="AJ30" s="77"/>
      <c r="AK30" s="77"/>
    </row>
    <row r="31" spans="2:37" s="55" customFormat="1" x14ac:dyDescent="0.25">
      <c r="Z31" s="77"/>
      <c r="AA31" s="77"/>
      <c r="AB31" s="77"/>
      <c r="AC31" s="77"/>
      <c r="AD31" s="77"/>
      <c r="AE31" s="77"/>
      <c r="AF31" s="77"/>
      <c r="AG31" s="77"/>
      <c r="AH31" s="77"/>
      <c r="AI31" s="77"/>
      <c r="AJ31" s="77"/>
      <c r="AK31" s="77"/>
    </row>
    <row r="32" spans="2:37" s="55" customFormat="1" x14ac:dyDescent="0.25">
      <c r="Z32" s="77"/>
      <c r="AA32" s="77"/>
      <c r="AB32" s="77"/>
      <c r="AC32" s="77"/>
      <c r="AD32" s="77"/>
      <c r="AE32" s="77"/>
      <c r="AF32" s="77"/>
      <c r="AG32" s="77"/>
      <c r="AH32" s="77"/>
      <c r="AI32" s="77"/>
      <c r="AJ32" s="77"/>
      <c r="AK32" s="77"/>
    </row>
    <row r="33" spans="26:37" s="55" customFormat="1" x14ac:dyDescent="0.25">
      <c r="Z33" s="77"/>
      <c r="AA33" s="77"/>
      <c r="AB33" s="77"/>
      <c r="AC33" s="77"/>
      <c r="AD33" s="77"/>
      <c r="AE33" s="77"/>
      <c r="AF33" s="77"/>
      <c r="AG33" s="77"/>
      <c r="AH33" s="77"/>
      <c r="AI33" s="77"/>
      <c r="AJ33" s="77"/>
      <c r="AK33" s="77"/>
    </row>
    <row r="34" spans="26:37" s="55" customFormat="1" x14ac:dyDescent="0.25">
      <c r="Z34" s="77"/>
      <c r="AA34" s="77"/>
      <c r="AB34" s="77"/>
      <c r="AC34" s="77"/>
      <c r="AD34" s="77"/>
      <c r="AE34" s="77"/>
      <c r="AF34" s="77"/>
      <c r="AG34" s="77"/>
      <c r="AH34" s="77"/>
      <c r="AI34" s="77"/>
      <c r="AJ34" s="77"/>
      <c r="AK34" s="77"/>
    </row>
    <row r="35" spans="26:37" s="55" customFormat="1" x14ac:dyDescent="0.25">
      <c r="Z35" s="77"/>
      <c r="AA35" s="77"/>
      <c r="AB35" s="77"/>
      <c r="AC35" s="77"/>
      <c r="AD35" s="77"/>
      <c r="AE35" s="77"/>
      <c r="AF35" s="77"/>
      <c r="AG35" s="77"/>
      <c r="AH35" s="77"/>
      <c r="AI35" s="77"/>
      <c r="AJ35" s="77"/>
      <c r="AK35" s="77"/>
    </row>
    <row r="36" spans="26:37" s="55" customFormat="1" x14ac:dyDescent="0.25">
      <c r="Z36" s="77"/>
      <c r="AA36" s="77"/>
      <c r="AB36" s="77"/>
      <c r="AC36" s="77"/>
      <c r="AD36" s="77"/>
      <c r="AE36" s="77"/>
      <c r="AF36" s="77"/>
      <c r="AG36" s="77"/>
      <c r="AH36" s="77"/>
      <c r="AI36" s="77"/>
      <c r="AJ36" s="77"/>
      <c r="AK36" s="77"/>
    </row>
    <row r="37" spans="26:37" s="55" customFormat="1" x14ac:dyDescent="0.25">
      <c r="Z37" s="77"/>
      <c r="AA37" s="77"/>
      <c r="AB37" s="77"/>
      <c r="AC37" s="77"/>
      <c r="AD37" s="77"/>
      <c r="AE37" s="77"/>
      <c r="AF37" s="77"/>
      <c r="AG37" s="77"/>
      <c r="AH37" s="77"/>
      <c r="AI37" s="77"/>
      <c r="AJ37" s="77"/>
      <c r="AK37" s="77"/>
    </row>
    <row r="38" spans="26:37" s="55" customFormat="1" x14ac:dyDescent="0.25">
      <c r="Z38" s="77"/>
      <c r="AA38" s="77"/>
      <c r="AB38" s="77"/>
      <c r="AC38" s="77"/>
      <c r="AD38" s="77"/>
      <c r="AE38" s="77"/>
      <c r="AF38" s="77"/>
      <c r="AG38" s="77"/>
      <c r="AH38" s="77"/>
      <c r="AI38" s="77"/>
      <c r="AJ38" s="77"/>
      <c r="AK38" s="77"/>
    </row>
    <row r="39" spans="26:37" s="55" customFormat="1" x14ac:dyDescent="0.25">
      <c r="Z39" s="77"/>
      <c r="AA39" s="77"/>
      <c r="AB39" s="77"/>
      <c r="AC39" s="77"/>
      <c r="AD39" s="77"/>
      <c r="AE39" s="77"/>
      <c r="AF39" s="77"/>
      <c r="AG39" s="77"/>
      <c r="AH39" s="77"/>
      <c r="AI39" s="77"/>
      <c r="AJ39" s="77"/>
      <c r="AK39" s="77"/>
    </row>
    <row r="40" spans="26:37" s="55" customFormat="1" x14ac:dyDescent="0.25">
      <c r="Z40" s="77"/>
      <c r="AA40" s="77"/>
      <c r="AB40" s="77"/>
      <c r="AC40" s="77"/>
      <c r="AD40" s="77"/>
      <c r="AE40" s="77"/>
      <c r="AF40" s="77"/>
      <c r="AG40" s="77"/>
      <c r="AH40" s="77"/>
      <c r="AI40" s="77"/>
      <c r="AJ40" s="77"/>
      <c r="AK40" s="77"/>
    </row>
    <row r="41" spans="26:37" s="55" customFormat="1" x14ac:dyDescent="0.25">
      <c r="Z41" s="77"/>
      <c r="AA41" s="77"/>
      <c r="AB41" s="77"/>
      <c r="AC41" s="77"/>
      <c r="AD41" s="77"/>
      <c r="AE41" s="77"/>
      <c r="AF41" s="77"/>
      <c r="AG41" s="77"/>
      <c r="AH41" s="77"/>
      <c r="AI41" s="77"/>
      <c r="AJ41" s="77"/>
      <c r="AK41" s="77"/>
    </row>
    <row r="42" spans="26:37" s="55" customFormat="1" x14ac:dyDescent="0.25">
      <c r="Z42" s="77"/>
      <c r="AA42" s="77"/>
      <c r="AB42" s="77"/>
      <c r="AC42" s="77"/>
      <c r="AD42" s="77"/>
      <c r="AE42" s="77"/>
      <c r="AF42" s="77"/>
      <c r="AG42" s="77"/>
      <c r="AH42" s="77"/>
      <c r="AI42" s="77"/>
      <c r="AJ42" s="77"/>
      <c r="AK42" s="77"/>
    </row>
    <row r="43" spans="26:37" s="55" customFormat="1" x14ac:dyDescent="0.25">
      <c r="Z43" s="77"/>
      <c r="AA43" s="77"/>
      <c r="AB43" s="77"/>
      <c r="AC43" s="77"/>
      <c r="AD43" s="77"/>
      <c r="AE43" s="77"/>
      <c r="AF43" s="77"/>
      <c r="AG43" s="77"/>
      <c r="AH43" s="77"/>
      <c r="AI43" s="77"/>
      <c r="AJ43" s="77"/>
      <c r="AK43" s="77"/>
    </row>
  </sheetData>
  <sheetProtection selectLockedCells="1"/>
  <mergeCells count="2">
    <mergeCell ref="B22:B23"/>
    <mergeCell ref="C22:C23"/>
  </mergeCells>
  <printOptions horizontalCentered="1"/>
  <pageMargins left="0.53" right="0.53" top="0.75" bottom="0.75" header="0.3" footer="0.3"/>
  <pageSetup paperSize="9" scale="68" orientation="portrait" r:id="rId1"/>
  <customProperties>
    <customPr name="SSCSheetTrackingNo" r:id="rId2"/>
  </customProperties>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pageSetUpPr fitToPage="1"/>
  </sheetPr>
  <dimension ref="A1:V78"/>
  <sheetViews>
    <sheetView zoomScaleNormal="100" workbookViewId="0">
      <selection activeCell="J24" sqref="J24"/>
    </sheetView>
  </sheetViews>
  <sheetFormatPr defaultRowHeight="15" x14ac:dyDescent="0.25"/>
  <cols>
    <col min="1" max="1" width="21.140625" style="27" customWidth="1"/>
    <col min="2" max="2" width="9.140625" style="27" customWidth="1"/>
    <col min="3" max="3" width="10.85546875" style="27" customWidth="1"/>
    <col min="4" max="4" width="9.140625" style="27"/>
    <col min="5" max="5" width="11.5703125" style="27" bestFit="1" customWidth="1"/>
    <col min="6" max="7" width="11.5703125" style="27" customWidth="1"/>
    <col min="8" max="8" width="11.28515625" style="27" customWidth="1"/>
    <col min="9" max="9" width="11.140625" style="27" customWidth="1"/>
    <col min="10" max="10" width="12.5703125" style="27" bestFit="1" customWidth="1"/>
    <col min="11" max="11" width="14.140625" style="27" customWidth="1"/>
    <col min="12" max="12" width="14.85546875" style="27" customWidth="1"/>
    <col min="13" max="13" width="9.140625" style="27" customWidth="1"/>
    <col min="14" max="14" width="12.28515625" style="27" hidden="1" customWidth="1"/>
    <col min="15" max="15" width="10.5703125" style="27" hidden="1" customWidth="1"/>
    <col min="16" max="16" width="14.140625" style="27" hidden="1" customWidth="1"/>
    <col min="17" max="17" width="13.42578125" style="27" hidden="1" customWidth="1"/>
    <col min="18" max="18" width="18.42578125" style="27" hidden="1" customWidth="1"/>
    <col min="19" max="19" width="9.140625" style="27" customWidth="1"/>
    <col min="20" max="20" width="12.28515625" style="27" hidden="1" customWidth="1"/>
    <col min="21" max="21" width="10.5703125" style="27" hidden="1" customWidth="1"/>
    <col min="22" max="22" width="9.140625" style="27" hidden="1" customWidth="1"/>
    <col min="23" max="23" width="9.140625" style="27" customWidth="1"/>
    <col min="24" max="16384" width="9.140625" style="27"/>
  </cols>
  <sheetData>
    <row r="1" spans="1:14" s="61" customFormat="1" ht="15" customHeight="1" x14ac:dyDescent="0.25"/>
    <row r="4" spans="1:14" ht="15.75" thickBot="1" x14ac:dyDescent="0.3"/>
    <row r="5" spans="1:14" ht="15.75" thickBot="1" x14ac:dyDescent="0.3">
      <c r="C5" s="76"/>
      <c r="F5" s="117" t="s">
        <v>134</v>
      </c>
      <c r="G5" s="118" t="s">
        <v>115</v>
      </c>
    </row>
    <row r="6" spans="1:14" x14ac:dyDescent="0.25">
      <c r="C6" s="76"/>
    </row>
    <row r="7" spans="1:14" ht="15.75" thickBot="1" x14ac:dyDescent="0.3"/>
    <row r="8" spans="1:14" ht="15.75" thickBot="1" x14ac:dyDescent="0.3">
      <c r="A8" s="404" t="s">
        <v>39</v>
      </c>
      <c r="B8" s="405"/>
      <c r="C8" s="406"/>
      <c r="F8" s="376" t="s">
        <v>48</v>
      </c>
      <c r="G8" s="377"/>
      <c r="H8" s="378"/>
      <c r="J8" s="376" t="s">
        <v>36</v>
      </c>
      <c r="K8" s="377"/>
      <c r="L8" s="378"/>
    </row>
    <row r="9" spans="1:14" x14ac:dyDescent="0.25">
      <c r="A9" s="28" t="s">
        <v>40</v>
      </c>
      <c r="B9" s="407" t="str">
        <f>+'Koring 1 (dont use)'!B9:C9</f>
        <v>Jaque Fourie</v>
      </c>
      <c r="C9" s="408"/>
      <c r="F9" s="28" t="s">
        <v>81</v>
      </c>
      <c r="G9" s="387" t="str">
        <f>+'Koring 1 (dont use)'!G9:H9</f>
        <v>Bakkies Botha</v>
      </c>
      <c r="H9" s="388"/>
      <c r="J9" s="420" t="str">
        <f>+A20</f>
        <v>Saadbehandeling</v>
      </c>
      <c r="K9" s="421"/>
      <c r="L9" s="23">
        <f>+L24</f>
        <v>8500</v>
      </c>
    </row>
    <row r="10" spans="1:14" x14ac:dyDescent="0.25">
      <c r="A10" s="29" t="s">
        <v>47</v>
      </c>
      <c r="B10" s="424" t="str">
        <f>+'Koring 1 (dont use)'!B10:C10</f>
        <v>Japan</v>
      </c>
      <c r="C10" s="425"/>
      <c r="F10" s="29" t="s">
        <v>82</v>
      </c>
      <c r="G10" s="424" t="str">
        <f>+'Koring 1 (dont use)'!G10:H10</f>
        <v xml:space="preserve">Bus 524 </v>
      </c>
      <c r="H10" s="425"/>
      <c r="J10" s="389" t="str">
        <f>+A31</f>
        <v>Voor plant</v>
      </c>
      <c r="K10" s="390"/>
      <c r="L10" s="24">
        <f>+L33</f>
        <v>0</v>
      </c>
    </row>
    <row r="11" spans="1:14" x14ac:dyDescent="0.25">
      <c r="A11" s="30"/>
      <c r="B11" s="424">
        <f>+'Koring 1 (dont use)'!B11:C11</f>
        <v>0</v>
      </c>
      <c r="C11" s="425"/>
      <c r="F11" s="29" t="s">
        <v>83</v>
      </c>
      <c r="G11" s="424" t="str">
        <f>+'Koring 1 (dont use)'!G11:H11</f>
        <v>Brakfontein</v>
      </c>
      <c r="H11" s="425"/>
      <c r="J11" s="389" t="str">
        <f>+A42</f>
        <v>Voor-opkoms (met plant)</v>
      </c>
      <c r="K11" s="390"/>
      <c r="L11" s="24">
        <f>+L44</f>
        <v>0</v>
      </c>
    </row>
    <row r="12" spans="1:14" x14ac:dyDescent="0.25">
      <c r="A12" s="29" t="s">
        <v>45</v>
      </c>
      <c r="B12" s="424" t="str">
        <f>+'Koring 1 (dont use)'!B12:C12</f>
        <v>0001</v>
      </c>
      <c r="C12" s="425"/>
      <c r="F12" s="29" t="s">
        <v>84</v>
      </c>
      <c r="G12" s="424" t="str">
        <f>+'Koring 1 (dont use)'!G12:H12</f>
        <v>Humansdorp</v>
      </c>
      <c r="H12" s="425"/>
      <c r="J12" s="389" t="str">
        <f>+A53</f>
        <v>Na-opkoms</v>
      </c>
      <c r="K12" s="390"/>
      <c r="L12" s="24">
        <f>+L55</f>
        <v>0</v>
      </c>
    </row>
    <row r="13" spans="1:14" x14ac:dyDescent="0.25">
      <c r="A13" s="29" t="s">
        <v>41</v>
      </c>
      <c r="B13" s="424">
        <f>+'Koring 1 (dont use)'!B13:C13</f>
        <v>0</v>
      </c>
      <c r="C13" s="425"/>
      <c r="F13" s="29" t="s">
        <v>85</v>
      </c>
      <c r="G13" s="424" t="str">
        <f>+'Koring 1 (dont use)'!G13:H13</f>
        <v>2587</v>
      </c>
      <c r="H13" s="425"/>
      <c r="J13" s="389" t="str">
        <f>+A66</f>
        <v>Ander</v>
      </c>
      <c r="K13" s="390"/>
      <c r="L13" s="24">
        <f>+L68</f>
        <v>0</v>
      </c>
    </row>
    <row r="14" spans="1:14" ht="15.75" thickBot="1" x14ac:dyDescent="0.3">
      <c r="A14" s="29" t="s">
        <v>42</v>
      </c>
      <c r="B14" s="424">
        <f>+'Koring 1 (dont use)'!B14:C14</f>
        <v>0</v>
      </c>
      <c r="C14" s="425"/>
      <c r="F14" s="29" t="s">
        <v>86</v>
      </c>
      <c r="G14" s="424" t="str">
        <f>+'Koring 1 (dont use)'!G14:H14</f>
        <v>0112548798</v>
      </c>
      <c r="H14" s="425"/>
      <c r="J14" s="391" t="s">
        <v>55</v>
      </c>
      <c r="K14" s="392"/>
      <c r="L14" s="26">
        <f>SUM(L9:L13)</f>
        <v>8500</v>
      </c>
    </row>
    <row r="15" spans="1:14" ht="16.5" thickTop="1" thickBot="1" x14ac:dyDescent="0.3">
      <c r="A15" s="29" t="s">
        <v>43</v>
      </c>
      <c r="B15" s="424" t="str">
        <f>+'Koring 1 (dont use)'!B15:C15</f>
        <v>0878522233</v>
      </c>
      <c r="C15" s="425"/>
      <c r="F15" s="29" t="s">
        <v>87</v>
      </c>
      <c r="G15" s="424" t="str">
        <f>+'Koring 1 (dont use)'!G15:H15</f>
        <v>0768543221</v>
      </c>
      <c r="H15" s="425"/>
      <c r="J15" s="426"/>
      <c r="K15" s="427"/>
      <c r="L15" s="25"/>
    </row>
    <row r="16" spans="1:14" ht="15.75" thickBot="1" x14ac:dyDescent="0.3">
      <c r="A16" s="31" t="s">
        <v>44</v>
      </c>
      <c r="B16" s="428" t="str">
        <f>+'Koring 1 (dont use)'!B16:C16</f>
        <v>jfourie@gmail.com</v>
      </c>
      <c r="C16" s="429"/>
      <c r="F16" s="31" t="s">
        <v>88</v>
      </c>
      <c r="G16" s="430" t="str">
        <f>+'Koring 1 (dont use)'!G16:H16</f>
        <v>bb@bok.co.za</v>
      </c>
      <c r="H16" s="431"/>
      <c r="J16" s="432" t="s">
        <v>70</v>
      </c>
      <c r="K16" s="433"/>
      <c r="L16" s="104">
        <f>+G24+G33+G44+G55+G68</f>
        <v>932.6733333333334</v>
      </c>
      <c r="N16" s="62" t="e">
        <f>+L14/L18</f>
        <v>#DIV/0!</v>
      </c>
    </row>
    <row r="17" spans="1:22" ht="15.75" thickBot="1" x14ac:dyDescent="0.3">
      <c r="E17" s="32"/>
      <c r="J17" s="33"/>
      <c r="K17" s="33"/>
      <c r="L17" s="34"/>
    </row>
    <row r="18" spans="1:22" ht="15.75" thickBot="1" x14ac:dyDescent="0.3">
      <c r="A18" s="35" t="s">
        <v>106</v>
      </c>
      <c r="B18" s="434" t="str">
        <f>+'Koring 1 (dont use)'!B18:C18</f>
        <v>Co</v>
      </c>
      <c r="C18" s="435"/>
      <c r="E18" s="32"/>
      <c r="F18" s="35" t="s">
        <v>69</v>
      </c>
      <c r="G18" s="418" t="str">
        <f>+'Koring 1 (dont use)'!G18:H18</f>
        <v>2012/09/12</v>
      </c>
      <c r="H18" s="436"/>
      <c r="J18" s="404" t="s">
        <v>46</v>
      </c>
      <c r="K18" s="405"/>
      <c r="L18" s="3"/>
    </row>
    <row r="19" spans="1:22" s="77" customFormat="1" ht="15.75" thickBot="1" x14ac:dyDescent="0.3">
      <c r="A19" s="101"/>
      <c r="B19" s="109"/>
      <c r="C19" s="109"/>
      <c r="E19" s="102"/>
      <c r="F19" s="101"/>
      <c r="G19" s="109"/>
      <c r="H19" s="109"/>
      <c r="J19" s="100"/>
      <c r="K19" s="100"/>
      <c r="L19" s="110"/>
    </row>
    <row r="20" spans="1:22" s="77" customFormat="1" ht="18" thickBot="1" x14ac:dyDescent="0.35">
      <c r="A20" s="409" t="s">
        <v>38</v>
      </c>
      <c r="B20" s="410"/>
      <c r="C20" s="410"/>
      <c r="D20" s="410"/>
      <c r="E20" s="410"/>
      <c r="F20" s="410"/>
      <c r="G20" s="410"/>
      <c r="H20" s="410"/>
      <c r="I20" s="410"/>
      <c r="J20" s="410"/>
      <c r="K20" s="410"/>
      <c r="L20" s="411"/>
    </row>
    <row r="21" spans="1:22" s="77" customFormat="1" x14ac:dyDescent="0.25">
      <c r="A21" s="52"/>
      <c r="B21" s="53" t="s">
        <v>97</v>
      </c>
      <c r="C21" s="19">
        <v>26000</v>
      </c>
      <c r="D21" s="54"/>
      <c r="E21" s="55"/>
      <c r="F21" s="55"/>
      <c r="G21" s="437" t="s">
        <v>99</v>
      </c>
      <c r="H21" s="438"/>
      <c r="I21" s="441">
        <f>+C21/C22</f>
        <v>0.43333333333333335</v>
      </c>
      <c r="J21" s="54"/>
      <c r="K21" s="54"/>
      <c r="L21" s="56"/>
    </row>
    <row r="22" spans="1:22" s="77" customFormat="1" ht="15.75" thickBot="1" x14ac:dyDescent="0.3">
      <c r="A22" s="57"/>
      <c r="B22" s="58" t="s">
        <v>98</v>
      </c>
      <c r="C22" s="20">
        <v>60000</v>
      </c>
      <c r="D22" s="59"/>
      <c r="E22" s="55"/>
      <c r="F22" s="55"/>
      <c r="G22" s="439"/>
      <c r="H22" s="440"/>
      <c r="I22" s="442"/>
      <c r="J22" s="59"/>
      <c r="K22" s="59"/>
      <c r="L22" s="60"/>
      <c r="T22" s="107"/>
      <c r="U22" s="108" t="s">
        <v>113</v>
      </c>
      <c r="V22" s="107"/>
    </row>
    <row r="23" spans="1:22" s="77" customFormat="1" ht="43.5" thickBot="1" x14ac:dyDescent="0.3">
      <c r="A23" s="37" t="s">
        <v>1</v>
      </c>
      <c r="B23" s="38" t="s">
        <v>95</v>
      </c>
      <c r="C23" s="39" t="s">
        <v>96</v>
      </c>
      <c r="D23" s="40" t="s">
        <v>93</v>
      </c>
      <c r="E23" s="39" t="s">
        <v>61</v>
      </c>
      <c r="F23" s="40" t="s">
        <v>94</v>
      </c>
      <c r="G23" s="41" t="s">
        <v>60</v>
      </c>
      <c r="H23" s="39" t="s">
        <v>59</v>
      </c>
      <c r="I23" s="103" t="s">
        <v>56</v>
      </c>
      <c r="J23" s="40" t="s">
        <v>57</v>
      </c>
      <c r="K23" s="40" t="s">
        <v>58</v>
      </c>
      <c r="L23" s="42" t="s">
        <v>0</v>
      </c>
      <c r="N23" s="63" t="s">
        <v>101</v>
      </c>
      <c r="O23" s="63" t="s">
        <v>100</v>
      </c>
      <c r="P23" s="64" t="s">
        <v>102</v>
      </c>
      <c r="Q23" s="64" t="s">
        <v>103</v>
      </c>
      <c r="R23" s="64" t="s">
        <v>104</v>
      </c>
      <c r="S23" s="27"/>
      <c r="T23" s="65" t="s">
        <v>72</v>
      </c>
      <c r="U23" s="65" t="s">
        <v>74</v>
      </c>
      <c r="V23" s="65" t="s">
        <v>75</v>
      </c>
    </row>
    <row r="24" spans="1:22" s="77" customFormat="1" x14ac:dyDescent="0.25">
      <c r="A24" s="134" t="s">
        <v>1</v>
      </c>
      <c r="B24" s="135">
        <v>0.1</v>
      </c>
      <c r="C24" s="136">
        <v>100</v>
      </c>
      <c r="D24" s="43">
        <f t="shared" ref="D24" si="0">+B24*C24</f>
        <v>10</v>
      </c>
      <c r="E24" s="137">
        <v>850</v>
      </c>
      <c r="F24" s="44">
        <f t="shared" ref="F24" si="1">+IFERROR(K24/(C24/$I$21),0)</f>
        <v>36.833333333333336</v>
      </c>
      <c r="G24" s="373">
        <f>SUM(F24:F29)</f>
        <v>36.833333333333336</v>
      </c>
      <c r="H24" s="138">
        <v>1</v>
      </c>
      <c r="I24" s="45">
        <f t="shared" ref="I24" si="2">+IFERROR(ROUNDUP(D24/H24,0),0)</f>
        <v>10</v>
      </c>
      <c r="J24" s="44">
        <f>+E24*H24</f>
        <v>850</v>
      </c>
      <c r="K24" s="44">
        <f>+I24*J24</f>
        <v>8500</v>
      </c>
      <c r="L24" s="370">
        <f>SUM(K24:K29)</f>
        <v>8500</v>
      </c>
      <c r="T24" s="70" t="str">
        <f>IFERROR(VLOOKUP(A24,VLOOKUPS!$A$3:$D$31,2,0),"Ander")</f>
        <v>Ander</v>
      </c>
      <c r="U24" s="71">
        <f t="shared" ref="U24:U29" si="3">IF(T24="Syngenta",K24,0)</f>
        <v>0</v>
      </c>
      <c r="V24" s="71">
        <f t="shared" ref="V24:V29" si="4">IF(T24="Ander",K24,0)</f>
        <v>8500</v>
      </c>
    </row>
    <row r="25" spans="1:22" s="77" customFormat="1" x14ac:dyDescent="0.25">
      <c r="A25" s="9"/>
      <c r="B25" s="10"/>
      <c r="C25" s="21"/>
      <c r="D25" s="46">
        <f t="shared" ref="D25:D29" si="5">+B25*C25</f>
        <v>0</v>
      </c>
      <c r="E25" s="12"/>
      <c r="F25" s="47">
        <f t="shared" ref="F25:F29" si="6">+IFERROR(K25/(C25/$I$21),0)</f>
        <v>0</v>
      </c>
      <c r="G25" s="374"/>
      <c r="H25" s="13"/>
      <c r="I25" s="48">
        <f t="shared" ref="I25:I26" si="7">+IFERROR(ROUNDUP(D25/H25,0),0)</f>
        <v>0</v>
      </c>
      <c r="J25" s="47">
        <f>+E25*H25</f>
        <v>0</v>
      </c>
      <c r="K25" s="47">
        <f>+I25*J25</f>
        <v>0</v>
      </c>
      <c r="L25" s="371"/>
      <c r="T25" s="70" t="str">
        <f>IFERROR(VLOOKUP(A25,VLOOKUPS!$A$3:$D$31,2,0),"Ander")</f>
        <v>Ander</v>
      </c>
      <c r="U25" s="71">
        <f t="shared" si="3"/>
        <v>0</v>
      </c>
      <c r="V25" s="71">
        <f t="shared" si="4"/>
        <v>0</v>
      </c>
    </row>
    <row r="26" spans="1:22" s="77" customFormat="1" x14ac:dyDescent="0.25">
      <c r="A26" s="9"/>
      <c r="B26" s="10"/>
      <c r="C26" s="21"/>
      <c r="D26" s="46">
        <f t="shared" si="5"/>
        <v>0</v>
      </c>
      <c r="E26" s="12"/>
      <c r="F26" s="47">
        <f t="shared" si="6"/>
        <v>0</v>
      </c>
      <c r="G26" s="374"/>
      <c r="H26" s="13"/>
      <c r="I26" s="48">
        <f t="shared" si="7"/>
        <v>0</v>
      </c>
      <c r="J26" s="47">
        <f t="shared" ref="J26:J29" si="8">+E26*H26</f>
        <v>0</v>
      </c>
      <c r="K26" s="47">
        <f t="shared" ref="K26:K29" si="9">+I26*J26</f>
        <v>0</v>
      </c>
      <c r="L26" s="371"/>
      <c r="T26" s="70" t="str">
        <f>IFERROR(VLOOKUP(A26,VLOOKUPS!$A$3:$D$31,2,0),"Ander")</f>
        <v>Ander</v>
      </c>
      <c r="U26" s="71">
        <f t="shared" si="3"/>
        <v>0</v>
      </c>
      <c r="V26" s="71">
        <f t="shared" si="4"/>
        <v>0</v>
      </c>
    </row>
    <row r="27" spans="1:22" s="77" customFormat="1" x14ac:dyDescent="0.25">
      <c r="A27" s="9"/>
      <c r="B27" s="10"/>
      <c r="C27" s="21"/>
      <c r="D27" s="46">
        <f t="shared" si="5"/>
        <v>0</v>
      </c>
      <c r="E27" s="12"/>
      <c r="F27" s="47">
        <f t="shared" si="6"/>
        <v>0</v>
      </c>
      <c r="G27" s="374"/>
      <c r="H27" s="13"/>
      <c r="I27" s="48">
        <f>+IFERROR(ROUNDUP(D27/H27,0),0)</f>
        <v>0</v>
      </c>
      <c r="J27" s="47">
        <f t="shared" si="8"/>
        <v>0</v>
      </c>
      <c r="K27" s="47">
        <f t="shared" si="9"/>
        <v>0</v>
      </c>
      <c r="L27" s="371"/>
      <c r="T27" s="70" t="str">
        <f>IFERROR(VLOOKUP(A27,VLOOKUPS!$A$3:$D$31,2,0),"Ander")</f>
        <v>Ander</v>
      </c>
      <c r="U27" s="71">
        <f t="shared" si="3"/>
        <v>0</v>
      </c>
      <c r="V27" s="71">
        <f t="shared" si="4"/>
        <v>0</v>
      </c>
    </row>
    <row r="28" spans="1:22" s="77" customFormat="1" x14ac:dyDescent="0.25">
      <c r="A28" s="9"/>
      <c r="B28" s="10"/>
      <c r="C28" s="21"/>
      <c r="D28" s="46">
        <f t="shared" si="5"/>
        <v>0</v>
      </c>
      <c r="E28" s="12"/>
      <c r="F28" s="47">
        <f t="shared" si="6"/>
        <v>0</v>
      </c>
      <c r="G28" s="374"/>
      <c r="H28" s="13"/>
      <c r="I28" s="48">
        <f t="shared" ref="I28:I29" si="10">+IFERROR(ROUNDUP(D28/H28,0),0)</f>
        <v>0</v>
      </c>
      <c r="J28" s="47">
        <f t="shared" si="8"/>
        <v>0</v>
      </c>
      <c r="K28" s="47">
        <f t="shared" si="9"/>
        <v>0</v>
      </c>
      <c r="L28" s="371"/>
      <c r="T28" s="70" t="str">
        <f>IFERROR(VLOOKUP(A28,VLOOKUPS!$A$3:$D$31,2,0),"Ander")</f>
        <v>Ander</v>
      </c>
      <c r="U28" s="71">
        <f t="shared" si="3"/>
        <v>0</v>
      </c>
      <c r="V28" s="71">
        <f t="shared" si="4"/>
        <v>0</v>
      </c>
    </row>
    <row r="29" spans="1:22" s="77" customFormat="1" ht="15.75" thickBot="1" x14ac:dyDescent="0.3">
      <c r="A29" s="14"/>
      <c r="B29" s="15"/>
      <c r="C29" s="22"/>
      <c r="D29" s="49">
        <f t="shared" si="5"/>
        <v>0</v>
      </c>
      <c r="E29" s="17"/>
      <c r="F29" s="50">
        <f t="shared" si="6"/>
        <v>0</v>
      </c>
      <c r="G29" s="375"/>
      <c r="H29" s="18"/>
      <c r="I29" s="51">
        <f t="shared" si="10"/>
        <v>0</v>
      </c>
      <c r="J29" s="50">
        <f t="shared" si="8"/>
        <v>0</v>
      </c>
      <c r="K29" s="50">
        <f t="shared" si="9"/>
        <v>0</v>
      </c>
      <c r="L29" s="372"/>
      <c r="T29" s="70" t="str">
        <f>IFERROR(VLOOKUP(A29,VLOOKUPS!$A$3:$D$31,2,0),"Ander")</f>
        <v>Ander</v>
      </c>
      <c r="U29" s="71">
        <f t="shared" si="3"/>
        <v>0</v>
      </c>
      <c r="V29" s="71">
        <f t="shared" si="4"/>
        <v>0</v>
      </c>
    </row>
    <row r="30" spans="1:22" s="77" customFormat="1" ht="15.75" thickBot="1" x14ac:dyDescent="0.3">
      <c r="A30" s="101"/>
      <c r="B30" s="109"/>
      <c r="C30" s="109"/>
      <c r="E30" s="102"/>
      <c r="F30" s="101"/>
      <c r="G30" s="109"/>
      <c r="H30" s="109"/>
      <c r="J30" s="100"/>
      <c r="K30" s="100"/>
      <c r="L30" s="110"/>
      <c r="T30" s="27"/>
      <c r="U30" s="72">
        <f>SUM(U24:U29)</f>
        <v>0</v>
      </c>
      <c r="V30" s="72">
        <f>SUM(V24:V29)</f>
        <v>8500</v>
      </c>
    </row>
    <row r="31" spans="1:22" ht="18.75" thickTop="1" thickBot="1" x14ac:dyDescent="0.35">
      <c r="A31" s="415" t="s">
        <v>37</v>
      </c>
      <c r="B31" s="416"/>
      <c r="C31" s="416"/>
      <c r="D31" s="416"/>
      <c r="E31" s="416"/>
      <c r="F31" s="416"/>
      <c r="G31" s="416"/>
      <c r="H31" s="416"/>
      <c r="I31" s="416"/>
      <c r="J31" s="416"/>
      <c r="K31" s="416"/>
      <c r="L31" s="417"/>
    </row>
    <row r="32" spans="1:22" ht="33" customHeight="1" thickBot="1" x14ac:dyDescent="0.3">
      <c r="A32" s="37" t="s">
        <v>1</v>
      </c>
      <c r="B32" s="38" t="s">
        <v>62</v>
      </c>
      <c r="C32" s="39" t="s">
        <v>2</v>
      </c>
      <c r="D32" s="40" t="s">
        <v>93</v>
      </c>
      <c r="E32" s="39" t="s">
        <v>61</v>
      </c>
      <c r="F32" s="40" t="s">
        <v>94</v>
      </c>
      <c r="G32" s="41" t="s">
        <v>60</v>
      </c>
      <c r="H32" s="39" t="s">
        <v>59</v>
      </c>
      <c r="I32" s="103" t="s">
        <v>56</v>
      </c>
      <c r="J32" s="40" t="s">
        <v>57</v>
      </c>
      <c r="K32" s="40" t="s">
        <v>58</v>
      </c>
      <c r="L32" s="42" t="s">
        <v>0</v>
      </c>
    </row>
    <row r="33" spans="1:22" x14ac:dyDescent="0.25">
      <c r="A33" s="4" t="s">
        <v>156</v>
      </c>
      <c r="B33" s="5">
        <v>1.5</v>
      </c>
      <c r="C33" s="6">
        <v>1</v>
      </c>
      <c r="D33" s="43">
        <f>+L18*B33*C33</f>
        <v>0</v>
      </c>
      <c r="E33" s="7">
        <v>48</v>
      </c>
      <c r="F33" s="44">
        <f>+B33*C33*E33</f>
        <v>72</v>
      </c>
      <c r="G33" s="373">
        <f>SUM(F33:F40)</f>
        <v>108.6</v>
      </c>
      <c r="H33" s="8">
        <v>25</v>
      </c>
      <c r="I33" s="45">
        <f t="shared" ref="I33:I40" si="11">+IFERROR(ROUNDUP(D33/H33,0),0)</f>
        <v>0</v>
      </c>
      <c r="J33" s="44">
        <f>+E33*H33</f>
        <v>1200</v>
      </c>
      <c r="K33" s="44">
        <f t="shared" ref="K33:K40" si="12">+I33*J33</f>
        <v>0</v>
      </c>
      <c r="L33" s="370">
        <f>SUM(K33:K40)</f>
        <v>0</v>
      </c>
      <c r="N33" s="66">
        <f>+IFERROR((I33*H33)/B33,0)</f>
        <v>0</v>
      </c>
      <c r="O33" s="67">
        <f>+IFERROR(C33*$L$18,0)</f>
        <v>0</v>
      </c>
      <c r="P33" s="68">
        <f t="shared" ref="P33:P40" si="13">+IFERROR(K33/N33,0)</f>
        <v>0</v>
      </c>
      <c r="Q33" s="68">
        <f t="shared" ref="Q33:Q40" si="14">+IFERROR(K33/O33,0)</f>
        <v>0</v>
      </c>
      <c r="R33" s="69">
        <f t="shared" ref="R33:R40" si="15">+B33*C33*E33</f>
        <v>72</v>
      </c>
      <c r="T33" s="70" t="str">
        <f>IFERROR(VLOOKUP(A33,VLOOKUPS!$A$3:$D$31,2,0),"Ander")</f>
        <v>Ander</v>
      </c>
      <c r="U33" s="71">
        <f t="shared" ref="U33:U40" si="16">IF(T33="Syngenta",K33,0)</f>
        <v>0</v>
      </c>
      <c r="V33" s="71">
        <f t="shared" ref="V33:V40" si="17">IF(T33="Ander",K33,0)</f>
        <v>0</v>
      </c>
    </row>
    <row r="34" spans="1:22" x14ac:dyDescent="0.25">
      <c r="A34" s="9" t="s">
        <v>157</v>
      </c>
      <c r="B34" s="10">
        <v>1.5</v>
      </c>
      <c r="C34" s="11">
        <v>1</v>
      </c>
      <c r="D34" s="46">
        <f>+L18*B34*C34</f>
        <v>0</v>
      </c>
      <c r="E34" s="12">
        <v>11</v>
      </c>
      <c r="F34" s="47">
        <f t="shared" ref="F34:F40" si="18">+B34*C34*E34</f>
        <v>16.5</v>
      </c>
      <c r="G34" s="374"/>
      <c r="H34" s="13">
        <v>20</v>
      </c>
      <c r="I34" s="48">
        <f t="shared" si="11"/>
        <v>0</v>
      </c>
      <c r="J34" s="47">
        <f>+E34*H34</f>
        <v>220</v>
      </c>
      <c r="K34" s="47">
        <f t="shared" si="12"/>
        <v>0</v>
      </c>
      <c r="L34" s="371"/>
      <c r="N34" s="66">
        <f t="shared" ref="N34:N71" si="19">+IFERROR((I34*H34)/B34,0)</f>
        <v>0</v>
      </c>
      <c r="O34" s="67">
        <f t="shared" ref="O34:O71" si="20">+IFERROR(C34*$L$18,0)</f>
        <v>0</v>
      </c>
      <c r="P34" s="68">
        <f t="shared" si="13"/>
        <v>0</v>
      </c>
      <c r="Q34" s="68">
        <f t="shared" si="14"/>
        <v>0</v>
      </c>
      <c r="R34" s="69">
        <f t="shared" si="15"/>
        <v>16.5</v>
      </c>
      <c r="T34" s="70" t="str">
        <f>IFERROR(VLOOKUP(A34,VLOOKUPS!$A$3:$D$31,2,0),"Ander")</f>
        <v>Ander</v>
      </c>
      <c r="U34" s="71">
        <f t="shared" si="16"/>
        <v>0</v>
      </c>
      <c r="V34" s="71">
        <f t="shared" si="17"/>
        <v>0</v>
      </c>
    </row>
    <row r="35" spans="1:22" x14ac:dyDescent="0.25">
      <c r="A35" s="9" t="s">
        <v>158</v>
      </c>
      <c r="B35" s="10">
        <v>0.3</v>
      </c>
      <c r="C35" s="11">
        <v>1</v>
      </c>
      <c r="D35" s="46">
        <f>+L18*B35*C35</f>
        <v>0</v>
      </c>
      <c r="E35" s="12">
        <v>67</v>
      </c>
      <c r="F35" s="47">
        <f t="shared" si="18"/>
        <v>20.099999999999998</v>
      </c>
      <c r="G35" s="374"/>
      <c r="H35" s="13">
        <v>20</v>
      </c>
      <c r="I35" s="48">
        <f t="shared" si="11"/>
        <v>0</v>
      </c>
      <c r="J35" s="47">
        <f>+E35*H35</f>
        <v>1340</v>
      </c>
      <c r="K35" s="47">
        <f t="shared" si="12"/>
        <v>0</v>
      </c>
      <c r="L35" s="371"/>
      <c r="N35" s="66">
        <f t="shared" si="19"/>
        <v>0</v>
      </c>
      <c r="O35" s="67">
        <f t="shared" si="20"/>
        <v>0</v>
      </c>
      <c r="P35" s="68">
        <f t="shared" si="13"/>
        <v>0</v>
      </c>
      <c r="Q35" s="68">
        <f t="shared" si="14"/>
        <v>0</v>
      </c>
      <c r="R35" s="69">
        <f t="shared" si="15"/>
        <v>20.099999999999998</v>
      </c>
      <c r="T35" s="70" t="str">
        <f>IFERROR(VLOOKUP(A35,VLOOKUPS!$A$3:$D$31,2,0),"Ander")</f>
        <v>Ander</v>
      </c>
      <c r="U35" s="71">
        <f t="shared" si="16"/>
        <v>0</v>
      </c>
      <c r="V35" s="71">
        <f t="shared" si="17"/>
        <v>0</v>
      </c>
    </row>
    <row r="36" spans="1:22" x14ac:dyDescent="0.25">
      <c r="A36" s="9"/>
      <c r="B36" s="10"/>
      <c r="C36" s="11"/>
      <c r="D36" s="46">
        <f t="shared" ref="D36:D37" si="21">+L19*B36*C36</f>
        <v>0</v>
      </c>
      <c r="E36" s="12"/>
      <c r="F36" s="47">
        <f t="shared" si="18"/>
        <v>0</v>
      </c>
      <c r="G36" s="374"/>
      <c r="H36" s="13"/>
      <c r="I36" s="48">
        <f t="shared" si="11"/>
        <v>0</v>
      </c>
      <c r="J36" s="47">
        <f t="shared" ref="J36:J38" si="22">+E36*H36</f>
        <v>0</v>
      </c>
      <c r="K36" s="47">
        <f t="shared" si="12"/>
        <v>0</v>
      </c>
      <c r="L36" s="371"/>
      <c r="N36" s="66">
        <f t="shared" si="19"/>
        <v>0</v>
      </c>
      <c r="O36" s="67">
        <f t="shared" si="20"/>
        <v>0</v>
      </c>
      <c r="P36" s="68">
        <f t="shared" si="13"/>
        <v>0</v>
      </c>
      <c r="Q36" s="68">
        <f t="shared" si="14"/>
        <v>0</v>
      </c>
      <c r="R36" s="69">
        <f t="shared" si="15"/>
        <v>0</v>
      </c>
      <c r="T36" s="70" t="str">
        <f>IFERROR(VLOOKUP(A36,VLOOKUPS!$A$3:$D$31,2,0),"Ander")</f>
        <v>Ander</v>
      </c>
      <c r="U36" s="71">
        <f t="shared" si="16"/>
        <v>0</v>
      </c>
      <c r="V36" s="71">
        <f t="shared" si="17"/>
        <v>0</v>
      </c>
    </row>
    <row r="37" spans="1:22" x14ac:dyDescent="0.25">
      <c r="A37" s="9"/>
      <c r="B37" s="10"/>
      <c r="C37" s="11"/>
      <c r="D37" s="46">
        <f t="shared" si="21"/>
        <v>0</v>
      </c>
      <c r="E37" s="12"/>
      <c r="F37" s="47">
        <f t="shared" si="18"/>
        <v>0</v>
      </c>
      <c r="G37" s="374"/>
      <c r="H37" s="13"/>
      <c r="I37" s="48">
        <f t="shared" si="11"/>
        <v>0</v>
      </c>
      <c r="J37" s="47">
        <f t="shared" si="22"/>
        <v>0</v>
      </c>
      <c r="K37" s="47">
        <f t="shared" si="12"/>
        <v>0</v>
      </c>
      <c r="L37" s="371"/>
      <c r="N37" s="66">
        <f t="shared" si="19"/>
        <v>0</v>
      </c>
      <c r="O37" s="67">
        <f t="shared" si="20"/>
        <v>0</v>
      </c>
      <c r="P37" s="68">
        <f t="shared" si="13"/>
        <v>0</v>
      </c>
      <c r="Q37" s="68">
        <f t="shared" si="14"/>
        <v>0</v>
      </c>
      <c r="R37" s="69">
        <f t="shared" si="15"/>
        <v>0</v>
      </c>
      <c r="T37" s="70" t="str">
        <f>IFERROR(VLOOKUP(A37,VLOOKUPS!$A$3:$D$31,2,0),"Ander")</f>
        <v>Ander</v>
      </c>
      <c r="U37" s="71">
        <f t="shared" si="16"/>
        <v>0</v>
      </c>
      <c r="V37" s="71">
        <f t="shared" si="17"/>
        <v>0</v>
      </c>
    </row>
    <row r="38" spans="1:22" x14ac:dyDescent="0.25">
      <c r="A38" s="9"/>
      <c r="B38" s="10"/>
      <c r="C38" s="11"/>
      <c r="D38" s="46">
        <f>+L18*B38*C38</f>
        <v>0</v>
      </c>
      <c r="E38" s="12"/>
      <c r="F38" s="47">
        <f t="shared" si="18"/>
        <v>0</v>
      </c>
      <c r="G38" s="374"/>
      <c r="H38" s="13"/>
      <c r="I38" s="48">
        <f t="shared" si="11"/>
        <v>0</v>
      </c>
      <c r="J38" s="47">
        <f t="shared" si="22"/>
        <v>0</v>
      </c>
      <c r="K38" s="47">
        <f t="shared" si="12"/>
        <v>0</v>
      </c>
      <c r="L38" s="371"/>
      <c r="N38" s="66">
        <f t="shared" si="19"/>
        <v>0</v>
      </c>
      <c r="O38" s="67">
        <f t="shared" si="20"/>
        <v>0</v>
      </c>
      <c r="P38" s="68">
        <f t="shared" si="13"/>
        <v>0</v>
      </c>
      <c r="Q38" s="68">
        <f t="shared" si="14"/>
        <v>0</v>
      </c>
      <c r="R38" s="69">
        <f t="shared" si="15"/>
        <v>0</v>
      </c>
      <c r="T38" s="70" t="str">
        <f>IFERROR(VLOOKUP(A38,VLOOKUPS!$A$3:$D$31,2,0),"Ander")</f>
        <v>Ander</v>
      </c>
      <c r="U38" s="71">
        <f t="shared" si="16"/>
        <v>0</v>
      </c>
      <c r="V38" s="71">
        <f t="shared" si="17"/>
        <v>0</v>
      </c>
    </row>
    <row r="39" spans="1:22" x14ac:dyDescent="0.25">
      <c r="A39" s="9"/>
      <c r="B39" s="10"/>
      <c r="C39" s="11"/>
      <c r="D39" s="46">
        <f>+L18*B39*C39</f>
        <v>0</v>
      </c>
      <c r="E39" s="12"/>
      <c r="F39" s="47">
        <f t="shared" si="18"/>
        <v>0</v>
      </c>
      <c r="G39" s="374"/>
      <c r="H39" s="13"/>
      <c r="I39" s="48">
        <f t="shared" si="11"/>
        <v>0</v>
      </c>
      <c r="J39" s="47">
        <f>+E39*H39</f>
        <v>0</v>
      </c>
      <c r="K39" s="47">
        <f t="shared" si="12"/>
        <v>0</v>
      </c>
      <c r="L39" s="371"/>
      <c r="N39" s="66">
        <f t="shared" si="19"/>
        <v>0</v>
      </c>
      <c r="O39" s="67">
        <f t="shared" si="20"/>
        <v>0</v>
      </c>
      <c r="P39" s="68">
        <f t="shared" si="13"/>
        <v>0</v>
      </c>
      <c r="Q39" s="68">
        <f t="shared" si="14"/>
        <v>0</v>
      </c>
      <c r="R39" s="69">
        <f t="shared" si="15"/>
        <v>0</v>
      </c>
      <c r="T39" s="70" t="str">
        <f>IFERROR(VLOOKUP(A39,VLOOKUPS!$A$3:$D$31,2,0),"Ander")</f>
        <v>Ander</v>
      </c>
      <c r="U39" s="71">
        <f t="shared" si="16"/>
        <v>0</v>
      </c>
      <c r="V39" s="71">
        <f t="shared" si="17"/>
        <v>0</v>
      </c>
    </row>
    <row r="40" spans="1:22" ht="15.75" thickBot="1" x14ac:dyDescent="0.3">
      <c r="A40" s="14"/>
      <c r="B40" s="15"/>
      <c r="C40" s="16"/>
      <c r="D40" s="49">
        <f>+L18*B40*C40</f>
        <v>0</v>
      </c>
      <c r="E40" s="17"/>
      <c r="F40" s="50">
        <f t="shared" si="18"/>
        <v>0</v>
      </c>
      <c r="G40" s="375"/>
      <c r="H40" s="18"/>
      <c r="I40" s="51">
        <f t="shared" si="11"/>
        <v>0</v>
      </c>
      <c r="J40" s="50">
        <f>+E40*H40</f>
        <v>0</v>
      </c>
      <c r="K40" s="50">
        <f t="shared" si="12"/>
        <v>0</v>
      </c>
      <c r="L40" s="372"/>
      <c r="N40" s="66">
        <f t="shared" si="19"/>
        <v>0</v>
      </c>
      <c r="O40" s="67">
        <f t="shared" si="20"/>
        <v>0</v>
      </c>
      <c r="P40" s="68">
        <f t="shared" si="13"/>
        <v>0</v>
      </c>
      <c r="Q40" s="68">
        <f t="shared" si="14"/>
        <v>0</v>
      </c>
      <c r="R40" s="69">
        <f t="shared" si="15"/>
        <v>0</v>
      </c>
      <c r="T40" s="70" t="str">
        <f>IFERROR(VLOOKUP(A40,VLOOKUPS!$A$3:$D$31,2,0),"Ander")</f>
        <v>Ander</v>
      </c>
      <c r="U40" s="71">
        <f t="shared" si="16"/>
        <v>0</v>
      </c>
      <c r="V40" s="71">
        <f t="shared" si="17"/>
        <v>0</v>
      </c>
    </row>
    <row r="41" spans="1:22" ht="15.75" thickBot="1" x14ac:dyDescent="0.3">
      <c r="N41" s="66"/>
      <c r="O41" s="67"/>
      <c r="P41" s="68"/>
      <c r="Q41" s="68"/>
      <c r="R41" s="69"/>
      <c r="U41" s="72">
        <f>SUM(U33:U40)</f>
        <v>0</v>
      </c>
      <c r="V41" s="72">
        <f>SUM(V33:V40)</f>
        <v>0</v>
      </c>
    </row>
    <row r="42" spans="1:22" ht="18.75" thickTop="1" thickBot="1" x14ac:dyDescent="0.3">
      <c r="A42" s="412" t="s">
        <v>107</v>
      </c>
      <c r="B42" s="413"/>
      <c r="C42" s="413"/>
      <c r="D42" s="413"/>
      <c r="E42" s="413"/>
      <c r="F42" s="413"/>
      <c r="G42" s="413"/>
      <c r="H42" s="413"/>
      <c r="I42" s="413"/>
      <c r="J42" s="413"/>
      <c r="K42" s="413"/>
      <c r="L42" s="414"/>
      <c r="N42" s="66"/>
      <c r="O42" s="67"/>
      <c r="P42" s="68"/>
      <c r="Q42" s="68"/>
      <c r="R42" s="69"/>
      <c r="U42" s="71"/>
      <c r="V42" s="71"/>
    </row>
    <row r="43" spans="1:22" ht="43.5" thickBot="1" x14ac:dyDescent="0.3">
      <c r="A43" s="37" t="s">
        <v>1</v>
      </c>
      <c r="B43" s="38" t="s">
        <v>62</v>
      </c>
      <c r="C43" s="39" t="s">
        <v>2</v>
      </c>
      <c r="D43" s="40" t="s">
        <v>93</v>
      </c>
      <c r="E43" s="39" t="s">
        <v>61</v>
      </c>
      <c r="F43" s="40" t="s">
        <v>94</v>
      </c>
      <c r="G43" s="41" t="s">
        <v>60</v>
      </c>
      <c r="H43" s="39" t="s">
        <v>59</v>
      </c>
      <c r="I43" s="103" t="s">
        <v>56</v>
      </c>
      <c r="J43" s="40" t="s">
        <v>57</v>
      </c>
      <c r="K43" s="40" t="s">
        <v>58</v>
      </c>
      <c r="L43" s="42" t="s">
        <v>0</v>
      </c>
      <c r="N43" s="66"/>
      <c r="O43" s="67"/>
      <c r="P43" s="68"/>
      <c r="Q43" s="68"/>
      <c r="R43" s="69"/>
      <c r="U43" s="71"/>
      <c r="V43" s="71"/>
    </row>
    <row r="44" spans="1:22" x14ac:dyDescent="0.25">
      <c r="A44" s="4" t="s">
        <v>156</v>
      </c>
      <c r="B44" s="5">
        <v>1.7</v>
      </c>
      <c r="C44" s="6">
        <v>1</v>
      </c>
      <c r="D44" s="43">
        <f t="shared" ref="D44:D51" si="23">+$L$18*B44*C44</f>
        <v>0</v>
      </c>
      <c r="E44" s="7">
        <v>78</v>
      </c>
      <c r="F44" s="44">
        <f>+B44*C44*E44</f>
        <v>132.6</v>
      </c>
      <c r="G44" s="373">
        <f>SUM(F44:F51)</f>
        <v>337</v>
      </c>
      <c r="H44" s="8">
        <v>20</v>
      </c>
      <c r="I44" s="45">
        <f t="shared" ref="I44:I51" si="24">+IFERROR(ROUNDUP(D44/H44,0),0)</f>
        <v>0</v>
      </c>
      <c r="J44" s="44">
        <f>+E44*H44</f>
        <v>1560</v>
      </c>
      <c r="K44" s="44">
        <f>+I44*J44</f>
        <v>0</v>
      </c>
      <c r="L44" s="370">
        <f>SUM(K44:K51)</f>
        <v>0</v>
      </c>
      <c r="N44" s="66">
        <f t="shared" si="19"/>
        <v>0</v>
      </c>
      <c r="O44" s="67">
        <f t="shared" si="20"/>
        <v>0</v>
      </c>
      <c r="P44" s="68">
        <f t="shared" ref="P44:P51" si="25">+IFERROR(K44/N44,0)</f>
        <v>0</v>
      </c>
      <c r="Q44" s="68">
        <f t="shared" ref="Q44:Q51" si="26">+IFERROR(K44/O44,0)</f>
        <v>0</v>
      </c>
      <c r="R44" s="69">
        <f t="shared" ref="R44:R51" si="27">+B44*C44*E44</f>
        <v>132.6</v>
      </c>
      <c r="T44" s="70" t="str">
        <f>IFERROR(VLOOKUP(A44,VLOOKUPS!$A$3:$D$31,2,0),"Ander")</f>
        <v>Ander</v>
      </c>
      <c r="U44" s="71">
        <f t="shared" ref="U44:U51" si="28">IF(T44="Syngenta",K44,0)</f>
        <v>0</v>
      </c>
      <c r="V44" s="71">
        <f t="shared" ref="V44:V51" si="29">IF(T44="Ander",K44,0)</f>
        <v>0</v>
      </c>
    </row>
    <row r="45" spans="1:22" x14ac:dyDescent="0.25">
      <c r="A45" s="9" t="s">
        <v>157</v>
      </c>
      <c r="B45" s="10">
        <v>7.3</v>
      </c>
      <c r="C45" s="11">
        <f>+C44</f>
        <v>1</v>
      </c>
      <c r="D45" s="46">
        <f t="shared" si="23"/>
        <v>0</v>
      </c>
      <c r="E45" s="12">
        <v>28</v>
      </c>
      <c r="F45" s="47">
        <f t="shared" ref="F45:F51" si="30">+B45*C45*E45</f>
        <v>204.4</v>
      </c>
      <c r="G45" s="374"/>
      <c r="H45" s="13">
        <v>18</v>
      </c>
      <c r="I45" s="48">
        <f t="shared" si="24"/>
        <v>0</v>
      </c>
      <c r="J45" s="47">
        <f t="shared" ref="J45:J51" si="31">+E45*H45</f>
        <v>504</v>
      </c>
      <c r="K45" s="47">
        <f t="shared" ref="K45:K51" si="32">+I45*J45</f>
        <v>0</v>
      </c>
      <c r="L45" s="371"/>
      <c r="N45" s="66">
        <f t="shared" si="19"/>
        <v>0</v>
      </c>
      <c r="O45" s="67">
        <f t="shared" si="20"/>
        <v>0</v>
      </c>
      <c r="P45" s="68">
        <f t="shared" si="25"/>
        <v>0</v>
      </c>
      <c r="Q45" s="68">
        <f t="shared" si="26"/>
        <v>0</v>
      </c>
      <c r="R45" s="69">
        <f t="shared" si="27"/>
        <v>204.4</v>
      </c>
      <c r="T45" s="70" t="str">
        <f>IFERROR(VLOOKUP(A45,VLOOKUPS!$A$3:$D$31,2,0),"Ander")</f>
        <v>Ander</v>
      </c>
      <c r="U45" s="71">
        <f t="shared" si="28"/>
        <v>0</v>
      </c>
      <c r="V45" s="71">
        <f t="shared" si="29"/>
        <v>0</v>
      </c>
    </row>
    <row r="46" spans="1:22" x14ac:dyDescent="0.25">
      <c r="A46" s="9"/>
      <c r="B46" s="10"/>
      <c r="C46" s="11"/>
      <c r="D46" s="46">
        <f t="shared" si="23"/>
        <v>0</v>
      </c>
      <c r="E46" s="12"/>
      <c r="F46" s="47">
        <f t="shared" si="30"/>
        <v>0</v>
      </c>
      <c r="G46" s="374"/>
      <c r="H46" s="13"/>
      <c r="I46" s="48">
        <f t="shared" si="24"/>
        <v>0</v>
      </c>
      <c r="J46" s="47">
        <f t="shared" si="31"/>
        <v>0</v>
      </c>
      <c r="K46" s="47">
        <f t="shared" si="32"/>
        <v>0</v>
      </c>
      <c r="L46" s="371"/>
      <c r="N46" s="66">
        <f t="shared" si="19"/>
        <v>0</v>
      </c>
      <c r="O46" s="67">
        <f t="shared" si="20"/>
        <v>0</v>
      </c>
      <c r="P46" s="68">
        <f t="shared" si="25"/>
        <v>0</v>
      </c>
      <c r="Q46" s="68">
        <f t="shared" si="26"/>
        <v>0</v>
      </c>
      <c r="R46" s="69">
        <f t="shared" si="27"/>
        <v>0</v>
      </c>
      <c r="T46" s="70" t="str">
        <f>IFERROR(VLOOKUP(A46,VLOOKUPS!$A$3:$D$31,2,0),"Ander")</f>
        <v>Ander</v>
      </c>
      <c r="U46" s="71">
        <f t="shared" si="28"/>
        <v>0</v>
      </c>
      <c r="V46" s="71">
        <f t="shared" si="29"/>
        <v>0</v>
      </c>
    </row>
    <row r="47" spans="1:22" x14ac:dyDescent="0.25">
      <c r="A47" s="9"/>
      <c r="B47" s="10"/>
      <c r="C47" s="11"/>
      <c r="D47" s="46">
        <f t="shared" si="23"/>
        <v>0</v>
      </c>
      <c r="E47" s="12"/>
      <c r="F47" s="47">
        <f t="shared" si="30"/>
        <v>0</v>
      </c>
      <c r="G47" s="374"/>
      <c r="H47" s="13"/>
      <c r="I47" s="48">
        <f t="shared" si="24"/>
        <v>0</v>
      </c>
      <c r="J47" s="47">
        <f t="shared" si="31"/>
        <v>0</v>
      </c>
      <c r="K47" s="47">
        <f t="shared" si="32"/>
        <v>0</v>
      </c>
      <c r="L47" s="371"/>
      <c r="N47" s="66"/>
      <c r="O47" s="67"/>
      <c r="P47" s="68"/>
      <c r="Q47" s="68"/>
      <c r="R47" s="69"/>
      <c r="T47" s="70" t="str">
        <f>IFERROR(VLOOKUP(A47,VLOOKUPS!$A$3:$D$31,2,0),"Ander")</f>
        <v>Ander</v>
      </c>
      <c r="U47" s="71">
        <f t="shared" si="28"/>
        <v>0</v>
      </c>
      <c r="V47" s="71">
        <f t="shared" si="29"/>
        <v>0</v>
      </c>
    </row>
    <row r="48" spans="1:22" x14ac:dyDescent="0.25">
      <c r="A48" s="9"/>
      <c r="B48" s="10"/>
      <c r="C48" s="11"/>
      <c r="D48" s="46">
        <f t="shared" si="23"/>
        <v>0</v>
      </c>
      <c r="E48" s="12"/>
      <c r="F48" s="47">
        <f t="shared" si="30"/>
        <v>0</v>
      </c>
      <c r="G48" s="374"/>
      <c r="H48" s="13"/>
      <c r="I48" s="48">
        <f t="shared" si="24"/>
        <v>0</v>
      </c>
      <c r="J48" s="47">
        <f t="shared" si="31"/>
        <v>0</v>
      </c>
      <c r="K48" s="47">
        <f t="shared" si="32"/>
        <v>0</v>
      </c>
      <c r="L48" s="371"/>
      <c r="N48" s="66"/>
      <c r="O48" s="67"/>
      <c r="P48" s="68"/>
      <c r="Q48" s="68"/>
      <c r="R48" s="69"/>
      <c r="T48" s="70" t="str">
        <f>IFERROR(VLOOKUP(A48,VLOOKUPS!$A$3:$D$31,2,0),"Ander")</f>
        <v>Ander</v>
      </c>
      <c r="U48" s="71">
        <f t="shared" si="28"/>
        <v>0</v>
      </c>
      <c r="V48" s="71">
        <f t="shared" si="29"/>
        <v>0</v>
      </c>
    </row>
    <row r="49" spans="1:22" x14ac:dyDescent="0.25">
      <c r="A49" s="9"/>
      <c r="B49" s="10"/>
      <c r="C49" s="11"/>
      <c r="D49" s="46">
        <f t="shared" si="23"/>
        <v>0</v>
      </c>
      <c r="E49" s="12"/>
      <c r="F49" s="47">
        <f t="shared" si="30"/>
        <v>0</v>
      </c>
      <c r="G49" s="374"/>
      <c r="H49" s="13"/>
      <c r="I49" s="48">
        <f t="shared" si="24"/>
        <v>0</v>
      </c>
      <c r="J49" s="47">
        <f t="shared" si="31"/>
        <v>0</v>
      </c>
      <c r="K49" s="47">
        <f t="shared" si="32"/>
        <v>0</v>
      </c>
      <c r="L49" s="371"/>
      <c r="N49" s="66">
        <f t="shared" si="19"/>
        <v>0</v>
      </c>
      <c r="O49" s="67">
        <f t="shared" si="20"/>
        <v>0</v>
      </c>
      <c r="P49" s="68">
        <f t="shared" si="25"/>
        <v>0</v>
      </c>
      <c r="Q49" s="68">
        <f t="shared" si="26"/>
        <v>0</v>
      </c>
      <c r="R49" s="69">
        <f t="shared" si="27"/>
        <v>0</v>
      </c>
      <c r="T49" s="70" t="str">
        <f>IFERROR(VLOOKUP(A49,VLOOKUPS!$A$3:$D$31,2,0),"Ander")</f>
        <v>Ander</v>
      </c>
      <c r="U49" s="71">
        <f t="shared" si="28"/>
        <v>0</v>
      </c>
      <c r="V49" s="71">
        <f t="shared" si="29"/>
        <v>0</v>
      </c>
    </row>
    <row r="50" spans="1:22" x14ac:dyDescent="0.25">
      <c r="A50" s="9"/>
      <c r="B50" s="10"/>
      <c r="C50" s="11"/>
      <c r="D50" s="46">
        <f t="shared" si="23"/>
        <v>0</v>
      </c>
      <c r="E50" s="12"/>
      <c r="F50" s="47">
        <f t="shared" si="30"/>
        <v>0</v>
      </c>
      <c r="G50" s="374"/>
      <c r="H50" s="13"/>
      <c r="I50" s="48">
        <f t="shared" si="24"/>
        <v>0</v>
      </c>
      <c r="J50" s="47">
        <f t="shared" si="31"/>
        <v>0</v>
      </c>
      <c r="K50" s="47">
        <f t="shared" si="32"/>
        <v>0</v>
      </c>
      <c r="L50" s="371"/>
      <c r="N50" s="66">
        <f t="shared" si="19"/>
        <v>0</v>
      </c>
      <c r="O50" s="67">
        <f t="shared" si="20"/>
        <v>0</v>
      </c>
      <c r="P50" s="68">
        <f t="shared" si="25"/>
        <v>0</v>
      </c>
      <c r="Q50" s="68">
        <f t="shared" si="26"/>
        <v>0</v>
      </c>
      <c r="R50" s="69">
        <f t="shared" si="27"/>
        <v>0</v>
      </c>
      <c r="T50" s="70" t="str">
        <f>IFERROR(VLOOKUP(A50,VLOOKUPS!$A$3:$D$31,2,0),"Ander")</f>
        <v>Ander</v>
      </c>
      <c r="U50" s="71">
        <f t="shared" si="28"/>
        <v>0</v>
      </c>
      <c r="V50" s="71">
        <f t="shared" si="29"/>
        <v>0</v>
      </c>
    </row>
    <row r="51" spans="1:22" ht="15.75" thickBot="1" x14ac:dyDescent="0.3">
      <c r="A51" s="14"/>
      <c r="B51" s="15"/>
      <c r="C51" s="16"/>
      <c r="D51" s="49">
        <f t="shared" si="23"/>
        <v>0</v>
      </c>
      <c r="E51" s="17"/>
      <c r="F51" s="50">
        <f t="shared" si="30"/>
        <v>0</v>
      </c>
      <c r="G51" s="375"/>
      <c r="H51" s="18"/>
      <c r="I51" s="51">
        <f t="shared" si="24"/>
        <v>0</v>
      </c>
      <c r="J51" s="50">
        <f t="shared" si="31"/>
        <v>0</v>
      </c>
      <c r="K51" s="50">
        <f t="shared" si="32"/>
        <v>0</v>
      </c>
      <c r="L51" s="372"/>
      <c r="N51" s="66">
        <f t="shared" si="19"/>
        <v>0</v>
      </c>
      <c r="O51" s="67">
        <f t="shared" si="20"/>
        <v>0</v>
      </c>
      <c r="P51" s="68">
        <f t="shared" si="25"/>
        <v>0</v>
      </c>
      <c r="Q51" s="68">
        <f t="shared" si="26"/>
        <v>0</v>
      </c>
      <c r="R51" s="69">
        <f t="shared" si="27"/>
        <v>0</v>
      </c>
      <c r="T51" s="70" t="str">
        <f>IFERROR(VLOOKUP(A51,VLOOKUPS!$A$3:$D$31,2,0),"Ander")</f>
        <v>Ander</v>
      </c>
      <c r="U51" s="71">
        <f t="shared" si="28"/>
        <v>0</v>
      </c>
      <c r="V51" s="71">
        <f t="shared" si="29"/>
        <v>0</v>
      </c>
    </row>
    <row r="52" spans="1:22" ht="15.75" thickBot="1" x14ac:dyDescent="0.3">
      <c r="N52" s="66"/>
      <c r="O52" s="67"/>
      <c r="P52" s="68"/>
      <c r="Q52" s="68"/>
      <c r="R52" s="69"/>
      <c r="U52" s="72">
        <f>SUM(U44:U51)</f>
        <v>0</v>
      </c>
      <c r="V52" s="72">
        <f>SUM(V44:V51)</f>
        <v>0</v>
      </c>
    </row>
    <row r="53" spans="1:22" ht="18.75" thickTop="1" thickBot="1" x14ac:dyDescent="0.3">
      <c r="A53" s="412" t="s">
        <v>64</v>
      </c>
      <c r="B53" s="413"/>
      <c r="C53" s="413"/>
      <c r="D53" s="413"/>
      <c r="E53" s="413"/>
      <c r="F53" s="413"/>
      <c r="G53" s="413"/>
      <c r="H53" s="413"/>
      <c r="I53" s="413"/>
      <c r="J53" s="413"/>
      <c r="K53" s="413"/>
      <c r="L53" s="414"/>
      <c r="N53" s="66"/>
      <c r="O53" s="67"/>
      <c r="P53" s="68"/>
      <c r="Q53" s="68"/>
      <c r="R53" s="69"/>
      <c r="U53" s="71"/>
      <c r="V53" s="71"/>
    </row>
    <row r="54" spans="1:22" ht="43.5" thickBot="1" x14ac:dyDescent="0.3">
      <c r="A54" s="37" t="s">
        <v>1</v>
      </c>
      <c r="B54" s="38" t="s">
        <v>62</v>
      </c>
      <c r="C54" s="39" t="s">
        <v>2</v>
      </c>
      <c r="D54" s="40" t="s">
        <v>93</v>
      </c>
      <c r="E54" s="39" t="s">
        <v>61</v>
      </c>
      <c r="F54" s="40" t="s">
        <v>94</v>
      </c>
      <c r="G54" s="41" t="s">
        <v>60</v>
      </c>
      <c r="H54" s="39" t="s">
        <v>59</v>
      </c>
      <c r="I54" s="103" t="s">
        <v>56</v>
      </c>
      <c r="J54" s="40" t="s">
        <v>57</v>
      </c>
      <c r="K54" s="40" t="s">
        <v>58</v>
      </c>
      <c r="L54" s="42" t="s">
        <v>0</v>
      </c>
      <c r="N54" s="66"/>
      <c r="O54" s="67"/>
      <c r="P54" s="68"/>
      <c r="Q54" s="68"/>
      <c r="R54" s="69"/>
      <c r="U54" s="71"/>
      <c r="V54" s="71"/>
    </row>
    <row r="55" spans="1:22" x14ac:dyDescent="0.25">
      <c r="A55" s="4" t="s">
        <v>156</v>
      </c>
      <c r="B55" s="5">
        <v>2</v>
      </c>
      <c r="C55" s="6">
        <v>1</v>
      </c>
      <c r="D55" s="43">
        <f>+L18*B55*C55</f>
        <v>0</v>
      </c>
      <c r="E55" s="7">
        <v>69</v>
      </c>
      <c r="F55" s="44">
        <f>+B55*C55*E55</f>
        <v>138</v>
      </c>
      <c r="G55" s="373">
        <f>SUM(F55:F64)</f>
        <v>313.20000000000005</v>
      </c>
      <c r="H55" s="8">
        <v>20</v>
      </c>
      <c r="I55" s="45">
        <f t="shared" ref="I55:I64" si="33">+IFERROR(ROUNDUP(D55/H55,0),0)</f>
        <v>0</v>
      </c>
      <c r="J55" s="44">
        <f>+E55*H55</f>
        <v>1380</v>
      </c>
      <c r="K55" s="44">
        <f>+I55*J55</f>
        <v>0</v>
      </c>
      <c r="L55" s="370">
        <f>SUM(K55:K64)</f>
        <v>0</v>
      </c>
      <c r="N55" s="66">
        <f t="shared" si="19"/>
        <v>0</v>
      </c>
      <c r="O55" s="67">
        <f t="shared" si="20"/>
        <v>0</v>
      </c>
      <c r="P55" s="68">
        <f t="shared" ref="P55:P64" si="34">+IFERROR(K55/N55,0)</f>
        <v>0</v>
      </c>
      <c r="Q55" s="68">
        <f t="shared" ref="Q55:Q64" si="35">+IFERROR(K55/O55,0)</f>
        <v>0</v>
      </c>
      <c r="R55" s="69">
        <f t="shared" ref="R55:R64" si="36">+B55*C55*E55</f>
        <v>138</v>
      </c>
      <c r="T55" s="70" t="str">
        <f>IFERROR(VLOOKUP(A55,VLOOKUPS!$A$3:$D$31,2,0),"Ander")</f>
        <v>Ander</v>
      </c>
      <c r="U55" s="71">
        <f t="shared" ref="U55:U64" si="37">IF(T55="Syngenta",K55,0)</f>
        <v>0</v>
      </c>
      <c r="V55" s="71">
        <f t="shared" ref="V55:V64" si="38">IF(T55="Ander",K55,0)</f>
        <v>0</v>
      </c>
    </row>
    <row r="56" spans="1:22" x14ac:dyDescent="0.25">
      <c r="A56" s="9" t="s">
        <v>157</v>
      </c>
      <c r="B56" s="10">
        <v>0.6</v>
      </c>
      <c r="C56" s="11">
        <f>+C55</f>
        <v>1</v>
      </c>
      <c r="D56" s="46">
        <f>+L18*B56*C56</f>
        <v>0</v>
      </c>
      <c r="E56" s="12">
        <v>148</v>
      </c>
      <c r="F56" s="47">
        <f t="shared" ref="F56:F64" si="39">+B56*C56*E56</f>
        <v>88.8</v>
      </c>
      <c r="G56" s="374"/>
      <c r="H56" s="13">
        <v>20</v>
      </c>
      <c r="I56" s="48">
        <f t="shared" si="33"/>
        <v>0</v>
      </c>
      <c r="J56" s="47">
        <f t="shared" ref="J56:J64" si="40">+E56*H56</f>
        <v>2960</v>
      </c>
      <c r="K56" s="47">
        <f t="shared" ref="K56:K64" si="41">+I56*J56</f>
        <v>0</v>
      </c>
      <c r="L56" s="371"/>
      <c r="N56" s="66">
        <f t="shared" si="19"/>
        <v>0</v>
      </c>
      <c r="O56" s="67">
        <f t="shared" si="20"/>
        <v>0</v>
      </c>
      <c r="P56" s="68">
        <f t="shared" si="34"/>
        <v>0</v>
      </c>
      <c r="Q56" s="68">
        <f t="shared" si="35"/>
        <v>0</v>
      </c>
      <c r="R56" s="69">
        <f t="shared" si="36"/>
        <v>88.8</v>
      </c>
      <c r="T56" s="70" t="str">
        <f>IFERROR(VLOOKUP(A56,VLOOKUPS!$A$3:$D$31,2,0),"Ander")</f>
        <v>Ander</v>
      </c>
      <c r="U56" s="71">
        <f t="shared" si="37"/>
        <v>0</v>
      </c>
      <c r="V56" s="71">
        <f t="shared" si="38"/>
        <v>0</v>
      </c>
    </row>
    <row r="57" spans="1:22" x14ac:dyDescent="0.25">
      <c r="A57" s="9" t="s">
        <v>158</v>
      </c>
      <c r="B57" s="10">
        <v>1.8</v>
      </c>
      <c r="C57" s="11">
        <v>1</v>
      </c>
      <c r="D57" s="46">
        <f>L18*B57*C57</f>
        <v>0</v>
      </c>
      <c r="E57" s="12">
        <v>48</v>
      </c>
      <c r="F57" s="47">
        <f t="shared" si="39"/>
        <v>86.4</v>
      </c>
      <c r="G57" s="374"/>
      <c r="H57" s="13">
        <v>25</v>
      </c>
      <c r="I57" s="48">
        <f t="shared" si="33"/>
        <v>0</v>
      </c>
      <c r="J57" s="47">
        <f t="shared" si="40"/>
        <v>1200</v>
      </c>
      <c r="K57" s="47">
        <f t="shared" si="41"/>
        <v>0</v>
      </c>
      <c r="L57" s="371"/>
      <c r="N57" s="66">
        <f t="shared" si="19"/>
        <v>0</v>
      </c>
      <c r="O57" s="67">
        <f t="shared" si="20"/>
        <v>0</v>
      </c>
      <c r="P57" s="68">
        <f t="shared" si="34"/>
        <v>0</v>
      </c>
      <c r="Q57" s="68">
        <f t="shared" si="35"/>
        <v>0</v>
      </c>
      <c r="R57" s="69">
        <f t="shared" si="36"/>
        <v>86.4</v>
      </c>
      <c r="T57" s="70" t="str">
        <f>IFERROR(VLOOKUP(A57,VLOOKUPS!$A$3:$D$31,2,0),"Ander")</f>
        <v>Ander</v>
      </c>
      <c r="U57" s="71">
        <f t="shared" si="37"/>
        <v>0</v>
      </c>
      <c r="V57" s="71">
        <f t="shared" si="38"/>
        <v>0</v>
      </c>
    </row>
    <row r="58" spans="1:22" x14ac:dyDescent="0.25">
      <c r="A58" s="9"/>
      <c r="B58" s="10"/>
      <c r="C58" s="11"/>
      <c r="D58" s="46">
        <f>L18*B58*C58</f>
        <v>0</v>
      </c>
      <c r="E58" s="12"/>
      <c r="F58" s="47">
        <f t="shared" si="39"/>
        <v>0</v>
      </c>
      <c r="G58" s="374"/>
      <c r="H58" s="13"/>
      <c r="I58" s="48">
        <f t="shared" si="33"/>
        <v>0</v>
      </c>
      <c r="J58" s="47">
        <f t="shared" si="40"/>
        <v>0</v>
      </c>
      <c r="K58" s="47">
        <f t="shared" si="41"/>
        <v>0</v>
      </c>
      <c r="L58" s="371"/>
      <c r="N58" s="66"/>
      <c r="O58" s="67"/>
      <c r="P58" s="68"/>
      <c r="Q58" s="68"/>
      <c r="R58" s="69"/>
      <c r="T58" s="70" t="str">
        <f>IFERROR(VLOOKUP(A58,VLOOKUPS!$A$3:$D$31,2,0),"Ander")</f>
        <v>Ander</v>
      </c>
      <c r="U58" s="71">
        <f t="shared" si="37"/>
        <v>0</v>
      </c>
      <c r="V58" s="71">
        <f t="shared" si="38"/>
        <v>0</v>
      </c>
    </row>
    <row r="59" spans="1:22" x14ac:dyDescent="0.25">
      <c r="A59" s="9"/>
      <c r="B59" s="10"/>
      <c r="C59" s="11"/>
      <c r="D59" s="46">
        <f>L18*B59*C59</f>
        <v>0</v>
      </c>
      <c r="E59" s="12"/>
      <c r="F59" s="47">
        <f t="shared" si="39"/>
        <v>0</v>
      </c>
      <c r="G59" s="374"/>
      <c r="H59" s="13"/>
      <c r="I59" s="48">
        <f t="shared" si="33"/>
        <v>0</v>
      </c>
      <c r="J59" s="47">
        <f t="shared" si="40"/>
        <v>0</v>
      </c>
      <c r="K59" s="47">
        <f t="shared" si="41"/>
        <v>0</v>
      </c>
      <c r="L59" s="371"/>
      <c r="N59" s="66"/>
      <c r="O59" s="67"/>
      <c r="P59" s="68"/>
      <c r="Q59" s="68"/>
      <c r="R59" s="69"/>
      <c r="T59" s="70" t="str">
        <f>IFERROR(VLOOKUP(A59,VLOOKUPS!$A$3:$D$31,2,0),"Ander")</f>
        <v>Ander</v>
      </c>
      <c r="U59" s="71">
        <f t="shared" si="37"/>
        <v>0</v>
      </c>
      <c r="V59" s="71">
        <f t="shared" si="38"/>
        <v>0</v>
      </c>
    </row>
    <row r="60" spans="1:22" x14ac:dyDescent="0.25">
      <c r="A60" s="9"/>
      <c r="B60" s="10"/>
      <c r="C60" s="11"/>
      <c r="D60" s="46">
        <f t="shared" ref="D60:D61" si="42">L19*B60*C60</f>
        <v>0</v>
      </c>
      <c r="E60" s="12"/>
      <c r="F60" s="47">
        <f t="shared" si="39"/>
        <v>0</v>
      </c>
      <c r="G60" s="374"/>
      <c r="H60" s="13"/>
      <c r="I60" s="48">
        <f t="shared" si="33"/>
        <v>0</v>
      </c>
      <c r="J60" s="47">
        <f t="shared" si="40"/>
        <v>0</v>
      </c>
      <c r="K60" s="47">
        <f t="shared" si="41"/>
        <v>0</v>
      </c>
      <c r="L60" s="371"/>
      <c r="N60" s="66"/>
      <c r="O60" s="67"/>
      <c r="P60" s="68"/>
      <c r="Q60" s="68"/>
      <c r="R60" s="69"/>
      <c r="T60" s="70" t="str">
        <f>IFERROR(VLOOKUP(A60,VLOOKUPS!$A$3:$D$31,2,0),"Ander")</f>
        <v>Ander</v>
      </c>
      <c r="U60" s="71">
        <f t="shared" si="37"/>
        <v>0</v>
      </c>
      <c r="V60" s="71">
        <f t="shared" si="38"/>
        <v>0</v>
      </c>
    </row>
    <row r="61" spans="1:22" x14ac:dyDescent="0.25">
      <c r="A61" s="9"/>
      <c r="B61" s="10"/>
      <c r="C61" s="11"/>
      <c r="D61" s="46">
        <f t="shared" si="42"/>
        <v>0</v>
      </c>
      <c r="E61" s="12"/>
      <c r="F61" s="47">
        <f t="shared" si="39"/>
        <v>0</v>
      </c>
      <c r="G61" s="374"/>
      <c r="H61" s="13"/>
      <c r="I61" s="48">
        <f t="shared" si="33"/>
        <v>0</v>
      </c>
      <c r="J61" s="47">
        <f t="shared" si="40"/>
        <v>0</v>
      </c>
      <c r="K61" s="47">
        <f t="shared" si="41"/>
        <v>0</v>
      </c>
      <c r="L61" s="371"/>
      <c r="N61" s="66"/>
      <c r="O61" s="67"/>
      <c r="P61" s="68"/>
      <c r="Q61" s="68"/>
      <c r="R61" s="69"/>
      <c r="T61" s="70" t="str">
        <f>IFERROR(VLOOKUP(A61,VLOOKUPS!$A$3:$D$31,2,0),"Ander")</f>
        <v>Ander</v>
      </c>
      <c r="U61" s="71">
        <f t="shared" si="37"/>
        <v>0</v>
      </c>
      <c r="V61" s="71">
        <f t="shared" si="38"/>
        <v>0</v>
      </c>
    </row>
    <row r="62" spans="1:22" x14ac:dyDescent="0.25">
      <c r="A62" s="9"/>
      <c r="B62" s="10"/>
      <c r="C62" s="11"/>
      <c r="D62" s="46">
        <f>L18*B62*C62</f>
        <v>0</v>
      </c>
      <c r="E62" s="12"/>
      <c r="F62" s="47">
        <f t="shared" si="39"/>
        <v>0</v>
      </c>
      <c r="G62" s="374"/>
      <c r="H62" s="13"/>
      <c r="I62" s="48">
        <f t="shared" si="33"/>
        <v>0</v>
      </c>
      <c r="J62" s="47">
        <f t="shared" si="40"/>
        <v>0</v>
      </c>
      <c r="K62" s="47">
        <f t="shared" si="41"/>
        <v>0</v>
      </c>
      <c r="L62" s="371"/>
      <c r="N62" s="66">
        <f t="shared" si="19"/>
        <v>0</v>
      </c>
      <c r="O62" s="67">
        <f t="shared" si="20"/>
        <v>0</v>
      </c>
      <c r="P62" s="68">
        <f t="shared" si="34"/>
        <v>0</v>
      </c>
      <c r="Q62" s="68">
        <f t="shared" si="35"/>
        <v>0</v>
      </c>
      <c r="R62" s="69">
        <f t="shared" si="36"/>
        <v>0</v>
      </c>
      <c r="T62" s="70" t="str">
        <f>IFERROR(VLOOKUP(A62,VLOOKUPS!$A$3:$D$31,2,0),"Ander")</f>
        <v>Ander</v>
      </c>
      <c r="U62" s="71">
        <f t="shared" si="37"/>
        <v>0</v>
      </c>
      <c r="V62" s="71">
        <f t="shared" si="38"/>
        <v>0</v>
      </c>
    </row>
    <row r="63" spans="1:22" x14ac:dyDescent="0.25">
      <c r="A63" s="9"/>
      <c r="B63" s="10"/>
      <c r="C63" s="11"/>
      <c r="D63" s="46">
        <f>L18*B63*C63</f>
        <v>0</v>
      </c>
      <c r="E63" s="12"/>
      <c r="F63" s="47">
        <f t="shared" si="39"/>
        <v>0</v>
      </c>
      <c r="G63" s="374"/>
      <c r="H63" s="13"/>
      <c r="I63" s="48">
        <f t="shared" si="33"/>
        <v>0</v>
      </c>
      <c r="J63" s="47">
        <f t="shared" si="40"/>
        <v>0</v>
      </c>
      <c r="K63" s="47">
        <f t="shared" si="41"/>
        <v>0</v>
      </c>
      <c r="L63" s="371"/>
      <c r="N63" s="66">
        <f t="shared" si="19"/>
        <v>0</v>
      </c>
      <c r="O63" s="67">
        <f t="shared" si="20"/>
        <v>0</v>
      </c>
      <c r="P63" s="68">
        <f t="shared" si="34"/>
        <v>0</v>
      </c>
      <c r="Q63" s="68">
        <f t="shared" si="35"/>
        <v>0</v>
      </c>
      <c r="R63" s="69">
        <f t="shared" si="36"/>
        <v>0</v>
      </c>
      <c r="T63" s="70" t="str">
        <f>IFERROR(VLOOKUP(A63,VLOOKUPS!$A$3:$D$31,2,0),"Ander")</f>
        <v>Ander</v>
      </c>
      <c r="U63" s="71">
        <f t="shared" si="37"/>
        <v>0</v>
      </c>
      <c r="V63" s="71">
        <f t="shared" si="38"/>
        <v>0</v>
      </c>
    </row>
    <row r="64" spans="1:22" ht="15.75" thickBot="1" x14ac:dyDescent="0.3">
      <c r="A64" s="14"/>
      <c r="B64" s="15"/>
      <c r="C64" s="16"/>
      <c r="D64" s="49">
        <f>L18*B64*C64</f>
        <v>0</v>
      </c>
      <c r="E64" s="17"/>
      <c r="F64" s="50">
        <f t="shared" si="39"/>
        <v>0</v>
      </c>
      <c r="G64" s="375"/>
      <c r="H64" s="18"/>
      <c r="I64" s="51">
        <f t="shared" si="33"/>
        <v>0</v>
      </c>
      <c r="J64" s="50">
        <f t="shared" si="40"/>
        <v>0</v>
      </c>
      <c r="K64" s="50">
        <f t="shared" si="41"/>
        <v>0</v>
      </c>
      <c r="L64" s="372"/>
      <c r="N64" s="66">
        <f t="shared" si="19"/>
        <v>0</v>
      </c>
      <c r="O64" s="67">
        <f t="shared" si="20"/>
        <v>0</v>
      </c>
      <c r="P64" s="68">
        <f t="shared" si="34"/>
        <v>0</v>
      </c>
      <c r="Q64" s="68">
        <f t="shared" si="35"/>
        <v>0</v>
      </c>
      <c r="R64" s="69">
        <f t="shared" si="36"/>
        <v>0</v>
      </c>
      <c r="T64" s="70" t="str">
        <f>IFERROR(VLOOKUP(A64,VLOOKUPS!$A$3:$D$31,2,0),"Ander")</f>
        <v>Ander</v>
      </c>
      <c r="U64" s="71">
        <f t="shared" si="37"/>
        <v>0</v>
      </c>
      <c r="V64" s="71">
        <f t="shared" si="38"/>
        <v>0</v>
      </c>
    </row>
    <row r="65" spans="1:22" ht="15.75" thickBot="1" x14ac:dyDescent="0.3">
      <c r="N65" s="66"/>
      <c r="O65" s="67"/>
      <c r="P65" s="68"/>
      <c r="Q65" s="68"/>
      <c r="R65" s="69"/>
      <c r="U65" s="72">
        <f>SUM(U55:U64)</f>
        <v>0</v>
      </c>
      <c r="V65" s="72">
        <f>SUM(V55:V64)</f>
        <v>0</v>
      </c>
    </row>
    <row r="66" spans="1:22" ht="18.75" thickTop="1" thickBot="1" x14ac:dyDescent="0.35">
      <c r="A66" s="409" t="s">
        <v>67</v>
      </c>
      <c r="B66" s="410"/>
      <c r="C66" s="410"/>
      <c r="D66" s="410"/>
      <c r="E66" s="410"/>
      <c r="F66" s="410"/>
      <c r="G66" s="410"/>
      <c r="H66" s="410"/>
      <c r="I66" s="410"/>
      <c r="J66" s="410"/>
      <c r="K66" s="410"/>
      <c r="L66" s="411"/>
      <c r="N66" s="66"/>
      <c r="O66" s="67"/>
      <c r="P66" s="68"/>
      <c r="Q66" s="68"/>
      <c r="R66" s="69"/>
      <c r="U66" s="71"/>
      <c r="V66" s="71"/>
    </row>
    <row r="67" spans="1:22" ht="43.5" thickBot="1" x14ac:dyDescent="0.3">
      <c r="A67" s="37" t="s">
        <v>1</v>
      </c>
      <c r="B67" s="38" t="s">
        <v>62</v>
      </c>
      <c r="C67" s="39" t="s">
        <v>2</v>
      </c>
      <c r="D67" s="40" t="s">
        <v>93</v>
      </c>
      <c r="E67" s="39" t="s">
        <v>61</v>
      </c>
      <c r="F67" s="40" t="s">
        <v>94</v>
      </c>
      <c r="G67" s="41" t="s">
        <v>60</v>
      </c>
      <c r="H67" s="39" t="s">
        <v>59</v>
      </c>
      <c r="I67" s="103" t="s">
        <v>56</v>
      </c>
      <c r="J67" s="40" t="s">
        <v>57</v>
      </c>
      <c r="K67" s="40" t="s">
        <v>58</v>
      </c>
      <c r="L67" s="42" t="s">
        <v>0</v>
      </c>
      <c r="N67" s="66"/>
      <c r="O67" s="67"/>
      <c r="P67" s="68"/>
      <c r="Q67" s="68"/>
      <c r="R67" s="69"/>
      <c r="U67" s="71"/>
      <c r="V67" s="71"/>
    </row>
    <row r="68" spans="1:22" x14ac:dyDescent="0.25">
      <c r="A68" s="4" t="s">
        <v>1</v>
      </c>
      <c r="B68" s="5">
        <v>0.5</v>
      </c>
      <c r="C68" s="6">
        <v>1</v>
      </c>
      <c r="D68" s="43">
        <f>+L18*B68*C68</f>
        <v>0</v>
      </c>
      <c r="E68" s="7">
        <v>274.08</v>
      </c>
      <c r="F68" s="44">
        <f>+B68*C68*E68</f>
        <v>137.04</v>
      </c>
      <c r="G68" s="373">
        <f>SUM(F68:F71)</f>
        <v>137.04</v>
      </c>
      <c r="H68" s="8">
        <v>5</v>
      </c>
      <c r="I68" s="45">
        <f t="shared" ref="I68:I71" si="43">+IFERROR(ROUNDUP(D68/H68,0),0)</f>
        <v>0</v>
      </c>
      <c r="J68" s="44">
        <f>+E68*H68</f>
        <v>1370.3999999999999</v>
      </c>
      <c r="K68" s="44">
        <f>+I68*J68</f>
        <v>0</v>
      </c>
      <c r="L68" s="370">
        <f>SUM(K68:K71)</f>
        <v>0</v>
      </c>
      <c r="N68" s="66">
        <f t="shared" si="19"/>
        <v>0</v>
      </c>
      <c r="O68" s="67">
        <f t="shared" si="20"/>
        <v>0</v>
      </c>
      <c r="P68" s="68">
        <f t="shared" ref="P68:P71" si="44">+IFERROR(K68/N68,0)</f>
        <v>0</v>
      </c>
      <c r="Q68" s="68">
        <f t="shared" ref="Q68:Q71" si="45">+IFERROR(K68/O68,0)</f>
        <v>0</v>
      </c>
      <c r="R68" s="69">
        <f t="shared" ref="R68:R71" si="46">+B68*C68*E68</f>
        <v>137.04</v>
      </c>
      <c r="T68" s="70" t="str">
        <f>IFERROR(VLOOKUP(A68,VLOOKUPS!$A$3:$D$31,2,0),"Ander")</f>
        <v>Ander</v>
      </c>
      <c r="U68" s="71">
        <f t="shared" ref="U68:U71" si="47">IF(T68="Syngenta",K68,0)</f>
        <v>0</v>
      </c>
      <c r="V68" s="71">
        <f t="shared" ref="V68:V71" si="48">IF(T68="Ander",K68,0)</f>
        <v>0</v>
      </c>
    </row>
    <row r="69" spans="1:22" x14ac:dyDescent="0.25">
      <c r="A69" s="9"/>
      <c r="B69" s="10"/>
      <c r="C69" s="11"/>
      <c r="D69" s="46">
        <f>+L18*B69*C69</f>
        <v>0</v>
      </c>
      <c r="E69" s="12"/>
      <c r="F69" s="47">
        <f t="shared" ref="F69:F71" si="49">+B69*C69*E69</f>
        <v>0</v>
      </c>
      <c r="G69" s="374"/>
      <c r="H69" s="13"/>
      <c r="I69" s="48">
        <f t="shared" si="43"/>
        <v>0</v>
      </c>
      <c r="J69" s="47">
        <f t="shared" ref="J69:J71" si="50">+E69*H69</f>
        <v>0</v>
      </c>
      <c r="K69" s="47">
        <f t="shared" ref="K69:K71" si="51">+I69*J69</f>
        <v>0</v>
      </c>
      <c r="L69" s="371"/>
      <c r="N69" s="66">
        <f t="shared" si="19"/>
        <v>0</v>
      </c>
      <c r="O69" s="67">
        <f t="shared" si="20"/>
        <v>0</v>
      </c>
      <c r="P69" s="68">
        <f t="shared" si="44"/>
        <v>0</v>
      </c>
      <c r="Q69" s="68">
        <f t="shared" si="45"/>
        <v>0</v>
      </c>
      <c r="R69" s="69">
        <f t="shared" si="46"/>
        <v>0</v>
      </c>
      <c r="T69" s="70" t="str">
        <f>IFERROR(VLOOKUP(A69,VLOOKUPS!$A$3:$D$31,2,0),"Ander")</f>
        <v>Ander</v>
      </c>
      <c r="U69" s="71">
        <f t="shared" si="47"/>
        <v>0</v>
      </c>
      <c r="V69" s="71">
        <f t="shared" si="48"/>
        <v>0</v>
      </c>
    </row>
    <row r="70" spans="1:22" x14ac:dyDescent="0.25">
      <c r="A70" s="9"/>
      <c r="B70" s="10"/>
      <c r="C70" s="11"/>
      <c r="D70" s="46">
        <f>L18*B70*C70</f>
        <v>0</v>
      </c>
      <c r="E70" s="12"/>
      <c r="F70" s="47">
        <f t="shared" si="49"/>
        <v>0</v>
      </c>
      <c r="G70" s="374"/>
      <c r="H70" s="13"/>
      <c r="I70" s="48">
        <f t="shared" si="43"/>
        <v>0</v>
      </c>
      <c r="J70" s="47">
        <f t="shared" si="50"/>
        <v>0</v>
      </c>
      <c r="K70" s="47">
        <f t="shared" si="51"/>
        <v>0</v>
      </c>
      <c r="L70" s="371"/>
      <c r="N70" s="66">
        <f t="shared" si="19"/>
        <v>0</v>
      </c>
      <c r="O70" s="67">
        <f t="shared" si="20"/>
        <v>0</v>
      </c>
      <c r="P70" s="68">
        <f t="shared" si="44"/>
        <v>0</v>
      </c>
      <c r="Q70" s="68">
        <f t="shared" si="45"/>
        <v>0</v>
      </c>
      <c r="R70" s="69">
        <f t="shared" si="46"/>
        <v>0</v>
      </c>
      <c r="T70" s="70" t="str">
        <f>IFERROR(VLOOKUP(A70,VLOOKUPS!$A$3:$D$31,2,0),"Ander")</f>
        <v>Ander</v>
      </c>
      <c r="U70" s="71">
        <f t="shared" si="47"/>
        <v>0</v>
      </c>
      <c r="V70" s="71">
        <f t="shared" si="48"/>
        <v>0</v>
      </c>
    </row>
    <row r="71" spans="1:22" ht="15.75" thickBot="1" x14ac:dyDescent="0.3">
      <c r="A71" s="14"/>
      <c r="B71" s="15"/>
      <c r="C71" s="16"/>
      <c r="D71" s="49">
        <f>+L18*B71*C71</f>
        <v>0</v>
      </c>
      <c r="E71" s="17"/>
      <c r="F71" s="50">
        <f t="shared" si="49"/>
        <v>0</v>
      </c>
      <c r="G71" s="375"/>
      <c r="H71" s="18"/>
      <c r="I71" s="51">
        <f t="shared" si="43"/>
        <v>0</v>
      </c>
      <c r="J71" s="50">
        <f t="shared" si="50"/>
        <v>0</v>
      </c>
      <c r="K71" s="50">
        <f t="shared" si="51"/>
        <v>0</v>
      </c>
      <c r="L71" s="372"/>
      <c r="N71" s="66">
        <f t="shared" si="19"/>
        <v>0</v>
      </c>
      <c r="O71" s="67">
        <f t="shared" si="20"/>
        <v>0</v>
      </c>
      <c r="P71" s="68">
        <f t="shared" si="44"/>
        <v>0</v>
      </c>
      <c r="Q71" s="68">
        <f t="shared" si="45"/>
        <v>0</v>
      </c>
      <c r="R71" s="69">
        <f t="shared" si="46"/>
        <v>0</v>
      </c>
      <c r="T71" s="70" t="str">
        <f>IFERROR(VLOOKUP(A71,VLOOKUPS!$A$3:$D$31,2,0),"Ander")</f>
        <v>Ander</v>
      </c>
      <c r="U71" s="71">
        <f t="shared" si="47"/>
        <v>0</v>
      </c>
      <c r="V71" s="71">
        <f t="shared" si="48"/>
        <v>0</v>
      </c>
    </row>
    <row r="72" spans="1:22" ht="15.75" thickBot="1" x14ac:dyDescent="0.3">
      <c r="U72" s="72">
        <f>SUM(U68:U71)</f>
        <v>0</v>
      </c>
      <c r="V72" s="72">
        <f>SUM(V68:V71)</f>
        <v>0</v>
      </c>
    </row>
    <row r="73" spans="1:22" ht="15.75" thickTop="1" x14ac:dyDescent="0.25">
      <c r="U73" s="73"/>
      <c r="V73" s="73"/>
    </row>
    <row r="74" spans="1:22" ht="15" customHeight="1" thickBot="1" x14ac:dyDescent="0.3">
      <c r="B74" s="395" t="s">
        <v>89</v>
      </c>
      <c r="C74" s="396"/>
      <c r="D74" s="396"/>
      <c r="E74" s="396"/>
      <c r="F74" s="396"/>
      <c r="G74" s="396"/>
      <c r="H74" s="396"/>
      <c r="I74" s="396"/>
      <c r="J74" s="396"/>
      <c r="K74" s="397"/>
    </row>
    <row r="75" spans="1:22" ht="15.75" thickBot="1" x14ac:dyDescent="0.3">
      <c r="B75" s="398"/>
      <c r="C75" s="399"/>
      <c r="D75" s="399"/>
      <c r="E75" s="399"/>
      <c r="F75" s="399"/>
      <c r="G75" s="399"/>
      <c r="H75" s="399"/>
      <c r="I75" s="399"/>
      <c r="J75" s="399"/>
      <c r="K75" s="400"/>
      <c r="T75" s="74" t="s">
        <v>76</v>
      </c>
      <c r="U75" s="105">
        <f>U72+U65+U52+U41+U30</f>
        <v>0</v>
      </c>
      <c r="V75" s="106">
        <f>V72+V65+V52+V41+V30</f>
        <v>8500</v>
      </c>
    </row>
    <row r="76" spans="1:22" x14ac:dyDescent="0.25">
      <c r="B76" s="36"/>
      <c r="C76" s="111"/>
      <c r="D76" s="111"/>
      <c r="E76" s="111"/>
      <c r="F76" s="111"/>
      <c r="T76" s="27" t="s">
        <v>77</v>
      </c>
      <c r="U76" s="75">
        <f>V75+U75-L14</f>
        <v>0</v>
      </c>
    </row>
    <row r="77" spans="1:22" x14ac:dyDescent="0.25">
      <c r="B77" s="36"/>
      <c r="C77" s="111"/>
      <c r="D77" s="111"/>
      <c r="E77" s="111"/>
      <c r="F77" s="111"/>
    </row>
    <row r="78" spans="1:22" x14ac:dyDescent="0.25">
      <c r="B78" s="36"/>
      <c r="C78" s="111"/>
      <c r="D78" s="111"/>
      <c r="E78" s="111"/>
      <c r="F78" s="111"/>
    </row>
  </sheetData>
  <sheetProtection selectLockedCells="1"/>
  <mergeCells count="48">
    <mergeCell ref="B74:K75"/>
    <mergeCell ref="G33:G40"/>
    <mergeCell ref="L33:L40"/>
    <mergeCell ref="A42:L42"/>
    <mergeCell ref="G44:G51"/>
    <mergeCell ref="L44:L51"/>
    <mergeCell ref="A53:L53"/>
    <mergeCell ref="G55:G64"/>
    <mergeCell ref="L55:L64"/>
    <mergeCell ref="A66:L66"/>
    <mergeCell ref="G68:G71"/>
    <mergeCell ref="L68:L71"/>
    <mergeCell ref="A31:L31"/>
    <mergeCell ref="B16:C16"/>
    <mergeCell ref="G16:H16"/>
    <mergeCell ref="J16:K16"/>
    <mergeCell ref="B18:C18"/>
    <mergeCell ref="G18:H18"/>
    <mergeCell ref="J18:K18"/>
    <mergeCell ref="A20:L20"/>
    <mergeCell ref="G21:H22"/>
    <mergeCell ref="I21:I22"/>
    <mergeCell ref="G24:G29"/>
    <mergeCell ref="L24:L29"/>
    <mergeCell ref="B14:C14"/>
    <mergeCell ref="G14:H14"/>
    <mergeCell ref="J14:K14"/>
    <mergeCell ref="B15:C15"/>
    <mergeCell ref="G15:H15"/>
    <mergeCell ref="J15:K15"/>
    <mergeCell ref="B12:C12"/>
    <mergeCell ref="G12:H12"/>
    <mergeCell ref="J12:K12"/>
    <mergeCell ref="B13:C13"/>
    <mergeCell ref="G13:H13"/>
    <mergeCell ref="J13:K13"/>
    <mergeCell ref="B10:C10"/>
    <mergeCell ref="G10:H10"/>
    <mergeCell ref="J10:K10"/>
    <mergeCell ref="B11:C11"/>
    <mergeCell ref="G11:H11"/>
    <mergeCell ref="J11:K11"/>
    <mergeCell ref="A8:C8"/>
    <mergeCell ref="F8:H8"/>
    <mergeCell ref="J8:L8"/>
    <mergeCell ref="B9:C9"/>
    <mergeCell ref="G9:H9"/>
    <mergeCell ref="J9:K9"/>
  </mergeCells>
  <printOptions horizontalCentered="1" verticalCentered="1"/>
  <pageMargins left="0.26" right="0.28999999999999998" top="0.19" bottom="0.18" header="0" footer="0"/>
  <pageSetup paperSize="9" scale="64"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pageSetUpPr fitToPage="1"/>
  </sheetPr>
  <dimension ref="A1:V78"/>
  <sheetViews>
    <sheetView topLeftCell="A7" zoomScaleNormal="100" workbookViewId="0">
      <selection activeCell="J24" sqref="J24"/>
    </sheetView>
  </sheetViews>
  <sheetFormatPr defaultRowHeight="15" x14ac:dyDescent="0.25"/>
  <cols>
    <col min="1" max="1" width="21.140625" style="27" customWidth="1"/>
    <col min="2" max="2" width="9.140625" style="27" customWidth="1"/>
    <col min="3" max="3" width="10.85546875" style="27" customWidth="1"/>
    <col min="4" max="4" width="9.140625" style="27"/>
    <col min="5" max="5" width="11.5703125" style="27" bestFit="1" customWidth="1"/>
    <col min="6" max="7" width="11.5703125" style="27" customWidth="1"/>
    <col min="8" max="8" width="11.28515625" style="27" customWidth="1"/>
    <col min="9" max="9" width="11.140625" style="27" customWidth="1"/>
    <col min="10" max="10" width="12.5703125" style="27" bestFit="1" customWidth="1"/>
    <col min="11" max="11" width="14.140625" style="27" customWidth="1"/>
    <col min="12" max="12" width="14.85546875" style="27" customWidth="1"/>
    <col min="13" max="13" width="9.140625" style="27" customWidth="1"/>
    <col min="14" max="14" width="12.28515625" style="27" hidden="1" customWidth="1"/>
    <col min="15" max="15" width="10.5703125" style="27" hidden="1" customWidth="1"/>
    <col min="16" max="16" width="14.140625" style="27" hidden="1" customWidth="1"/>
    <col min="17" max="17" width="13.42578125" style="27" hidden="1" customWidth="1"/>
    <col min="18" max="18" width="18.42578125" style="27" hidden="1" customWidth="1"/>
    <col min="19" max="19" width="9.140625" style="27" customWidth="1"/>
    <col min="20" max="20" width="12.28515625" style="27" hidden="1" customWidth="1"/>
    <col min="21" max="21" width="10.5703125" style="27" hidden="1" customWidth="1"/>
    <col min="22" max="22" width="9.140625" style="27" hidden="1" customWidth="1"/>
    <col min="23" max="23" width="9.140625" style="27" customWidth="1"/>
    <col min="24" max="16384" width="9.140625" style="27"/>
  </cols>
  <sheetData>
    <row r="1" spans="1:14" s="61" customFormat="1" ht="15" customHeight="1" x14ac:dyDescent="0.25"/>
    <row r="4" spans="1:14" ht="15.75" thickBot="1" x14ac:dyDescent="0.3"/>
    <row r="5" spans="1:14" ht="15.75" thickBot="1" x14ac:dyDescent="0.3">
      <c r="C5" s="76"/>
      <c r="F5" s="117" t="s">
        <v>134</v>
      </c>
      <c r="G5" s="118" t="s">
        <v>116</v>
      </c>
    </row>
    <row r="6" spans="1:14" x14ac:dyDescent="0.25">
      <c r="C6" s="76"/>
    </row>
    <row r="7" spans="1:14" ht="15.75" thickBot="1" x14ac:dyDescent="0.3"/>
    <row r="8" spans="1:14" ht="15.75" thickBot="1" x14ac:dyDescent="0.3">
      <c r="A8" s="404" t="s">
        <v>39</v>
      </c>
      <c r="B8" s="405"/>
      <c r="C8" s="406"/>
      <c r="F8" s="376" t="s">
        <v>48</v>
      </c>
      <c r="G8" s="377"/>
      <c r="H8" s="378"/>
      <c r="J8" s="376" t="s">
        <v>36</v>
      </c>
      <c r="K8" s="377"/>
      <c r="L8" s="378"/>
    </row>
    <row r="9" spans="1:14" x14ac:dyDescent="0.25">
      <c r="A9" s="28" t="s">
        <v>40</v>
      </c>
      <c r="B9" s="407" t="str">
        <f>+'Koring 1 (dont use)'!B9:C9</f>
        <v>Jaque Fourie</v>
      </c>
      <c r="C9" s="408"/>
      <c r="F9" s="28" t="s">
        <v>81</v>
      </c>
      <c r="G9" s="387" t="str">
        <f>+'Koring 1 (dont use)'!G9:H9</f>
        <v>Bakkies Botha</v>
      </c>
      <c r="H9" s="388"/>
      <c r="J9" s="420" t="str">
        <f>+A20</f>
        <v>Saadbehandeling</v>
      </c>
      <c r="K9" s="421"/>
      <c r="L9" s="23">
        <f>+L24</f>
        <v>8500</v>
      </c>
    </row>
    <row r="10" spans="1:14" x14ac:dyDescent="0.25">
      <c r="A10" s="29" t="s">
        <v>47</v>
      </c>
      <c r="B10" s="424" t="str">
        <f>+'Koring 1 (dont use)'!B10:C10</f>
        <v>Japan</v>
      </c>
      <c r="C10" s="425"/>
      <c r="F10" s="29" t="s">
        <v>82</v>
      </c>
      <c r="G10" s="424" t="str">
        <f>+'Koring 1 (dont use)'!G10:H10</f>
        <v xml:space="preserve">Bus 524 </v>
      </c>
      <c r="H10" s="425"/>
      <c r="J10" s="389" t="str">
        <f>+A31</f>
        <v>Voor plant</v>
      </c>
      <c r="K10" s="390"/>
      <c r="L10" s="24">
        <f>+L33</f>
        <v>0</v>
      </c>
    </row>
    <row r="11" spans="1:14" x14ac:dyDescent="0.25">
      <c r="A11" s="30"/>
      <c r="B11" s="424">
        <f>+'Koring 1 (dont use)'!B11:C11</f>
        <v>0</v>
      </c>
      <c r="C11" s="425"/>
      <c r="F11" s="29" t="s">
        <v>83</v>
      </c>
      <c r="G11" s="424" t="str">
        <f>+'Koring 1 (dont use)'!G11:H11</f>
        <v>Brakfontein</v>
      </c>
      <c r="H11" s="425"/>
      <c r="J11" s="389" t="str">
        <f>+A42</f>
        <v>Voor-opkoms (met plant)</v>
      </c>
      <c r="K11" s="390"/>
      <c r="L11" s="24">
        <f>+L44</f>
        <v>0</v>
      </c>
    </row>
    <row r="12" spans="1:14" x14ac:dyDescent="0.25">
      <c r="A12" s="29" t="s">
        <v>45</v>
      </c>
      <c r="B12" s="424" t="str">
        <f>+'Koring 1 (dont use)'!B12:C12</f>
        <v>0001</v>
      </c>
      <c r="C12" s="425"/>
      <c r="F12" s="29" t="s">
        <v>84</v>
      </c>
      <c r="G12" s="424" t="str">
        <f>+'Koring 1 (dont use)'!G12:H12</f>
        <v>Humansdorp</v>
      </c>
      <c r="H12" s="425"/>
      <c r="J12" s="389" t="str">
        <f>+A53</f>
        <v>Na-opkoms</v>
      </c>
      <c r="K12" s="390"/>
      <c r="L12" s="24">
        <f>+L55</f>
        <v>0</v>
      </c>
    </row>
    <row r="13" spans="1:14" x14ac:dyDescent="0.25">
      <c r="A13" s="29" t="s">
        <v>41</v>
      </c>
      <c r="B13" s="424">
        <f>+'Koring 1 (dont use)'!B13:C13</f>
        <v>0</v>
      </c>
      <c r="C13" s="425"/>
      <c r="F13" s="29" t="s">
        <v>85</v>
      </c>
      <c r="G13" s="424" t="str">
        <f>+'Koring 1 (dont use)'!G13:H13</f>
        <v>2587</v>
      </c>
      <c r="H13" s="425"/>
      <c r="J13" s="389" t="str">
        <f>+A66</f>
        <v>Ander</v>
      </c>
      <c r="K13" s="390"/>
      <c r="L13" s="24">
        <f>+L68</f>
        <v>0</v>
      </c>
    </row>
    <row r="14" spans="1:14" ht="15.75" thickBot="1" x14ac:dyDescent="0.3">
      <c r="A14" s="29" t="s">
        <v>42</v>
      </c>
      <c r="B14" s="424">
        <f>+'Koring 1 (dont use)'!B14:C14</f>
        <v>0</v>
      </c>
      <c r="C14" s="425"/>
      <c r="F14" s="29" t="s">
        <v>86</v>
      </c>
      <c r="G14" s="424" t="str">
        <f>+'Koring 1 (dont use)'!G14:H14</f>
        <v>0112548798</v>
      </c>
      <c r="H14" s="425"/>
      <c r="J14" s="391" t="s">
        <v>55</v>
      </c>
      <c r="K14" s="392"/>
      <c r="L14" s="26">
        <f>SUM(L9:L13)</f>
        <v>8500</v>
      </c>
    </row>
    <row r="15" spans="1:14" ht="16.5" thickTop="1" thickBot="1" x14ac:dyDescent="0.3">
      <c r="A15" s="29" t="s">
        <v>43</v>
      </c>
      <c r="B15" s="424" t="str">
        <f>+'Koring 1 (dont use)'!B15:C15</f>
        <v>0878522233</v>
      </c>
      <c r="C15" s="425"/>
      <c r="F15" s="29" t="s">
        <v>87</v>
      </c>
      <c r="G15" s="424" t="str">
        <f>+'Koring 1 (dont use)'!G15:H15</f>
        <v>0768543221</v>
      </c>
      <c r="H15" s="425"/>
      <c r="J15" s="426"/>
      <c r="K15" s="427"/>
      <c r="L15" s="25"/>
    </row>
    <row r="16" spans="1:14" ht="15.75" thickBot="1" x14ac:dyDescent="0.3">
      <c r="A16" s="31" t="s">
        <v>44</v>
      </c>
      <c r="B16" s="428" t="str">
        <f>+'Koring 1 (dont use)'!B16:C16</f>
        <v>jfourie@gmail.com</v>
      </c>
      <c r="C16" s="429"/>
      <c r="F16" s="31" t="s">
        <v>88</v>
      </c>
      <c r="G16" s="430" t="str">
        <f>+'Koring 1 (dont use)'!G16:H16</f>
        <v>bb@bok.co.za</v>
      </c>
      <c r="H16" s="431"/>
      <c r="J16" s="432" t="s">
        <v>70</v>
      </c>
      <c r="K16" s="433"/>
      <c r="L16" s="104">
        <f>+G24+G33+G44+G55+G68</f>
        <v>920.63333333333344</v>
      </c>
      <c r="N16" s="62" t="e">
        <f>+L14/L18</f>
        <v>#DIV/0!</v>
      </c>
    </row>
    <row r="17" spans="1:22" ht="15.75" thickBot="1" x14ac:dyDescent="0.3">
      <c r="E17" s="32"/>
      <c r="J17" s="33"/>
      <c r="K17" s="33"/>
      <c r="L17" s="34"/>
    </row>
    <row r="18" spans="1:22" ht="15.75" thickBot="1" x14ac:dyDescent="0.3">
      <c r="A18" s="35" t="s">
        <v>106</v>
      </c>
      <c r="B18" s="434" t="str">
        <f>+'Koring 1 (dont use)'!B18:C18</f>
        <v>Co</v>
      </c>
      <c r="C18" s="435"/>
      <c r="E18" s="32"/>
      <c r="F18" s="35" t="s">
        <v>69</v>
      </c>
      <c r="G18" s="418" t="str">
        <f>+'Koring 1 (dont use)'!G18:H18</f>
        <v>2012/09/12</v>
      </c>
      <c r="H18" s="436"/>
      <c r="J18" s="404" t="s">
        <v>46</v>
      </c>
      <c r="K18" s="405"/>
      <c r="L18" s="3"/>
    </row>
    <row r="19" spans="1:22" s="77" customFormat="1" ht="15.75" thickBot="1" x14ac:dyDescent="0.3">
      <c r="A19" s="101"/>
      <c r="B19" s="109"/>
      <c r="C19" s="109"/>
      <c r="E19" s="102"/>
      <c r="F19" s="101"/>
      <c r="G19" s="109"/>
      <c r="H19" s="109"/>
      <c r="J19" s="100"/>
      <c r="K19" s="100"/>
      <c r="L19" s="110"/>
    </row>
    <row r="20" spans="1:22" s="77" customFormat="1" ht="18" thickBot="1" x14ac:dyDescent="0.35">
      <c r="A20" s="409" t="s">
        <v>38</v>
      </c>
      <c r="B20" s="410"/>
      <c r="C20" s="410"/>
      <c r="D20" s="410"/>
      <c r="E20" s="410"/>
      <c r="F20" s="410"/>
      <c r="G20" s="410"/>
      <c r="H20" s="410"/>
      <c r="I20" s="410"/>
      <c r="J20" s="410"/>
      <c r="K20" s="410"/>
      <c r="L20" s="411"/>
    </row>
    <row r="21" spans="1:22" s="77" customFormat="1" x14ac:dyDescent="0.25">
      <c r="A21" s="52"/>
      <c r="B21" s="53" t="s">
        <v>97</v>
      </c>
      <c r="C21" s="19">
        <v>26000</v>
      </c>
      <c r="D21" s="54"/>
      <c r="E21" s="55"/>
      <c r="F21" s="55"/>
      <c r="G21" s="437" t="s">
        <v>99</v>
      </c>
      <c r="H21" s="438"/>
      <c r="I21" s="441">
        <f>+C21/C22</f>
        <v>0.43333333333333335</v>
      </c>
      <c r="J21" s="54"/>
      <c r="K21" s="54"/>
      <c r="L21" s="56"/>
    </row>
    <row r="22" spans="1:22" s="77" customFormat="1" ht="15.75" thickBot="1" x14ac:dyDescent="0.3">
      <c r="A22" s="57"/>
      <c r="B22" s="58" t="s">
        <v>98</v>
      </c>
      <c r="C22" s="20">
        <v>60000</v>
      </c>
      <c r="D22" s="59"/>
      <c r="E22" s="55"/>
      <c r="F22" s="55"/>
      <c r="G22" s="439"/>
      <c r="H22" s="440"/>
      <c r="I22" s="442"/>
      <c r="J22" s="59"/>
      <c r="K22" s="59"/>
      <c r="L22" s="60"/>
      <c r="T22" s="107"/>
      <c r="U22" s="108" t="s">
        <v>113</v>
      </c>
      <c r="V22" s="107"/>
    </row>
    <row r="23" spans="1:22" s="77" customFormat="1" ht="43.5" thickBot="1" x14ac:dyDescent="0.3">
      <c r="A23" s="37" t="s">
        <v>1</v>
      </c>
      <c r="B23" s="38" t="s">
        <v>95</v>
      </c>
      <c r="C23" s="39" t="s">
        <v>96</v>
      </c>
      <c r="D23" s="40" t="s">
        <v>93</v>
      </c>
      <c r="E23" s="39" t="s">
        <v>61</v>
      </c>
      <c r="F23" s="40" t="s">
        <v>94</v>
      </c>
      <c r="G23" s="41" t="s">
        <v>60</v>
      </c>
      <c r="H23" s="39" t="s">
        <v>59</v>
      </c>
      <c r="I23" s="103" t="s">
        <v>56</v>
      </c>
      <c r="J23" s="40" t="s">
        <v>57</v>
      </c>
      <c r="K23" s="40" t="s">
        <v>58</v>
      </c>
      <c r="L23" s="42" t="s">
        <v>0</v>
      </c>
      <c r="N23" s="63" t="s">
        <v>101</v>
      </c>
      <c r="O23" s="63" t="s">
        <v>100</v>
      </c>
      <c r="P23" s="64" t="s">
        <v>102</v>
      </c>
      <c r="Q23" s="64" t="s">
        <v>103</v>
      </c>
      <c r="R23" s="64" t="s">
        <v>104</v>
      </c>
      <c r="S23" s="27"/>
      <c r="T23" s="65" t="s">
        <v>72</v>
      </c>
      <c r="U23" s="65" t="s">
        <v>74</v>
      </c>
      <c r="V23" s="65" t="s">
        <v>75</v>
      </c>
    </row>
    <row r="24" spans="1:22" s="77" customFormat="1" x14ac:dyDescent="0.25">
      <c r="A24" s="134" t="s">
        <v>1</v>
      </c>
      <c r="B24" s="135">
        <v>0.1</v>
      </c>
      <c r="C24" s="136">
        <v>100</v>
      </c>
      <c r="D24" s="43">
        <f t="shared" ref="D24" si="0">+B24*C24</f>
        <v>10</v>
      </c>
      <c r="E24" s="137">
        <v>850</v>
      </c>
      <c r="F24" s="44">
        <f t="shared" ref="F24" si="1">+IFERROR(K24/(C24/$I$21),0)</f>
        <v>36.833333333333336</v>
      </c>
      <c r="G24" s="373">
        <f>SUM(F24:F29)</f>
        <v>36.833333333333336</v>
      </c>
      <c r="H24" s="138">
        <v>1</v>
      </c>
      <c r="I24" s="45">
        <f t="shared" ref="I24" si="2">+IFERROR(ROUNDUP(D24/H24,0),0)</f>
        <v>10</v>
      </c>
      <c r="J24" s="44">
        <f>+E24*H24</f>
        <v>850</v>
      </c>
      <c r="K24" s="44">
        <f>+I24*J24</f>
        <v>8500</v>
      </c>
      <c r="L24" s="370">
        <f>SUM(K24:K29)</f>
        <v>8500</v>
      </c>
      <c r="T24" s="70" t="str">
        <f>IFERROR(VLOOKUP(A24,VLOOKUPS!$A$3:$D$31,2,0),"Ander")</f>
        <v>Ander</v>
      </c>
      <c r="U24" s="71">
        <f t="shared" ref="U24:U29" si="3">IF(T24="Syngenta",K24,0)</f>
        <v>0</v>
      </c>
      <c r="V24" s="71">
        <f t="shared" ref="V24:V29" si="4">IF(T24="Ander",K24,0)</f>
        <v>8500</v>
      </c>
    </row>
    <row r="25" spans="1:22" s="77" customFormat="1" x14ac:dyDescent="0.25">
      <c r="A25" s="9"/>
      <c r="B25" s="10"/>
      <c r="C25" s="21"/>
      <c r="D25" s="46">
        <f t="shared" ref="D25:D29" si="5">+B25*C25</f>
        <v>0</v>
      </c>
      <c r="E25" s="12"/>
      <c r="F25" s="47">
        <f t="shared" ref="F25:F29" si="6">+IFERROR(K25/(C25/$I$21),0)</f>
        <v>0</v>
      </c>
      <c r="G25" s="374"/>
      <c r="H25" s="13"/>
      <c r="I25" s="48">
        <f t="shared" ref="I25:I26" si="7">+IFERROR(ROUNDUP(D25/H25,0),0)</f>
        <v>0</v>
      </c>
      <c r="J25" s="47">
        <f>+E25*H25</f>
        <v>0</v>
      </c>
      <c r="K25" s="47">
        <f>+I25*J25</f>
        <v>0</v>
      </c>
      <c r="L25" s="371"/>
      <c r="T25" s="70" t="str">
        <f>IFERROR(VLOOKUP(A25,VLOOKUPS!$A$3:$D$31,2,0),"Ander")</f>
        <v>Ander</v>
      </c>
      <c r="U25" s="71">
        <f t="shared" si="3"/>
        <v>0</v>
      </c>
      <c r="V25" s="71">
        <f t="shared" si="4"/>
        <v>0</v>
      </c>
    </row>
    <row r="26" spans="1:22" s="77" customFormat="1" x14ac:dyDescent="0.25">
      <c r="A26" s="9"/>
      <c r="B26" s="10"/>
      <c r="C26" s="21"/>
      <c r="D26" s="46">
        <f t="shared" si="5"/>
        <v>0</v>
      </c>
      <c r="E26" s="12"/>
      <c r="F26" s="47">
        <f t="shared" si="6"/>
        <v>0</v>
      </c>
      <c r="G26" s="374"/>
      <c r="H26" s="13"/>
      <c r="I26" s="48">
        <f t="shared" si="7"/>
        <v>0</v>
      </c>
      <c r="J26" s="47">
        <f t="shared" ref="J26:J29" si="8">+E26*H26</f>
        <v>0</v>
      </c>
      <c r="K26" s="47">
        <f t="shared" ref="K26:K29" si="9">+I26*J26</f>
        <v>0</v>
      </c>
      <c r="L26" s="371"/>
      <c r="T26" s="70" t="str">
        <f>IFERROR(VLOOKUP(A26,VLOOKUPS!$A$3:$D$31,2,0),"Ander")</f>
        <v>Ander</v>
      </c>
      <c r="U26" s="71">
        <f t="shared" si="3"/>
        <v>0</v>
      </c>
      <c r="V26" s="71">
        <f t="shared" si="4"/>
        <v>0</v>
      </c>
    </row>
    <row r="27" spans="1:22" s="77" customFormat="1" x14ac:dyDescent="0.25">
      <c r="A27" s="9"/>
      <c r="B27" s="10"/>
      <c r="C27" s="21"/>
      <c r="D27" s="46">
        <f t="shared" si="5"/>
        <v>0</v>
      </c>
      <c r="E27" s="12"/>
      <c r="F27" s="47">
        <f t="shared" si="6"/>
        <v>0</v>
      </c>
      <c r="G27" s="374"/>
      <c r="H27" s="13"/>
      <c r="I27" s="48">
        <f>+IFERROR(ROUNDUP(D27/H27,0),0)</f>
        <v>0</v>
      </c>
      <c r="J27" s="47">
        <f t="shared" si="8"/>
        <v>0</v>
      </c>
      <c r="K27" s="47">
        <f t="shared" si="9"/>
        <v>0</v>
      </c>
      <c r="L27" s="371"/>
      <c r="T27" s="70" t="str">
        <f>IFERROR(VLOOKUP(A27,VLOOKUPS!$A$3:$D$31,2,0),"Ander")</f>
        <v>Ander</v>
      </c>
      <c r="U27" s="71">
        <f t="shared" si="3"/>
        <v>0</v>
      </c>
      <c r="V27" s="71">
        <f t="shared" si="4"/>
        <v>0</v>
      </c>
    </row>
    <row r="28" spans="1:22" s="77" customFormat="1" x14ac:dyDescent="0.25">
      <c r="A28" s="9"/>
      <c r="B28" s="10"/>
      <c r="C28" s="21"/>
      <c r="D28" s="46">
        <f t="shared" si="5"/>
        <v>0</v>
      </c>
      <c r="E28" s="12"/>
      <c r="F28" s="47">
        <f t="shared" si="6"/>
        <v>0</v>
      </c>
      <c r="G28" s="374"/>
      <c r="H28" s="13"/>
      <c r="I28" s="48">
        <f t="shared" ref="I28:I29" si="10">+IFERROR(ROUNDUP(D28/H28,0),0)</f>
        <v>0</v>
      </c>
      <c r="J28" s="47">
        <f t="shared" si="8"/>
        <v>0</v>
      </c>
      <c r="K28" s="47">
        <f t="shared" si="9"/>
        <v>0</v>
      </c>
      <c r="L28" s="371"/>
      <c r="T28" s="70" t="str">
        <f>IFERROR(VLOOKUP(A28,VLOOKUPS!$A$3:$D$31,2,0),"Ander")</f>
        <v>Ander</v>
      </c>
      <c r="U28" s="71">
        <f t="shared" si="3"/>
        <v>0</v>
      </c>
      <c r="V28" s="71">
        <f t="shared" si="4"/>
        <v>0</v>
      </c>
    </row>
    <row r="29" spans="1:22" s="77" customFormat="1" ht="15.75" thickBot="1" x14ac:dyDescent="0.3">
      <c r="A29" s="14"/>
      <c r="B29" s="15"/>
      <c r="C29" s="22"/>
      <c r="D29" s="49">
        <f t="shared" si="5"/>
        <v>0</v>
      </c>
      <c r="E29" s="17"/>
      <c r="F29" s="50">
        <f t="shared" si="6"/>
        <v>0</v>
      </c>
      <c r="G29" s="375"/>
      <c r="H29" s="18"/>
      <c r="I29" s="51">
        <f t="shared" si="10"/>
        <v>0</v>
      </c>
      <c r="J29" s="50">
        <f t="shared" si="8"/>
        <v>0</v>
      </c>
      <c r="K29" s="50">
        <f t="shared" si="9"/>
        <v>0</v>
      </c>
      <c r="L29" s="372"/>
      <c r="T29" s="70" t="str">
        <f>IFERROR(VLOOKUP(A29,VLOOKUPS!$A$3:$D$31,2,0),"Ander")</f>
        <v>Ander</v>
      </c>
      <c r="U29" s="71">
        <f t="shared" si="3"/>
        <v>0</v>
      </c>
      <c r="V29" s="71">
        <f t="shared" si="4"/>
        <v>0</v>
      </c>
    </row>
    <row r="30" spans="1:22" s="77" customFormat="1" ht="15.75" thickBot="1" x14ac:dyDescent="0.3">
      <c r="A30" s="101"/>
      <c r="B30" s="109"/>
      <c r="C30" s="109"/>
      <c r="E30" s="102"/>
      <c r="F30" s="101"/>
      <c r="G30" s="109"/>
      <c r="H30" s="109"/>
      <c r="J30" s="100"/>
      <c r="K30" s="100"/>
      <c r="L30" s="110"/>
      <c r="T30" s="27"/>
      <c r="U30" s="72">
        <f>SUM(U24:U29)</f>
        <v>0</v>
      </c>
      <c r="V30" s="72">
        <f>SUM(V24:V29)</f>
        <v>8500</v>
      </c>
    </row>
    <row r="31" spans="1:22" ht="18.75" thickTop="1" thickBot="1" x14ac:dyDescent="0.35">
      <c r="A31" s="415" t="s">
        <v>37</v>
      </c>
      <c r="B31" s="416"/>
      <c r="C31" s="416"/>
      <c r="D31" s="416"/>
      <c r="E31" s="416"/>
      <c r="F31" s="416"/>
      <c r="G31" s="416"/>
      <c r="H31" s="416"/>
      <c r="I31" s="416"/>
      <c r="J31" s="416"/>
      <c r="K31" s="416"/>
      <c r="L31" s="417"/>
    </row>
    <row r="32" spans="1:22" ht="33" customHeight="1" thickBot="1" x14ac:dyDescent="0.3">
      <c r="A32" s="37" t="s">
        <v>1</v>
      </c>
      <c r="B32" s="38" t="s">
        <v>62</v>
      </c>
      <c r="C32" s="39" t="s">
        <v>2</v>
      </c>
      <c r="D32" s="40" t="s">
        <v>93</v>
      </c>
      <c r="E32" s="39" t="s">
        <v>61</v>
      </c>
      <c r="F32" s="40" t="s">
        <v>94</v>
      </c>
      <c r="G32" s="41" t="s">
        <v>60</v>
      </c>
      <c r="H32" s="39" t="s">
        <v>59</v>
      </c>
      <c r="I32" s="103" t="s">
        <v>56</v>
      </c>
      <c r="J32" s="40" t="s">
        <v>57</v>
      </c>
      <c r="K32" s="40" t="s">
        <v>58</v>
      </c>
      <c r="L32" s="42" t="s">
        <v>0</v>
      </c>
    </row>
    <row r="33" spans="1:22" x14ac:dyDescent="0.25">
      <c r="A33" s="4" t="s">
        <v>1</v>
      </c>
      <c r="B33" s="5">
        <v>1.5</v>
      </c>
      <c r="C33" s="6">
        <v>1</v>
      </c>
      <c r="D33" s="43">
        <f>+L18*B33*C33</f>
        <v>0</v>
      </c>
      <c r="E33" s="7">
        <v>48</v>
      </c>
      <c r="F33" s="44">
        <f>+B33*C33*E33</f>
        <v>72</v>
      </c>
      <c r="G33" s="373">
        <f>SUM(F33:F40)</f>
        <v>108.6</v>
      </c>
      <c r="H33" s="8">
        <v>25</v>
      </c>
      <c r="I33" s="45">
        <f t="shared" ref="I33:I40" si="11">+IFERROR(ROUNDUP(D33/H33,0),0)</f>
        <v>0</v>
      </c>
      <c r="J33" s="44">
        <f>+E33*H33</f>
        <v>1200</v>
      </c>
      <c r="K33" s="44">
        <f t="shared" ref="K33:K40" si="12">+I33*J33</f>
        <v>0</v>
      </c>
      <c r="L33" s="370">
        <f>SUM(K33:K40)</f>
        <v>0</v>
      </c>
      <c r="N33" s="66">
        <f>+IFERROR((I33*H33)/B33,0)</f>
        <v>0</v>
      </c>
      <c r="O33" s="67">
        <f>+IFERROR(C33*$L$18,0)</f>
        <v>0</v>
      </c>
      <c r="P33" s="68">
        <f t="shared" ref="P33:P40" si="13">+IFERROR(K33/N33,0)</f>
        <v>0</v>
      </c>
      <c r="Q33" s="68">
        <f t="shared" ref="Q33:Q40" si="14">+IFERROR(K33/O33,0)</f>
        <v>0</v>
      </c>
      <c r="R33" s="69">
        <f t="shared" ref="R33:R40" si="15">+B33*C33*E33</f>
        <v>72</v>
      </c>
      <c r="T33" s="70" t="str">
        <f>IFERROR(VLOOKUP(A33,VLOOKUPS!$A$3:$D$31,2,0),"Ander")</f>
        <v>Ander</v>
      </c>
      <c r="U33" s="71">
        <f t="shared" ref="U33:U40" si="16">IF(T33="Syngenta",K33,0)</f>
        <v>0</v>
      </c>
      <c r="V33" s="71">
        <f t="shared" ref="V33:V40" si="17">IF(T33="Ander",K33,0)</f>
        <v>0</v>
      </c>
    </row>
    <row r="34" spans="1:22" x14ac:dyDescent="0.25">
      <c r="A34" s="9" t="s">
        <v>1</v>
      </c>
      <c r="B34" s="10">
        <v>1.5</v>
      </c>
      <c r="C34" s="11">
        <v>1</v>
      </c>
      <c r="D34" s="46">
        <f>+L18*B34*C34</f>
        <v>0</v>
      </c>
      <c r="E34" s="12">
        <v>11</v>
      </c>
      <c r="F34" s="47">
        <f t="shared" ref="F34:F40" si="18">+B34*C34*E34</f>
        <v>16.5</v>
      </c>
      <c r="G34" s="374"/>
      <c r="H34" s="13">
        <v>20</v>
      </c>
      <c r="I34" s="48">
        <f t="shared" si="11"/>
        <v>0</v>
      </c>
      <c r="J34" s="47">
        <f>+E34*H34</f>
        <v>220</v>
      </c>
      <c r="K34" s="47">
        <f t="shared" si="12"/>
        <v>0</v>
      </c>
      <c r="L34" s="371"/>
      <c r="N34" s="66">
        <f t="shared" ref="N34:N71" si="19">+IFERROR((I34*H34)/B34,0)</f>
        <v>0</v>
      </c>
      <c r="O34" s="67">
        <f t="shared" ref="O34:O71" si="20">+IFERROR(C34*$L$18,0)</f>
        <v>0</v>
      </c>
      <c r="P34" s="68">
        <f t="shared" si="13"/>
        <v>0</v>
      </c>
      <c r="Q34" s="68">
        <f t="shared" si="14"/>
        <v>0</v>
      </c>
      <c r="R34" s="69">
        <f t="shared" si="15"/>
        <v>16.5</v>
      </c>
      <c r="T34" s="70" t="str">
        <f>IFERROR(VLOOKUP(A34,VLOOKUPS!$A$3:$D$31,2,0),"Ander")</f>
        <v>Ander</v>
      </c>
      <c r="U34" s="71">
        <f t="shared" si="16"/>
        <v>0</v>
      </c>
      <c r="V34" s="71">
        <f t="shared" si="17"/>
        <v>0</v>
      </c>
    </row>
    <row r="35" spans="1:22" x14ac:dyDescent="0.25">
      <c r="A35" s="9" t="s">
        <v>1</v>
      </c>
      <c r="B35" s="10">
        <v>0.3</v>
      </c>
      <c r="C35" s="11">
        <v>1</v>
      </c>
      <c r="D35" s="46">
        <f>+L18*B35*C35</f>
        <v>0</v>
      </c>
      <c r="E35" s="12">
        <v>67</v>
      </c>
      <c r="F35" s="47">
        <f t="shared" si="18"/>
        <v>20.099999999999998</v>
      </c>
      <c r="G35" s="374"/>
      <c r="H35" s="13">
        <v>20</v>
      </c>
      <c r="I35" s="48">
        <f t="shared" si="11"/>
        <v>0</v>
      </c>
      <c r="J35" s="47">
        <f>+E35*H35</f>
        <v>1340</v>
      </c>
      <c r="K35" s="47">
        <f t="shared" si="12"/>
        <v>0</v>
      </c>
      <c r="L35" s="371"/>
      <c r="N35" s="66">
        <f t="shared" si="19"/>
        <v>0</v>
      </c>
      <c r="O35" s="67">
        <f t="shared" si="20"/>
        <v>0</v>
      </c>
      <c r="P35" s="68">
        <f t="shared" si="13"/>
        <v>0</v>
      </c>
      <c r="Q35" s="68">
        <f t="shared" si="14"/>
        <v>0</v>
      </c>
      <c r="R35" s="69">
        <f t="shared" si="15"/>
        <v>20.099999999999998</v>
      </c>
      <c r="T35" s="70" t="str">
        <f>IFERROR(VLOOKUP(A35,VLOOKUPS!$A$3:$D$31,2,0),"Ander")</f>
        <v>Ander</v>
      </c>
      <c r="U35" s="71">
        <f t="shared" si="16"/>
        <v>0</v>
      </c>
      <c r="V35" s="71">
        <f t="shared" si="17"/>
        <v>0</v>
      </c>
    </row>
    <row r="36" spans="1:22" x14ac:dyDescent="0.25">
      <c r="A36" s="9"/>
      <c r="B36" s="10"/>
      <c r="C36" s="11"/>
      <c r="D36" s="46">
        <f t="shared" ref="D36:D37" si="21">+L19*B36*C36</f>
        <v>0</v>
      </c>
      <c r="E36" s="12"/>
      <c r="F36" s="47">
        <f t="shared" si="18"/>
        <v>0</v>
      </c>
      <c r="G36" s="374"/>
      <c r="H36" s="13"/>
      <c r="I36" s="48">
        <f t="shared" si="11"/>
        <v>0</v>
      </c>
      <c r="J36" s="47">
        <f t="shared" ref="J36:J38" si="22">+E36*H36</f>
        <v>0</v>
      </c>
      <c r="K36" s="47">
        <f t="shared" si="12"/>
        <v>0</v>
      </c>
      <c r="L36" s="371"/>
      <c r="N36" s="66">
        <f t="shared" si="19"/>
        <v>0</v>
      </c>
      <c r="O36" s="67">
        <f t="shared" si="20"/>
        <v>0</v>
      </c>
      <c r="P36" s="68">
        <f t="shared" si="13"/>
        <v>0</v>
      </c>
      <c r="Q36" s="68">
        <f t="shared" si="14"/>
        <v>0</v>
      </c>
      <c r="R36" s="69">
        <f t="shared" si="15"/>
        <v>0</v>
      </c>
      <c r="T36" s="70" t="str">
        <f>IFERROR(VLOOKUP(A36,VLOOKUPS!$A$3:$D$31,2,0),"Ander")</f>
        <v>Ander</v>
      </c>
      <c r="U36" s="71">
        <f t="shared" si="16"/>
        <v>0</v>
      </c>
      <c r="V36" s="71">
        <f t="shared" si="17"/>
        <v>0</v>
      </c>
    </row>
    <row r="37" spans="1:22" x14ac:dyDescent="0.25">
      <c r="A37" s="9"/>
      <c r="B37" s="10"/>
      <c r="C37" s="11"/>
      <c r="D37" s="46">
        <f t="shared" si="21"/>
        <v>0</v>
      </c>
      <c r="E37" s="12"/>
      <c r="F37" s="47">
        <f t="shared" si="18"/>
        <v>0</v>
      </c>
      <c r="G37" s="374"/>
      <c r="H37" s="13"/>
      <c r="I37" s="48">
        <f t="shared" si="11"/>
        <v>0</v>
      </c>
      <c r="J37" s="47">
        <f t="shared" si="22"/>
        <v>0</v>
      </c>
      <c r="K37" s="47">
        <f t="shared" si="12"/>
        <v>0</v>
      </c>
      <c r="L37" s="371"/>
      <c r="N37" s="66">
        <f t="shared" si="19"/>
        <v>0</v>
      </c>
      <c r="O37" s="67">
        <f t="shared" si="20"/>
        <v>0</v>
      </c>
      <c r="P37" s="68">
        <f t="shared" si="13"/>
        <v>0</v>
      </c>
      <c r="Q37" s="68">
        <f t="shared" si="14"/>
        <v>0</v>
      </c>
      <c r="R37" s="69">
        <f t="shared" si="15"/>
        <v>0</v>
      </c>
      <c r="T37" s="70" t="str">
        <f>IFERROR(VLOOKUP(A37,VLOOKUPS!$A$3:$D$31,2,0),"Ander")</f>
        <v>Ander</v>
      </c>
      <c r="U37" s="71">
        <f t="shared" si="16"/>
        <v>0</v>
      </c>
      <c r="V37" s="71">
        <f t="shared" si="17"/>
        <v>0</v>
      </c>
    </row>
    <row r="38" spans="1:22" x14ac:dyDescent="0.25">
      <c r="A38" s="9"/>
      <c r="B38" s="10"/>
      <c r="C38" s="11"/>
      <c r="D38" s="46">
        <f>+L18*B38*C38</f>
        <v>0</v>
      </c>
      <c r="E38" s="12"/>
      <c r="F38" s="47">
        <f t="shared" si="18"/>
        <v>0</v>
      </c>
      <c r="G38" s="374"/>
      <c r="H38" s="13"/>
      <c r="I38" s="48">
        <f t="shared" si="11"/>
        <v>0</v>
      </c>
      <c r="J38" s="47">
        <f t="shared" si="22"/>
        <v>0</v>
      </c>
      <c r="K38" s="47">
        <f t="shared" si="12"/>
        <v>0</v>
      </c>
      <c r="L38" s="371"/>
      <c r="N38" s="66">
        <f t="shared" si="19"/>
        <v>0</v>
      </c>
      <c r="O38" s="67">
        <f t="shared" si="20"/>
        <v>0</v>
      </c>
      <c r="P38" s="68">
        <f t="shared" si="13"/>
        <v>0</v>
      </c>
      <c r="Q38" s="68">
        <f t="shared" si="14"/>
        <v>0</v>
      </c>
      <c r="R38" s="69">
        <f t="shared" si="15"/>
        <v>0</v>
      </c>
      <c r="T38" s="70" t="str">
        <f>IFERROR(VLOOKUP(A38,VLOOKUPS!$A$3:$D$31,2,0),"Ander")</f>
        <v>Ander</v>
      </c>
      <c r="U38" s="71">
        <f t="shared" si="16"/>
        <v>0</v>
      </c>
      <c r="V38" s="71">
        <f t="shared" si="17"/>
        <v>0</v>
      </c>
    </row>
    <row r="39" spans="1:22" x14ac:dyDescent="0.25">
      <c r="A39" s="9"/>
      <c r="B39" s="10"/>
      <c r="C39" s="11"/>
      <c r="D39" s="46">
        <f>+L18*B39*C39</f>
        <v>0</v>
      </c>
      <c r="E39" s="12"/>
      <c r="F39" s="47">
        <f t="shared" si="18"/>
        <v>0</v>
      </c>
      <c r="G39" s="374"/>
      <c r="H39" s="13"/>
      <c r="I39" s="48">
        <f t="shared" si="11"/>
        <v>0</v>
      </c>
      <c r="J39" s="47">
        <f>+E39*H39</f>
        <v>0</v>
      </c>
      <c r="K39" s="47">
        <f t="shared" si="12"/>
        <v>0</v>
      </c>
      <c r="L39" s="371"/>
      <c r="N39" s="66">
        <f t="shared" si="19"/>
        <v>0</v>
      </c>
      <c r="O39" s="67">
        <f t="shared" si="20"/>
        <v>0</v>
      </c>
      <c r="P39" s="68">
        <f t="shared" si="13"/>
        <v>0</v>
      </c>
      <c r="Q39" s="68">
        <f t="shared" si="14"/>
        <v>0</v>
      </c>
      <c r="R39" s="69">
        <f t="shared" si="15"/>
        <v>0</v>
      </c>
      <c r="T39" s="70" t="str">
        <f>IFERROR(VLOOKUP(A39,VLOOKUPS!$A$3:$D$31,2,0),"Ander")</f>
        <v>Ander</v>
      </c>
      <c r="U39" s="71">
        <f t="shared" si="16"/>
        <v>0</v>
      </c>
      <c r="V39" s="71">
        <f t="shared" si="17"/>
        <v>0</v>
      </c>
    </row>
    <row r="40" spans="1:22" ht="15.75" thickBot="1" x14ac:dyDescent="0.3">
      <c r="A40" s="14"/>
      <c r="B40" s="15"/>
      <c r="C40" s="16"/>
      <c r="D40" s="49">
        <f>+L18*B40*C40</f>
        <v>0</v>
      </c>
      <c r="E40" s="17"/>
      <c r="F40" s="50">
        <f t="shared" si="18"/>
        <v>0</v>
      </c>
      <c r="G40" s="375"/>
      <c r="H40" s="18"/>
      <c r="I40" s="51">
        <f t="shared" si="11"/>
        <v>0</v>
      </c>
      <c r="J40" s="50">
        <f>+E40*H40</f>
        <v>0</v>
      </c>
      <c r="K40" s="50">
        <f t="shared" si="12"/>
        <v>0</v>
      </c>
      <c r="L40" s="372"/>
      <c r="N40" s="66">
        <f t="shared" si="19"/>
        <v>0</v>
      </c>
      <c r="O40" s="67">
        <f t="shared" si="20"/>
        <v>0</v>
      </c>
      <c r="P40" s="68">
        <f t="shared" si="13"/>
        <v>0</v>
      </c>
      <c r="Q40" s="68">
        <f t="shared" si="14"/>
        <v>0</v>
      </c>
      <c r="R40" s="69">
        <f t="shared" si="15"/>
        <v>0</v>
      </c>
      <c r="T40" s="70" t="str">
        <f>IFERROR(VLOOKUP(A40,VLOOKUPS!$A$3:$D$31,2,0),"Ander")</f>
        <v>Ander</v>
      </c>
      <c r="U40" s="71">
        <f t="shared" si="16"/>
        <v>0</v>
      </c>
      <c r="V40" s="71">
        <f t="shared" si="17"/>
        <v>0</v>
      </c>
    </row>
    <row r="41" spans="1:22" ht="15.75" thickBot="1" x14ac:dyDescent="0.3">
      <c r="N41" s="66"/>
      <c r="O41" s="67"/>
      <c r="P41" s="68"/>
      <c r="Q41" s="68"/>
      <c r="R41" s="69"/>
      <c r="U41" s="72">
        <f>SUM(U33:U40)</f>
        <v>0</v>
      </c>
      <c r="V41" s="72">
        <f>SUM(V33:V40)</f>
        <v>0</v>
      </c>
    </row>
    <row r="42" spans="1:22" ht="18.75" thickTop="1" thickBot="1" x14ac:dyDescent="0.3">
      <c r="A42" s="412" t="s">
        <v>107</v>
      </c>
      <c r="B42" s="413"/>
      <c r="C42" s="413"/>
      <c r="D42" s="413"/>
      <c r="E42" s="413"/>
      <c r="F42" s="413"/>
      <c r="G42" s="413"/>
      <c r="H42" s="413"/>
      <c r="I42" s="413"/>
      <c r="J42" s="413"/>
      <c r="K42" s="413"/>
      <c r="L42" s="414"/>
      <c r="N42" s="66"/>
      <c r="O42" s="67"/>
      <c r="P42" s="68"/>
      <c r="Q42" s="68"/>
      <c r="R42" s="69"/>
      <c r="U42" s="71"/>
      <c r="V42" s="71"/>
    </row>
    <row r="43" spans="1:22" ht="43.5" thickBot="1" x14ac:dyDescent="0.3">
      <c r="A43" s="37" t="s">
        <v>1</v>
      </c>
      <c r="B43" s="38" t="s">
        <v>62</v>
      </c>
      <c r="C43" s="39" t="s">
        <v>2</v>
      </c>
      <c r="D43" s="40" t="s">
        <v>93</v>
      </c>
      <c r="E43" s="39" t="s">
        <v>61</v>
      </c>
      <c r="F43" s="40" t="s">
        <v>94</v>
      </c>
      <c r="G43" s="41" t="s">
        <v>60</v>
      </c>
      <c r="H43" s="39" t="s">
        <v>59</v>
      </c>
      <c r="I43" s="103" t="s">
        <v>56</v>
      </c>
      <c r="J43" s="40" t="s">
        <v>57</v>
      </c>
      <c r="K43" s="40" t="s">
        <v>58</v>
      </c>
      <c r="L43" s="42" t="s">
        <v>0</v>
      </c>
      <c r="N43" s="66"/>
      <c r="O43" s="67"/>
      <c r="P43" s="68"/>
      <c r="Q43" s="68"/>
      <c r="R43" s="69"/>
      <c r="U43" s="71"/>
      <c r="V43" s="71"/>
    </row>
    <row r="44" spans="1:22" x14ac:dyDescent="0.25">
      <c r="A44" s="4" t="s">
        <v>1</v>
      </c>
      <c r="B44" s="5">
        <v>1.7</v>
      </c>
      <c r="C44" s="6">
        <v>1</v>
      </c>
      <c r="D44" s="43">
        <f t="shared" ref="D44:D51" si="23">+$L$18*B44*C44</f>
        <v>0</v>
      </c>
      <c r="E44" s="7">
        <v>78</v>
      </c>
      <c r="F44" s="44">
        <f>+B44*C44*E44</f>
        <v>132.6</v>
      </c>
      <c r="G44" s="373">
        <f>SUM(F44:F51)</f>
        <v>337</v>
      </c>
      <c r="H44" s="8">
        <v>20</v>
      </c>
      <c r="I44" s="45">
        <f t="shared" ref="I44:I51" si="24">+IFERROR(ROUNDUP(D44/H44,0),0)</f>
        <v>0</v>
      </c>
      <c r="J44" s="44">
        <f>+E44*H44</f>
        <v>1560</v>
      </c>
      <c r="K44" s="44">
        <f>+I44*J44</f>
        <v>0</v>
      </c>
      <c r="L44" s="370">
        <f>SUM(K44:K51)</f>
        <v>0</v>
      </c>
      <c r="N44" s="66">
        <f t="shared" si="19"/>
        <v>0</v>
      </c>
      <c r="O44" s="67">
        <f t="shared" si="20"/>
        <v>0</v>
      </c>
      <c r="P44" s="68">
        <f t="shared" ref="P44:P51" si="25">+IFERROR(K44/N44,0)</f>
        <v>0</v>
      </c>
      <c r="Q44" s="68">
        <f t="shared" ref="Q44:Q51" si="26">+IFERROR(K44/O44,0)</f>
        <v>0</v>
      </c>
      <c r="R44" s="69">
        <f t="shared" ref="R44:R51" si="27">+B44*C44*E44</f>
        <v>132.6</v>
      </c>
      <c r="T44" s="70" t="str">
        <f>IFERROR(VLOOKUP(A44,VLOOKUPS!$A$3:$D$31,2,0),"Ander")</f>
        <v>Ander</v>
      </c>
      <c r="U44" s="71">
        <f t="shared" ref="U44:U51" si="28">IF(T44="Syngenta",K44,0)</f>
        <v>0</v>
      </c>
      <c r="V44" s="71">
        <f t="shared" ref="V44:V51" si="29">IF(T44="Ander",K44,0)</f>
        <v>0</v>
      </c>
    </row>
    <row r="45" spans="1:22" x14ac:dyDescent="0.25">
      <c r="A45" s="9" t="s">
        <v>1</v>
      </c>
      <c r="B45" s="10">
        <v>7.3</v>
      </c>
      <c r="C45" s="11">
        <f>+C44</f>
        <v>1</v>
      </c>
      <c r="D45" s="46">
        <f t="shared" si="23"/>
        <v>0</v>
      </c>
      <c r="E45" s="12">
        <v>28</v>
      </c>
      <c r="F45" s="47">
        <f t="shared" ref="F45:F51" si="30">+B45*C45*E45</f>
        <v>204.4</v>
      </c>
      <c r="G45" s="374"/>
      <c r="H45" s="13">
        <v>18</v>
      </c>
      <c r="I45" s="48">
        <f t="shared" si="24"/>
        <v>0</v>
      </c>
      <c r="J45" s="47">
        <f t="shared" ref="J45:J51" si="31">+E45*H45</f>
        <v>504</v>
      </c>
      <c r="K45" s="47">
        <f t="shared" ref="K45:K51" si="32">+I45*J45</f>
        <v>0</v>
      </c>
      <c r="L45" s="371"/>
      <c r="N45" s="66">
        <f t="shared" si="19"/>
        <v>0</v>
      </c>
      <c r="O45" s="67">
        <f t="shared" si="20"/>
        <v>0</v>
      </c>
      <c r="P45" s="68">
        <f t="shared" si="25"/>
        <v>0</v>
      </c>
      <c r="Q45" s="68">
        <f t="shared" si="26"/>
        <v>0</v>
      </c>
      <c r="R45" s="69">
        <f t="shared" si="27"/>
        <v>204.4</v>
      </c>
      <c r="T45" s="70" t="str">
        <f>IFERROR(VLOOKUP(A45,VLOOKUPS!$A$3:$D$31,2,0),"Ander")</f>
        <v>Ander</v>
      </c>
      <c r="U45" s="71">
        <f t="shared" si="28"/>
        <v>0</v>
      </c>
      <c r="V45" s="71">
        <f t="shared" si="29"/>
        <v>0</v>
      </c>
    </row>
    <row r="46" spans="1:22" x14ac:dyDescent="0.25">
      <c r="A46" s="9"/>
      <c r="B46" s="10"/>
      <c r="C46" s="11"/>
      <c r="D46" s="46">
        <f t="shared" si="23"/>
        <v>0</v>
      </c>
      <c r="E46" s="12"/>
      <c r="F46" s="47">
        <f t="shared" si="30"/>
        <v>0</v>
      </c>
      <c r="G46" s="374"/>
      <c r="H46" s="13"/>
      <c r="I46" s="48">
        <f t="shared" si="24"/>
        <v>0</v>
      </c>
      <c r="J46" s="47">
        <f t="shared" si="31"/>
        <v>0</v>
      </c>
      <c r="K46" s="47">
        <f t="shared" si="32"/>
        <v>0</v>
      </c>
      <c r="L46" s="371"/>
      <c r="N46" s="66">
        <f t="shared" si="19"/>
        <v>0</v>
      </c>
      <c r="O46" s="67">
        <f t="shared" si="20"/>
        <v>0</v>
      </c>
      <c r="P46" s="68">
        <f t="shared" si="25"/>
        <v>0</v>
      </c>
      <c r="Q46" s="68">
        <f t="shared" si="26"/>
        <v>0</v>
      </c>
      <c r="R46" s="69">
        <f t="shared" si="27"/>
        <v>0</v>
      </c>
      <c r="T46" s="70" t="str">
        <f>IFERROR(VLOOKUP(A46,VLOOKUPS!$A$3:$D$31,2,0),"Ander")</f>
        <v>Ander</v>
      </c>
      <c r="U46" s="71">
        <f t="shared" si="28"/>
        <v>0</v>
      </c>
      <c r="V46" s="71">
        <f t="shared" si="29"/>
        <v>0</v>
      </c>
    </row>
    <row r="47" spans="1:22" x14ac:dyDescent="0.25">
      <c r="A47" s="9"/>
      <c r="B47" s="10"/>
      <c r="C47" s="11"/>
      <c r="D47" s="46">
        <f t="shared" si="23"/>
        <v>0</v>
      </c>
      <c r="E47" s="12"/>
      <c r="F47" s="47">
        <f t="shared" si="30"/>
        <v>0</v>
      </c>
      <c r="G47" s="374"/>
      <c r="H47" s="13"/>
      <c r="I47" s="48">
        <f t="shared" si="24"/>
        <v>0</v>
      </c>
      <c r="J47" s="47">
        <f t="shared" si="31"/>
        <v>0</v>
      </c>
      <c r="K47" s="47">
        <f t="shared" si="32"/>
        <v>0</v>
      </c>
      <c r="L47" s="371"/>
      <c r="N47" s="66"/>
      <c r="O47" s="67"/>
      <c r="P47" s="68"/>
      <c r="Q47" s="68"/>
      <c r="R47" s="69"/>
      <c r="T47" s="70" t="str">
        <f>IFERROR(VLOOKUP(A47,VLOOKUPS!$A$3:$D$31,2,0),"Ander")</f>
        <v>Ander</v>
      </c>
      <c r="U47" s="71">
        <f t="shared" si="28"/>
        <v>0</v>
      </c>
      <c r="V47" s="71">
        <f t="shared" si="29"/>
        <v>0</v>
      </c>
    </row>
    <row r="48" spans="1:22" x14ac:dyDescent="0.25">
      <c r="A48" s="9"/>
      <c r="B48" s="10"/>
      <c r="C48" s="11"/>
      <c r="D48" s="46">
        <f t="shared" si="23"/>
        <v>0</v>
      </c>
      <c r="E48" s="12"/>
      <c r="F48" s="47">
        <f t="shared" si="30"/>
        <v>0</v>
      </c>
      <c r="G48" s="374"/>
      <c r="H48" s="13"/>
      <c r="I48" s="48">
        <f t="shared" si="24"/>
        <v>0</v>
      </c>
      <c r="J48" s="47">
        <f t="shared" si="31"/>
        <v>0</v>
      </c>
      <c r="K48" s="47">
        <f t="shared" si="32"/>
        <v>0</v>
      </c>
      <c r="L48" s="371"/>
      <c r="N48" s="66"/>
      <c r="O48" s="67"/>
      <c r="P48" s="68"/>
      <c r="Q48" s="68"/>
      <c r="R48" s="69"/>
      <c r="T48" s="70" t="str">
        <f>IFERROR(VLOOKUP(A48,VLOOKUPS!$A$3:$D$31,2,0),"Ander")</f>
        <v>Ander</v>
      </c>
      <c r="U48" s="71">
        <f t="shared" si="28"/>
        <v>0</v>
      </c>
      <c r="V48" s="71">
        <f t="shared" si="29"/>
        <v>0</v>
      </c>
    </row>
    <row r="49" spans="1:22" x14ac:dyDescent="0.25">
      <c r="A49" s="9"/>
      <c r="B49" s="10"/>
      <c r="C49" s="11"/>
      <c r="D49" s="46">
        <f t="shared" si="23"/>
        <v>0</v>
      </c>
      <c r="E49" s="12"/>
      <c r="F49" s="47">
        <f t="shared" si="30"/>
        <v>0</v>
      </c>
      <c r="G49" s="374"/>
      <c r="H49" s="13"/>
      <c r="I49" s="48">
        <f t="shared" si="24"/>
        <v>0</v>
      </c>
      <c r="J49" s="47">
        <f t="shared" si="31"/>
        <v>0</v>
      </c>
      <c r="K49" s="47">
        <f t="shared" si="32"/>
        <v>0</v>
      </c>
      <c r="L49" s="371"/>
      <c r="N49" s="66">
        <f t="shared" si="19"/>
        <v>0</v>
      </c>
      <c r="O49" s="67">
        <f t="shared" si="20"/>
        <v>0</v>
      </c>
      <c r="P49" s="68">
        <f t="shared" si="25"/>
        <v>0</v>
      </c>
      <c r="Q49" s="68">
        <f t="shared" si="26"/>
        <v>0</v>
      </c>
      <c r="R49" s="69">
        <f t="shared" si="27"/>
        <v>0</v>
      </c>
      <c r="T49" s="70" t="str">
        <f>IFERROR(VLOOKUP(A49,VLOOKUPS!$A$3:$D$31,2,0),"Ander")</f>
        <v>Ander</v>
      </c>
      <c r="U49" s="71">
        <f t="shared" si="28"/>
        <v>0</v>
      </c>
      <c r="V49" s="71">
        <f t="shared" si="29"/>
        <v>0</v>
      </c>
    </row>
    <row r="50" spans="1:22" x14ac:dyDescent="0.25">
      <c r="A50" s="9"/>
      <c r="B50" s="10"/>
      <c r="C50" s="11"/>
      <c r="D50" s="46">
        <f t="shared" si="23"/>
        <v>0</v>
      </c>
      <c r="E50" s="12"/>
      <c r="F50" s="47">
        <f t="shared" si="30"/>
        <v>0</v>
      </c>
      <c r="G50" s="374"/>
      <c r="H50" s="13"/>
      <c r="I50" s="48">
        <f t="shared" si="24"/>
        <v>0</v>
      </c>
      <c r="J50" s="47">
        <f t="shared" si="31"/>
        <v>0</v>
      </c>
      <c r="K50" s="47">
        <f t="shared" si="32"/>
        <v>0</v>
      </c>
      <c r="L50" s="371"/>
      <c r="N50" s="66">
        <f t="shared" si="19"/>
        <v>0</v>
      </c>
      <c r="O50" s="67">
        <f t="shared" si="20"/>
        <v>0</v>
      </c>
      <c r="P50" s="68">
        <f t="shared" si="25"/>
        <v>0</v>
      </c>
      <c r="Q50" s="68">
        <f t="shared" si="26"/>
        <v>0</v>
      </c>
      <c r="R50" s="69">
        <f t="shared" si="27"/>
        <v>0</v>
      </c>
      <c r="T50" s="70" t="str">
        <f>IFERROR(VLOOKUP(A50,VLOOKUPS!$A$3:$D$31,2,0),"Ander")</f>
        <v>Ander</v>
      </c>
      <c r="U50" s="71">
        <f t="shared" si="28"/>
        <v>0</v>
      </c>
      <c r="V50" s="71">
        <f t="shared" si="29"/>
        <v>0</v>
      </c>
    </row>
    <row r="51" spans="1:22" ht="15.75" thickBot="1" x14ac:dyDescent="0.3">
      <c r="A51" s="14"/>
      <c r="B51" s="15"/>
      <c r="C51" s="16"/>
      <c r="D51" s="49">
        <f t="shared" si="23"/>
        <v>0</v>
      </c>
      <c r="E51" s="17"/>
      <c r="F51" s="50">
        <f t="shared" si="30"/>
        <v>0</v>
      </c>
      <c r="G51" s="375"/>
      <c r="H51" s="18"/>
      <c r="I51" s="51">
        <f t="shared" si="24"/>
        <v>0</v>
      </c>
      <c r="J51" s="50">
        <f t="shared" si="31"/>
        <v>0</v>
      </c>
      <c r="K51" s="50">
        <f t="shared" si="32"/>
        <v>0</v>
      </c>
      <c r="L51" s="372"/>
      <c r="N51" s="66">
        <f t="shared" si="19"/>
        <v>0</v>
      </c>
      <c r="O51" s="67">
        <f t="shared" si="20"/>
        <v>0</v>
      </c>
      <c r="P51" s="68">
        <f t="shared" si="25"/>
        <v>0</v>
      </c>
      <c r="Q51" s="68">
        <f t="shared" si="26"/>
        <v>0</v>
      </c>
      <c r="R51" s="69">
        <f t="shared" si="27"/>
        <v>0</v>
      </c>
      <c r="T51" s="70" t="str">
        <f>IFERROR(VLOOKUP(A51,VLOOKUPS!$A$3:$D$31,2,0),"Ander")</f>
        <v>Ander</v>
      </c>
      <c r="U51" s="71">
        <f t="shared" si="28"/>
        <v>0</v>
      </c>
      <c r="V51" s="71">
        <f t="shared" si="29"/>
        <v>0</v>
      </c>
    </row>
    <row r="52" spans="1:22" ht="15.75" thickBot="1" x14ac:dyDescent="0.3">
      <c r="N52" s="66"/>
      <c r="O52" s="67"/>
      <c r="P52" s="68"/>
      <c r="Q52" s="68"/>
      <c r="R52" s="69"/>
      <c r="U52" s="72">
        <f>SUM(U44:U51)</f>
        <v>0</v>
      </c>
      <c r="V52" s="72">
        <f>SUM(V44:V51)</f>
        <v>0</v>
      </c>
    </row>
    <row r="53" spans="1:22" ht="18.75" thickTop="1" thickBot="1" x14ac:dyDescent="0.3">
      <c r="A53" s="412" t="s">
        <v>64</v>
      </c>
      <c r="B53" s="413"/>
      <c r="C53" s="413"/>
      <c r="D53" s="413"/>
      <c r="E53" s="413"/>
      <c r="F53" s="413"/>
      <c r="G53" s="413"/>
      <c r="H53" s="413"/>
      <c r="I53" s="413"/>
      <c r="J53" s="413"/>
      <c r="K53" s="413"/>
      <c r="L53" s="414"/>
      <c r="N53" s="66"/>
      <c r="O53" s="67"/>
      <c r="P53" s="68"/>
      <c r="Q53" s="68"/>
      <c r="R53" s="69"/>
      <c r="U53" s="71"/>
      <c r="V53" s="71"/>
    </row>
    <row r="54" spans="1:22" ht="43.5" thickBot="1" x14ac:dyDescent="0.3">
      <c r="A54" s="37" t="s">
        <v>1</v>
      </c>
      <c r="B54" s="38" t="s">
        <v>62</v>
      </c>
      <c r="C54" s="39" t="s">
        <v>2</v>
      </c>
      <c r="D54" s="40" t="s">
        <v>93</v>
      </c>
      <c r="E54" s="39" t="s">
        <v>61</v>
      </c>
      <c r="F54" s="40" t="s">
        <v>94</v>
      </c>
      <c r="G54" s="41" t="s">
        <v>60</v>
      </c>
      <c r="H54" s="39" t="s">
        <v>59</v>
      </c>
      <c r="I54" s="103" t="s">
        <v>56</v>
      </c>
      <c r="J54" s="40" t="s">
        <v>57</v>
      </c>
      <c r="K54" s="40" t="s">
        <v>58</v>
      </c>
      <c r="L54" s="42" t="s">
        <v>0</v>
      </c>
      <c r="N54" s="66"/>
      <c r="O54" s="67"/>
      <c r="P54" s="68"/>
      <c r="Q54" s="68"/>
      <c r="R54" s="69"/>
      <c r="U54" s="71"/>
      <c r="V54" s="71"/>
    </row>
    <row r="55" spans="1:22" x14ac:dyDescent="0.25">
      <c r="A55" s="4" t="s">
        <v>1</v>
      </c>
      <c r="B55" s="5">
        <v>2</v>
      </c>
      <c r="C55" s="6">
        <v>1</v>
      </c>
      <c r="D55" s="43">
        <f>+L18*B55*C55</f>
        <v>0</v>
      </c>
      <c r="E55" s="7">
        <v>69</v>
      </c>
      <c r="F55" s="44">
        <f>+B55*C55*E55</f>
        <v>138</v>
      </c>
      <c r="G55" s="373">
        <f>SUM(F55:F64)</f>
        <v>313.20000000000005</v>
      </c>
      <c r="H55" s="8">
        <v>20</v>
      </c>
      <c r="I55" s="45">
        <f t="shared" ref="I55:I64" si="33">+IFERROR(ROUNDUP(D55/H55,0),0)</f>
        <v>0</v>
      </c>
      <c r="J55" s="44">
        <f>+E55*H55</f>
        <v>1380</v>
      </c>
      <c r="K55" s="44">
        <f>+I55*J55</f>
        <v>0</v>
      </c>
      <c r="L55" s="370">
        <f>SUM(K55:K64)</f>
        <v>0</v>
      </c>
      <c r="N55" s="66">
        <f t="shared" si="19"/>
        <v>0</v>
      </c>
      <c r="O55" s="67">
        <f t="shared" si="20"/>
        <v>0</v>
      </c>
      <c r="P55" s="68">
        <f t="shared" ref="P55:P64" si="34">+IFERROR(K55/N55,0)</f>
        <v>0</v>
      </c>
      <c r="Q55" s="68">
        <f t="shared" ref="Q55:Q64" si="35">+IFERROR(K55/O55,0)</f>
        <v>0</v>
      </c>
      <c r="R55" s="69">
        <f t="shared" ref="R55:R64" si="36">+B55*C55*E55</f>
        <v>138</v>
      </c>
      <c r="T55" s="70" t="str">
        <f>IFERROR(VLOOKUP(A55,VLOOKUPS!$A$3:$D$31,2,0),"Ander")</f>
        <v>Ander</v>
      </c>
      <c r="U55" s="71">
        <f t="shared" ref="U55:U64" si="37">IF(T55="Syngenta",K55,0)</f>
        <v>0</v>
      </c>
      <c r="V55" s="71">
        <f t="shared" ref="V55:V64" si="38">IF(T55="Ander",K55,0)</f>
        <v>0</v>
      </c>
    </row>
    <row r="56" spans="1:22" x14ac:dyDescent="0.25">
      <c r="A56" s="9" t="s">
        <v>1</v>
      </c>
      <c r="B56" s="10">
        <v>0.6</v>
      </c>
      <c r="C56" s="11">
        <f>+C55</f>
        <v>1</v>
      </c>
      <c r="D56" s="46">
        <f>+L18*B56*C56</f>
        <v>0</v>
      </c>
      <c r="E56" s="12">
        <v>148</v>
      </c>
      <c r="F56" s="47">
        <f t="shared" ref="F56:F64" si="39">+B56*C56*E56</f>
        <v>88.8</v>
      </c>
      <c r="G56" s="374"/>
      <c r="H56" s="13">
        <v>20</v>
      </c>
      <c r="I56" s="48">
        <f t="shared" si="33"/>
        <v>0</v>
      </c>
      <c r="J56" s="47">
        <f t="shared" ref="J56:J64" si="40">+E56*H56</f>
        <v>2960</v>
      </c>
      <c r="K56" s="47">
        <f t="shared" ref="K56:K64" si="41">+I56*J56</f>
        <v>0</v>
      </c>
      <c r="L56" s="371"/>
      <c r="N56" s="66">
        <f t="shared" si="19"/>
        <v>0</v>
      </c>
      <c r="O56" s="67">
        <f t="shared" si="20"/>
        <v>0</v>
      </c>
      <c r="P56" s="68">
        <f t="shared" si="34"/>
        <v>0</v>
      </c>
      <c r="Q56" s="68">
        <f t="shared" si="35"/>
        <v>0</v>
      </c>
      <c r="R56" s="69">
        <f t="shared" si="36"/>
        <v>88.8</v>
      </c>
      <c r="T56" s="70" t="str">
        <f>IFERROR(VLOOKUP(A56,VLOOKUPS!$A$3:$D$31,2,0),"Ander")</f>
        <v>Ander</v>
      </c>
      <c r="U56" s="71">
        <f t="shared" si="37"/>
        <v>0</v>
      </c>
      <c r="V56" s="71">
        <f t="shared" si="38"/>
        <v>0</v>
      </c>
    </row>
    <row r="57" spans="1:22" x14ac:dyDescent="0.25">
      <c r="A57" s="9" t="s">
        <v>1</v>
      </c>
      <c r="B57" s="10">
        <v>1.8</v>
      </c>
      <c r="C57" s="11">
        <v>1</v>
      </c>
      <c r="D57" s="46">
        <f>L18*B57*C57</f>
        <v>0</v>
      </c>
      <c r="E57" s="12">
        <v>48</v>
      </c>
      <c r="F57" s="47">
        <f t="shared" si="39"/>
        <v>86.4</v>
      </c>
      <c r="G57" s="374"/>
      <c r="H57" s="13">
        <v>25</v>
      </c>
      <c r="I57" s="48">
        <f t="shared" si="33"/>
        <v>0</v>
      </c>
      <c r="J57" s="47">
        <f t="shared" si="40"/>
        <v>1200</v>
      </c>
      <c r="K57" s="47">
        <f t="shared" si="41"/>
        <v>0</v>
      </c>
      <c r="L57" s="371"/>
      <c r="N57" s="66">
        <f t="shared" si="19"/>
        <v>0</v>
      </c>
      <c r="O57" s="67">
        <f t="shared" si="20"/>
        <v>0</v>
      </c>
      <c r="P57" s="68">
        <f t="shared" si="34"/>
        <v>0</v>
      </c>
      <c r="Q57" s="68">
        <f t="shared" si="35"/>
        <v>0</v>
      </c>
      <c r="R57" s="69">
        <f t="shared" si="36"/>
        <v>86.4</v>
      </c>
      <c r="T57" s="70" t="str">
        <f>IFERROR(VLOOKUP(A57,VLOOKUPS!$A$3:$D$31,2,0),"Ander")</f>
        <v>Ander</v>
      </c>
      <c r="U57" s="71">
        <f t="shared" si="37"/>
        <v>0</v>
      </c>
      <c r="V57" s="71">
        <f t="shared" si="38"/>
        <v>0</v>
      </c>
    </row>
    <row r="58" spans="1:22" x14ac:dyDescent="0.25">
      <c r="A58" s="9"/>
      <c r="B58" s="10"/>
      <c r="C58" s="11"/>
      <c r="D58" s="46">
        <f>L18*B58*C58</f>
        <v>0</v>
      </c>
      <c r="E58" s="12"/>
      <c r="F58" s="47">
        <f t="shared" si="39"/>
        <v>0</v>
      </c>
      <c r="G58" s="374"/>
      <c r="H58" s="13"/>
      <c r="I58" s="48">
        <f t="shared" si="33"/>
        <v>0</v>
      </c>
      <c r="J58" s="47">
        <f t="shared" si="40"/>
        <v>0</v>
      </c>
      <c r="K58" s="47">
        <f t="shared" si="41"/>
        <v>0</v>
      </c>
      <c r="L58" s="371"/>
      <c r="N58" s="66"/>
      <c r="O58" s="67"/>
      <c r="P58" s="68"/>
      <c r="Q58" s="68"/>
      <c r="R58" s="69"/>
      <c r="T58" s="70" t="str">
        <f>IFERROR(VLOOKUP(A58,VLOOKUPS!$A$3:$D$31,2,0),"Ander")</f>
        <v>Ander</v>
      </c>
      <c r="U58" s="71">
        <f t="shared" si="37"/>
        <v>0</v>
      </c>
      <c r="V58" s="71">
        <f t="shared" si="38"/>
        <v>0</v>
      </c>
    </row>
    <row r="59" spans="1:22" x14ac:dyDescent="0.25">
      <c r="A59" s="9"/>
      <c r="B59" s="10"/>
      <c r="C59" s="11"/>
      <c r="D59" s="46">
        <f>L18*B59*C59</f>
        <v>0</v>
      </c>
      <c r="E59" s="12"/>
      <c r="F59" s="47">
        <f t="shared" si="39"/>
        <v>0</v>
      </c>
      <c r="G59" s="374"/>
      <c r="H59" s="13"/>
      <c r="I59" s="48">
        <f t="shared" si="33"/>
        <v>0</v>
      </c>
      <c r="J59" s="47">
        <f t="shared" si="40"/>
        <v>0</v>
      </c>
      <c r="K59" s="47">
        <f t="shared" si="41"/>
        <v>0</v>
      </c>
      <c r="L59" s="371"/>
      <c r="N59" s="66"/>
      <c r="O59" s="67"/>
      <c r="P59" s="68"/>
      <c r="Q59" s="68"/>
      <c r="R59" s="69"/>
      <c r="T59" s="70" t="str">
        <f>IFERROR(VLOOKUP(A59,VLOOKUPS!$A$3:$D$31,2,0),"Ander")</f>
        <v>Ander</v>
      </c>
      <c r="U59" s="71">
        <f t="shared" si="37"/>
        <v>0</v>
      </c>
      <c r="V59" s="71">
        <f t="shared" si="38"/>
        <v>0</v>
      </c>
    </row>
    <row r="60" spans="1:22" x14ac:dyDescent="0.25">
      <c r="A60" s="9"/>
      <c r="B60" s="10"/>
      <c r="C60" s="11"/>
      <c r="D60" s="46">
        <f t="shared" ref="D60:D61" si="42">L19*B60*C60</f>
        <v>0</v>
      </c>
      <c r="E60" s="12"/>
      <c r="F60" s="47">
        <f t="shared" si="39"/>
        <v>0</v>
      </c>
      <c r="G60" s="374"/>
      <c r="H60" s="13"/>
      <c r="I60" s="48">
        <f t="shared" si="33"/>
        <v>0</v>
      </c>
      <c r="J60" s="47">
        <f t="shared" si="40"/>
        <v>0</v>
      </c>
      <c r="K60" s="47">
        <f t="shared" si="41"/>
        <v>0</v>
      </c>
      <c r="L60" s="371"/>
      <c r="N60" s="66"/>
      <c r="O60" s="67"/>
      <c r="P60" s="68"/>
      <c r="Q60" s="68"/>
      <c r="R60" s="69"/>
      <c r="T60" s="70" t="str">
        <f>IFERROR(VLOOKUP(A60,VLOOKUPS!$A$3:$D$31,2,0),"Ander")</f>
        <v>Ander</v>
      </c>
      <c r="U60" s="71">
        <f t="shared" si="37"/>
        <v>0</v>
      </c>
      <c r="V60" s="71">
        <f t="shared" si="38"/>
        <v>0</v>
      </c>
    </row>
    <row r="61" spans="1:22" x14ac:dyDescent="0.25">
      <c r="A61" s="9"/>
      <c r="B61" s="10"/>
      <c r="C61" s="11"/>
      <c r="D61" s="46">
        <f t="shared" si="42"/>
        <v>0</v>
      </c>
      <c r="E61" s="12"/>
      <c r="F61" s="47">
        <f t="shared" si="39"/>
        <v>0</v>
      </c>
      <c r="G61" s="374"/>
      <c r="H61" s="13"/>
      <c r="I61" s="48">
        <f t="shared" si="33"/>
        <v>0</v>
      </c>
      <c r="J61" s="47">
        <f t="shared" si="40"/>
        <v>0</v>
      </c>
      <c r="K61" s="47">
        <f t="shared" si="41"/>
        <v>0</v>
      </c>
      <c r="L61" s="371"/>
      <c r="N61" s="66"/>
      <c r="O61" s="67"/>
      <c r="P61" s="68"/>
      <c r="Q61" s="68"/>
      <c r="R61" s="69"/>
      <c r="T61" s="70" t="str">
        <f>IFERROR(VLOOKUP(A61,VLOOKUPS!$A$3:$D$31,2,0),"Ander")</f>
        <v>Ander</v>
      </c>
      <c r="U61" s="71">
        <f t="shared" si="37"/>
        <v>0</v>
      </c>
      <c r="V61" s="71">
        <f t="shared" si="38"/>
        <v>0</v>
      </c>
    </row>
    <row r="62" spans="1:22" x14ac:dyDescent="0.25">
      <c r="A62" s="9"/>
      <c r="B62" s="10"/>
      <c r="C62" s="11"/>
      <c r="D62" s="46">
        <f>L18*B62*C62</f>
        <v>0</v>
      </c>
      <c r="E62" s="12"/>
      <c r="F62" s="47">
        <f t="shared" si="39"/>
        <v>0</v>
      </c>
      <c r="G62" s="374"/>
      <c r="H62" s="13"/>
      <c r="I62" s="48">
        <f t="shared" si="33"/>
        <v>0</v>
      </c>
      <c r="J62" s="47">
        <f t="shared" si="40"/>
        <v>0</v>
      </c>
      <c r="K62" s="47">
        <f t="shared" si="41"/>
        <v>0</v>
      </c>
      <c r="L62" s="371"/>
      <c r="N62" s="66">
        <f t="shared" si="19"/>
        <v>0</v>
      </c>
      <c r="O62" s="67">
        <f t="shared" si="20"/>
        <v>0</v>
      </c>
      <c r="P62" s="68">
        <f t="shared" si="34"/>
        <v>0</v>
      </c>
      <c r="Q62" s="68">
        <f t="shared" si="35"/>
        <v>0</v>
      </c>
      <c r="R62" s="69">
        <f t="shared" si="36"/>
        <v>0</v>
      </c>
      <c r="T62" s="70" t="str">
        <f>IFERROR(VLOOKUP(A62,VLOOKUPS!$A$3:$D$31,2,0),"Ander")</f>
        <v>Ander</v>
      </c>
      <c r="U62" s="71">
        <f t="shared" si="37"/>
        <v>0</v>
      </c>
      <c r="V62" s="71">
        <f t="shared" si="38"/>
        <v>0</v>
      </c>
    </row>
    <row r="63" spans="1:22" x14ac:dyDescent="0.25">
      <c r="A63" s="9"/>
      <c r="B63" s="10"/>
      <c r="C63" s="11"/>
      <c r="D63" s="46">
        <f>L18*B63*C63</f>
        <v>0</v>
      </c>
      <c r="E63" s="12"/>
      <c r="F63" s="47">
        <f t="shared" si="39"/>
        <v>0</v>
      </c>
      <c r="G63" s="374"/>
      <c r="H63" s="13"/>
      <c r="I63" s="48">
        <f t="shared" si="33"/>
        <v>0</v>
      </c>
      <c r="J63" s="47">
        <f t="shared" si="40"/>
        <v>0</v>
      </c>
      <c r="K63" s="47">
        <f t="shared" si="41"/>
        <v>0</v>
      </c>
      <c r="L63" s="371"/>
      <c r="N63" s="66">
        <f t="shared" si="19"/>
        <v>0</v>
      </c>
      <c r="O63" s="67">
        <f t="shared" si="20"/>
        <v>0</v>
      </c>
      <c r="P63" s="68">
        <f t="shared" si="34"/>
        <v>0</v>
      </c>
      <c r="Q63" s="68">
        <f t="shared" si="35"/>
        <v>0</v>
      </c>
      <c r="R63" s="69">
        <f t="shared" si="36"/>
        <v>0</v>
      </c>
      <c r="T63" s="70" t="str">
        <f>IFERROR(VLOOKUP(A63,VLOOKUPS!$A$3:$D$31,2,0),"Ander")</f>
        <v>Ander</v>
      </c>
      <c r="U63" s="71">
        <f t="shared" si="37"/>
        <v>0</v>
      </c>
      <c r="V63" s="71">
        <f t="shared" si="38"/>
        <v>0</v>
      </c>
    </row>
    <row r="64" spans="1:22" ht="15.75" thickBot="1" x14ac:dyDescent="0.3">
      <c r="A64" s="14"/>
      <c r="B64" s="15"/>
      <c r="C64" s="16"/>
      <c r="D64" s="49">
        <f>L18*B64*C64</f>
        <v>0</v>
      </c>
      <c r="E64" s="17"/>
      <c r="F64" s="50">
        <f t="shared" si="39"/>
        <v>0</v>
      </c>
      <c r="G64" s="375"/>
      <c r="H64" s="18"/>
      <c r="I64" s="51">
        <f t="shared" si="33"/>
        <v>0</v>
      </c>
      <c r="J64" s="50">
        <f t="shared" si="40"/>
        <v>0</v>
      </c>
      <c r="K64" s="50">
        <f t="shared" si="41"/>
        <v>0</v>
      </c>
      <c r="L64" s="372"/>
      <c r="N64" s="66">
        <f t="shared" si="19"/>
        <v>0</v>
      </c>
      <c r="O64" s="67">
        <f t="shared" si="20"/>
        <v>0</v>
      </c>
      <c r="P64" s="68">
        <f t="shared" si="34"/>
        <v>0</v>
      </c>
      <c r="Q64" s="68">
        <f t="shared" si="35"/>
        <v>0</v>
      </c>
      <c r="R64" s="69">
        <f t="shared" si="36"/>
        <v>0</v>
      </c>
      <c r="T64" s="70" t="str">
        <f>IFERROR(VLOOKUP(A64,VLOOKUPS!$A$3:$D$31,2,0),"Ander")</f>
        <v>Ander</v>
      </c>
      <c r="U64" s="71">
        <f t="shared" si="37"/>
        <v>0</v>
      </c>
      <c r="V64" s="71">
        <f t="shared" si="38"/>
        <v>0</v>
      </c>
    </row>
    <row r="65" spans="1:22" ht="15.75" thickBot="1" x14ac:dyDescent="0.3">
      <c r="N65" s="66"/>
      <c r="O65" s="67"/>
      <c r="P65" s="68"/>
      <c r="Q65" s="68"/>
      <c r="R65" s="69"/>
      <c r="U65" s="72">
        <f>SUM(U55:U64)</f>
        <v>0</v>
      </c>
      <c r="V65" s="72">
        <f>SUM(V55:V64)</f>
        <v>0</v>
      </c>
    </row>
    <row r="66" spans="1:22" ht="18.75" thickTop="1" thickBot="1" x14ac:dyDescent="0.35">
      <c r="A66" s="409" t="s">
        <v>67</v>
      </c>
      <c r="B66" s="410"/>
      <c r="C66" s="410"/>
      <c r="D66" s="410"/>
      <c r="E66" s="410"/>
      <c r="F66" s="410"/>
      <c r="G66" s="410"/>
      <c r="H66" s="410"/>
      <c r="I66" s="410"/>
      <c r="J66" s="410"/>
      <c r="K66" s="410"/>
      <c r="L66" s="411"/>
      <c r="N66" s="66"/>
      <c r="O66" s="67"/>
      <c r="P66" s="68"/>
      <c r="Q66" s="68"/>
      <c r="R66" s="69"/>
      <c r="U66" s="71"/>
      <c r="V66" s="71"/>
    </row>
    <row r="67" spans="1:22" ht="43.5" thickBot="1" x14ac:dyDescent="0.3">
      <c r="A67" s="37" t="s">
        <v>1</v>
      </c>
      <c r="B67" s="38" t="s">
        <v>62</v>
      </c>
      <c r="C67" s="39" t="s">
        <v>2</v>
      </c>
      <c r="D67" s="40" t="s">
        <v>93</v>
      </c>
      <c r="E67" s="39" t="s">
        <v>61</v>
      </c>
      <c r="F67" s="40" t="s">
        <v>94</v>
      </c>
      <c r="G67" s="41" t="s">
        <v>60</v>
      </c>
      <c r="H67" s="39" t="s">
        <v>59</v>
      </c>
      <c r="I67" s="103" t="s">
        <v>56</v>
      </c>
      <c r="J67" s="40" t="s">
        <v>57</v>
      </c>
      <c r="K67" s="40" t="s">
        <v>58</v>
      </c>
      <c r="L67" s="42" t="s">
        <v>0</v>
      </c>
      <c r="N67" s="66"/>
      <c r="O67" s="67"/>
      <c r="P67" s="68"/>
      <c r="Q67" s="68"/>
      <c r="R67" s="69"/>
      <c r="U67" s="71"/>
      <c r="V67" s="71"/>
    </row>
    <row r="68" spans="1:22" x14ac:dyDescent="0.25">
      <c r="A68" s="4" t="s">
        <v>1</v>
      </c>
      <c r="B68" s="5">
        <v>0.5</v>
      </c>
      <c r="C68" s="6">
        <v>1</v>
      </c>
      <c r="D68" s="43">
        <f>+L18*B68*C68</f>
        <v>0</v>
      </c>
      <c r="E68" s="7">
        <v>250</v>
      </c>
      <c r="F68" s="44">
        <f>+B68*C68*E68</f>
        <v>125</v>
      </c>
      <c r="G68" s="373">
        <f>SUM(F68:F71)</f>
        <v>125</v>
      </c>
      <c r="H68" s="8">
        <v>5</v>
      </c>
      <c r="I68" s="45">
        <f t="shared" ref="I68:I71" si="43">+IFERROR(ROUNDUP(D68/H68,0),0)</f>
        <v>0</v>
      </c>
      <c r="J68" s="44">
        <f>+E68*H68</f>
        <v>1250</v>
      </c>
      <c r="K68" s="44">
        <f>+I68*J68</f>
        <v>0</v>
      </c>
      <c r="L68" s="370">
        <f>SUM(K68:K71)</f>
        <v>0</v>
      </c>
      <c r="N68" s="66">
        <f t="shared" si="19"/>
        <v>0</v>
      </c>
      <c r="O68" s="67">
        <f t="shared" si="20"/>
        <v>0</v>
      </c>
      <c r="P68" s="68">
        <f t="shared" ref="P68:P71" si="44">+IFERROR(K68/N68,0)</f>
        <v>0</v>
      </c>
      <c r="Q68" s="68">
        <f t="shared" ref="Q68:Q71" si="45">+IFERROR(K68/O68,0)</f>
        <v>0</v>
      </c>
      <c r="R68" s="69">
        <f t="shared" ref="R68:R71" si="46">+B68*C68*E68</f>
        <v>125</v>
      </c>
      <c r="T68" s="70" t="str">
        <f>IFERROR(VLOOKUP(A68,VLOOKUPS!$A$3:$D$31,2,0),"Ander")</f>
        <v>Ander</v>
      </c>
      <c r="U68" s="71">
        <f t="shared" ref="U68:U71" si="47">IF(T68="Syngenta",K68,0)</f>
        <v>0</v>
      </c>
      <c r="V68" s="71">
        <f t="shared" ref="V68:V71" si="48">IF(T68="Ander",K68,0)</f>
        <v>0</v>
      </c>
    </row>
    <row r="69" spans="1:22" x14ac:dyDescent="0.25">
      <c r="A69" s="9"/>
      <c r="B69" s="10"/>
      <c r="C69" s="11"/>
      <c r="D69" s="46">
        <f>+L18*B69*C69</f>
        <v>0</v>
      </c>
      <c r="E69" s="12"/>
      <c r="F69" s="47">
        <f t="shared" ref="F69:F71" si="49">+B69*C69*E69</f>
        <v>0</v>
      </c>
      <c r="G69" s="374"/>
      <c r="H69" s="13"/>
      <c r="I69" s="48">
        <f t="shared" si="43"/>
        <v>0</v>
      </c>
      <c r="J69" s="47">
        <f t="shared" ref="J69:J71" si="50">+E69*H69</f>
        <v>0</v>
      </c>
      <c r="K69" s="47">
        <f t="shared" ref="K69:K71" si="51">+I69*J69</f>
        <v>0</v>
      </c>
      <c r="L69" s="371"/>
      <c r="N69" s="66">
        <f t="shared" si="19"/>
        <v>0</v>
      </c>
      <c r="O69" s="67">
        <f t="shared" si="20"/>
        <v>0</v>
      </c>
      <c r="P69" s="68">
        <f t="shared" si="44"/>
        <v>0</v>
      </c>
      <c r="Q69" s="68">
        <f t="shared" si="45"/>
        <v>0</v>
      </c>
      <c r="R69" s="69">
        <f t="shared" si="46"/>
        <v>0</v>
      </c>
      <c r="T69" s="70" t="str">
        <f>IFERROR(VLOOKUP(A69,VLOOKUPS!$A$3:$D$31,2,0),"Ander")</f>
        <v>Ander</v>
      </c>
      <c r="U69" s="71">
        <f t="shared" si="47"/>
        <v>0</v>
      </c>
      <c r="V69" s="71">
        <f t="shared" si="48"/>
        <v>0</v>
      </c>
    </row>
    <row r="70" spans="1:22" x14ac:dyDescent="0.25">
      <c r="A70" s="9"/>
      <c r="B70" s="10"/>
      <c r="C70" s="11"/>
      <c r="D70" s="46">
        <f>L18*B70*C70</f>
        <v>0</v>
      </c>
      <c r="E70" s="12"/>
      <c r="F70" s="47">
        <f t="shared" si="49"/>
        <v>0</v>
      </c>
      <c r="G70" s="374"/>
      <c r="H70" s="13"/>
      <c r="I70" s="48">
        <f t="shared" si="43"/>
        <v>0</v>
      </c>
      <c r="J70" s="47">
        <f t="shared" si="50"/>
        <v>0</v>
      </c>
      <c r="K70" s="47">
        <f t="shared" si="51"/>
        <v>0</v>
      </c>
      <c r="L70" s="371"/>
      <c r="N70" s="66">
        <f t="shared" si="19"/>
        <v>0</v>
      </c>
      <c r="O70" s="67">
        <f t="shared" si="20"/>
        <v>0</v>
      </c>
      <c r="P70" s="68">
        <f t="shared" si="44"/>
        <v>0</v>
      </c>
      <c r="Q70" s="68">
        <f t="shared" si="45"/>
        <v>0</v>
      </c>
      <c r="R70" s="69">
        <f t="shared" si="46"/>
        <v>0</v>
      </c>
      <c r="T70" s="70" t="str">
        <f>IFERROR(VLOOKUP(A70,VLOOKUPS!$A$3:$D$31,2,0),"Ander")</f>
        <v>Ander</v>
      </c>
      <c r="U70" s="71">
        <f t="shared" si="47"/>
        <v>0</v>
      </c>
      <c r="V70" s="71">
        <f t="shared" si="48"/>
        <v>0</v>
      </c>
    </row>
    <row r="71" spans="1:22" ht="15.75" thickBot="1" x14ac:dyDescent="0.3">
      <c r="A71" s="14"/>
      <c r="B71" s="15"/>
      <c r="C71" s="16"/>
      <c r="D71" s="49">
        <f>+L18*B71*C71</f>
        <v>0</v>
      </c>
      <c r="E71" s="17"/>
      <c r="F71" s="50">
        <f t="shared" si="49"/>
        <v>0</v>
      </c>
      <c r="G71" s="375"/>
      <c r="H71" s="18"/>
      <c r="I71" s="51">
        <f t="shared" si="43"/>
        <v>0</v>
      </c>
      <c r="J71" s="50">
        <f t="shared" si="50"/>
        <v>0</v>
      </c>
      <c r="K71" s="50">
        <f t="shared" si="51"/>
        <v>0</v>
      </c>
      <c r="L71" s="372"/>
      <c r="N71" s="66">
        <f t="shared" si="19"/>
        <v>0</v>
      </c>
      <c r="O71" s="67">
        <f t="shared" si="20"/>
        <v>0</v>
      </c>
      <c r="P71" s="68">
        <f t="shared" si="44"/>
        <v>0</v>
      </c>
      <c r="Q71" s="68">
        <f t="shared" si="45"/>
        <v>0</v>
      </c>
      <c r="R71" s="69">
        <f t="shared" si="46"/>
        <v>0</v>
      </c>
      <c r="T71" s="70" t="str">
        <f>IFERROR(VLOOKUP(A71,VLOOKUPS!$A$3:$D$31,2,0),"Ander")</f>
        <v>Ander</v>
      </c>
      <c r="U71" s="71">
        <f t="shared" si="47"/>
        <v>0</v>
      </c>
      <c r="V71" s="71">
        <f t="shared" si="48"/>
        <v>0</v>
      </c>
    </row>
    <row r="72" spans="1:22" ht="15.75" thickBot="1" x14ac:dyDescent="0.3">
      <c r="U72" s="72">
        <f>SUM(U68:U71)</f>
        <v>0</v>
      </c>
      <c r="V72" s="72">
        <f>SUM(V68:V71)</f>
        <v>0</v>
      </c>
    </row>
    <row r="73" spans="1:22" ht="15.75" thickTop="1" x14ac:dyDescent="0.25">
      <c r="U73" s="73"/>
      <c r="V73" s="73"/>
    </row>
    <row r="74" spans="1:22" ht="15" customHeight="1" thickBot="1" x14ac:dyDescent="0.3">
      <c r="B74" s="395" t="s">
        <v>89</v>
      </c>
      <c r="C74" s="396"/>
      <c r="D74" s="396"/>
      <c r="E74" s="396"/>
      <c r="F74" s="396"/>
      <c r="G74" s="396"/>
      <c r="H74" s="396"/>
      <c r="I74" s="396"/>
      <c r="J74" s="396"/>
      <c r="K74" s="397"/>
    </row>
    <row r="75" spans="1:22" ht="15.75" thickBot="1" x14ac:dyDescent="0.3">
      <c r="B75" s="398"/>
      <c r="C75" s="399"/>
      <c r="D75" s="399"/>
      <c r="E75" s="399"/>
      <c r="F75" s="399"/>
      <c r="G75" s="399"/>
      <c r="H75" s="399"/>
      <c r="I75" s="399"/>
      <c r="J75" s="399"/>
      <c r="K75" s="400"/>
      <c r="T75" s="74" t="s">
        <v>76</v>
      </c>
      <c r="U75" s="105">
        <f>U72+U65+U52+U41+U30</f>
        <v>0</v>
      </c>
      <c r="V75" s="106">
        <f>V72+V65+V52+V41+V30</f>
        <v>8500</v>
      </c>
    </row>
    <row r="76" spans="1:22" x14ac:dyDescent="0.25">
      <c r="B76" s="36"/>
      <c r="C76" s="111"/>
      <c r="D76" s="111"/>
      <c r="E76" s="111"/>
      <c r="F76" s="111"/>
      <c r="T76" s="27" t="s">
        <v>77</v>
      </c>
      <c r="U76" s="75">
        <f>V75+U75-L14</f>
        <v>0</v>
      </c>
    </row>
    <row r="77" spans="1:22" x14ac:dyDescent="0.25">
      <c r="B77" s="36"/>
      <c r="C77" s="111"/>
      <c r="D77" s="111"/>
      <c r="E77" s="111"/>
      <c r="F77" s="111"/>
    </row>
    <row r="78" spans="1:22" x14ac:dyDescent="0.25">
      <c r="B78" s="36"/>
      <c r="C78" s="111"/>
      <c r="D78" s="111"/>
      <c r="E78" s="111"/>
      <c r="F78" s="111"/>
    </row>
  </sheetData>
  <sheetProtection selectLockedCells="1"/>
  <mergeCells count="48">
    <mergeCell ref="B74:K75"/>
    <mergeCell ref="G33:G40"/>
    <mergeCell ref="L33:L40"/>
    <mergeCell ref="A42:L42"/>
    <mergeCell ref="G44:G51"/>
    <mergeCell ref="L44:L51"/>
    <mergeCell ref="A53:L53"/>
    <mergeCell ref="G55:G64"/>
    <mergeCell ref="L55:L64"/>
    <mergeCell ref="A66:L66"/>
    <mergeCell ref="G68:G71"/>
    <mergeCell ref="L68:L71"/>
    <mergeCell ref="A31:L31"/>
    <mergeCell ref="B16:C16"/>
    <mergeCell ref="G16:H16"/>
    <mergeCell ref="J16:K16"/>
    <mergeCell ref="B18:C18"/>
    <mergeCell ref="G18:H18"/>
    <mergeCell ref="J18:K18"/>
    <mergeCell ref="A20:L20"/>
    <mergeCell ref="G21:H22"/>
    <mergeCell ref="I21:I22"/>
    <mergeCell ref="G24:G29"/>
    <mergeCell ref="L24:L29"/>
    <mergeCell ref="B14:C14"/>
    <mergeCell ref="G14:H14"/>
    <mergeCell ref="J14:K14"/>
    <mergeCell ref="B15:C15"/>
    <mergeCell ref="G15:H15"/>
    <mergeCell ref="J15:K15"/>
    <mergeCell ref="B12:C12"/>
    <mergeCell ref="G12:H12"/>
    <mergeCell ref="J12:K12"/>
    <mergeCell ref="B13:C13"/>
    <mergeCell ref="G13:H13"/>
    <mergeCell ref="J13:K13"/>
    <mergeCell ref="B10:C10"/>
    <mergeCell ref="G10:H10"/>
    <mergeCell ref="J10:K10"/>
    <mergeCell ref="B11:C11"/>
    <mergeCell ref="G11:H11"/>
    <mergeCell ref="J11:K11"/>
    <mergeCell ref="A8:C8"/>
    <mergeCell ref="F8:H8"/>
    <mergeCell ref="J8:L8"/>
    <mergeCell ref="B9:C9"/>
    <mergeCell ref="G9:H9"/>
    <mergeCell ref="J9:K9"/>
  </mergeCells>
  <dataValidations count="1">
    <dataValidation allowBlank="1" showInputMessage="1" sqref="A24:A29 A33:A40 A44:A51 A55:A63 A64 A68:A71"/>
  </dataValidations>
  <printOptions horizontalCentered="1" verticalCentered="1"/>
  <pageMargins left="0.26" right="0.28999999999999998" top="0.19" bottom="0.18" header="0" footer="0"/>
  <pageSetup paperSize="9" scale="64"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23</vt:i4>
      </vt:variant>
      <vt:variant>
        <vt:lpstr>Named Ranges</vt:lpstr>
      </vt:variant>
      <vt:variant>
        <vt:i4>80</vt:i4>
      </vt:variant>
    </vt:vector>
  </HeadingPairs>
  <TitlesOfParts>
    <vt:vector size="103" baseType="lpstr">
      <vt:lpstr>Plaasinligting</vt:lpstr>
      <vt:lpstr>Gewasbeskermingsprogram</vt:lpstr>
      <vt:lpstr>Ooreenkoms</vt:lpstr>
      <vt:lpstr>Verskansingsvoordeel</vt:lpstr>
      <vt:lpstr>epos inligting aan Syngenta</vt:lpstr>
      <vt:lpstr>Koring 1 (dont use)</vt:lpstr>
      <vt:lpstr>AgriSafe calc (dont use)</vt:lpstr>
      <vt:lpstr>Sojas 1</vt:lpstr>
      <vt:lpstr>Sojas 2</vt:lpstr>
      <vt:lpstr>Sojas 3</vt:lpstr>
      <vt:lpstr>Sonneblom 1</vt:lpstr>
      <vt:lpstr>Sonneblom 2</vt:lpstr>
      <vt:lpstr>Sonneblom 3</vt:lpstr>
      <vt:lpstr>Ander 1</vt:lpstr>
      <vt:lpstr>Ander 2</vt:lpstr>
      <vt:lpstr>Ander 3</vt:lpstr>
      <vt:lpstr>Ander 4</vt:lpstr>
      <vt:lpstr>Ander 5</vt:lpstr>
      <vt:lpstr>Opsomming</vt:lpstr>
      <vt:lpstr>List of products (old)</vt:lpstr>
      <vt:lpstr>VLOOKUPS</vt:lpstr>
      <vt:lpstr>Produklys</vt:lpstr>
      <vt:lpstr>Working sheet (dont use)</vt:lpstr>
      <vt:lpstr>_options1</vt:lpstr>
      <vt:lpstr>_options10</vt:lpstr>
      <vt:lpstr>_options11</vt:lpstr>
      <vt:lpstr>_options12</vt:lpstr>
      <vt:lpstr>_options13</vt:lpstr>
      <vt:lpstr>_options14</vt:lpstr>
      <vt:lpstr>_options15</vt:lpstr>
      <vt:lpstr>_options16</vt:lpstr>
      <vt:lpstr>_options17</vt:lpstr>
      <vt:lpstr>_options18</vt:lpstr>
      <vt:lpstr>_options19</vt:lpstr>
      <vt:lpstr>_options2</vt:lpstr>
      <vt:lpstr>_options20</vt:lpstr>
      <vt:lpstr>_options21</vt:lpstr>
      <vt:lpstr>_options22</vt:lpstr>
      <vt:lpstr>_options23</vt:lpstr>
      <vt:lpstr>_options24</vt:lpstr>
      <vt:lpstr>_options25</vt:lpstr>
      <vt:lpstr>_options26</vt:lpstr>
      <vt:lpstr>_options27</vt:lpstr>
      <vt:lpstr>_options28</vt:lpstr>
      <vt:lpstr>_options29</vt:lpstr>
      <vt:lpstr>_options3</vt:lpstr>
      <vt:lpstr>_options30</vt:lpstr>
      <vt:lpstr>_options31</vt:lpstr>
      <vt:lpstr>_options32</vt:lpstr>
      <vt:lpstr>_options33</vt:lpstr>
      <vt:lpstr>_options34</vt:lpstr>
      <vt:lpstr>_options35</vt:lpstr>
      <vt:lpstr>_options36</vt:lpstr>
      <vt:lpstr>_options37</vt:lpstr>
      <vt:lpstr>_options38</vt:lpstr>
      <vt:lpstr>_options39</vt:lpstr>
      <vt:lpstr>_options4</vt:lpstr>
      <vt:lpstr>_options40</vt:lpstr>
      <vt:lpstr>_options41</vt:lpstr>
      <vt:lpstr>_options42</vt:lpstr>
      <vt:lpstr>_options43</vt:lpstr>
      <vt:lpstr>_options44</vt:lpstr>
      <vt:lpstr>_options45</vt:lpstr>
      <vt:lpstr>_options46</vt:lpstr>
      <vt:lpstr>_options47</vt:lpstr>
      <vt:lpstr>_options5</vt:lpstr>
      <vt:lpstr>_options6</vt:lpstr>
      <vt:lpstr>_options7</vt:lpstr>
      <vt:lpstr>_options8</vt:lpstr>
      <vt:lpstr>_options9</vt:lpstr>
      <vt:lpstr>Ooreenkoms!_Ref329928232</vt:lpstr>
      <vt:lpstr>Ooreenkoms!_Ref329928832</vt:lpstr>
      <vt:lpstr>Ooreenkoms!_Ref329929022</vt:lpstr>
      <vt:lpstr>Ooreenkoms!_Ref329936667</vt:lpstr>
      <vt:lpstr>Ooreenkoms!_Ref330205585</vt:lpstr>
      <vt:lpstr>Ooreenkoms!_Ref330213221</vt:lpstr>
      <vt:lpstr>Ooreenkoms!_Ref350434246</vt:lpstr>
      <vt:lpstr>Ooreenkoms!_Toc310152736</vt:lpstr>
      <vt:lpstr>Ooreenkoms!_Toc331419471</vt:lpstr>
      <vt:lpstr>Ooreenkoms!_Toc331419473</vt:lpstr>
      <vt:lpstr>Ooreenkoms!_Toc331419475</vt:lpstr>
      <vt:lpstr>Ooreenkoms!_Toc331419478</vt:lpstr>
      <vt:lpstr>Ooreenkoms!contents</vt:lpstr>
      <vt:lpstr>Ooreenkoms!DPbm_coverpagetable</vt:lpstr>
      <vt:lpstr>Ooreenkoms!DPbm_domiciletable</vt:lpstr>
      <vt:lpstr>Ooreenkoms!DPbm_interpretationtable</vt:lpstr>
      <vt:lpstr>Ooreenkoms!DPbm_signatorytable</vt:lpstr>
      <vt:lpstr>'AgriSafe calc (dont use)'!Print_Area</vt:lpstr>
      <vt:lpstr>'Ander 1'!Print_Area</vt:lpstr>
      <vt:lpstr>'Ander 2'!Print_Area</vt:lpstr>
      <vt:lpstr>'Ander 3'!Print_Area</vt:lpstr>
      <vt:lpstr>'Ander 4'!Print_Area</vt:lpstr>
      <vt:lpstr>'Ander 5'!Print_Area</vt:lpstr>
      <vt:lpstr>'Koring 1 (dont use)'!Print_Area</vt:lpstr>
      <vt:lpstr>Opsomming!Print_Area</vt:lpstr>
      <vt:lpstr>'Sojas 1'!Print_Area</vt:lpstr>
      <vt:lpstr>'Sojas 2'!Print_Area</vt:lpstr>
      <vt:lpstr>'Sojas 3'!Print_Area</vt:lpstr>
      <vt:lpstr>'Sonneblom 1'!Print_Area</vt:lpstr>
      <vt:lpstr>'Sonneblom 2'!Print_Area</vt:lpstr>
      <vt:lpstr>'Sonneblom 3'!Print_Area</vt:lpstr>
      <vt:lpstr>Verskansingsvoordeel!Print_Area</vt:lpstr>
      <vt:lpstr>'Working sheet (dont use)'!Print_Area</vt:lpstr>
    </vt:vector>
  </TitlesOfParts>
  <Company>Syngenta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SFvZ</dc:creator>
  <cp:lastModifiedBy>Syngenta</cp:lastModifiedBy>
  <cp:lastPrinted>2013-03-06T07:21:03Z</cp:lastPrinted>
  <dcterms:created xsi:type="dcterms:W3CDTF">2012-09-07T12:38:22Z</dcterms:created>
  <dcterms:modified xsi:type="dcterms:W3CDTF">2013-08-02T07:14:51Z</dcterms:modified>
</cp:coreProperties>
</file>