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stonepartner-my.sharepoint.com/personal/nishit_wadhwani_tristone-partners_com/Documents/Desktop/Excel/"/>
    </mc:Choice>
  </mc:AlternateContent>
  <xr:revisionPtr revIDLastSave="0" documentId="8_{6391F94F-F0AA-4E3C-819E-352C91BAD78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vestment Memo" sheetId="4" r:id="rId1"/>
    <sheet name="Model" sheetId="13" r:id="rId2"/>
    <sheet name="Working Capital Calculations" sheetId="15" r:id="rId3"/>
  </sheets>
  <definedNames>
    <definedName name="_xlnm._FilterDatabase" localSheetId="0" hidden="1">'Investment Memo'!$A$44:$I$87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_CHANGE" hidden="1">"c1449"</definedName>
    <definedName name="IQ_ACCOUNTING_FFIEC" hidden="1">"c13054"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ENCY" hidden="1">"c8960"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OVER_SHARES" hidden="1">"c1349"</definedName>
    <definedName name="IQ_BV_SHARE" hidden="1">"c100"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E_DEPOSITS_ASSETS_TOT_FFIEC" hidden="1">"c13442"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ES" hidden="1">"c1356"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_FFIEC" hidden="1">"c13032"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ST_REUT" hidden="1">"c5453"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WITHOUT_FAIR_VALUES_FFIEC" hidden="1">"c12846"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REV" hidden="1">"c2113"</definedName>
    <definedName name="IQ_EST_ACT_REV_CIQ" hidden="1">"c3666"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EBITDA_DIFF" hidden="1">"c1867"</definedName>
    <definedName name="IQ_EST_EBITDA_DIFF_CIQ" hidden="1">"c3719"</definedName>
    <definedName name="IQ_EST_EBITDA_SURPRISE_PERCENT" hidden="1">"c1868"</definedName>
    <definedName name="IQ_EST_EBITDA_SURPRISE_PERCENT_CIQ" hidden="1">"c3720"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OOTNOTE" hidden="1">"c4540"</definedName>
    <definedName name="IQ_EST_FOOTNOTE_CIQ" hidden="1">"c12022"</definedName>
    <definedName name="IQ_EST_REV_DIFF" hidden="1">"c1865"</definedName>
    <definedName name="IQ_EST_REV_DIFF_CIQ" hidden="1">"c3717"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FUNDS_SOLD" hidden="1">"c2256"</definedName>
    <definedName name="IQ_FEES_COMMISSIONS_BROKERAGE_FFIEC" hidden="1">"c13005"</definedName>
    <definedName name="IQ_FFO" hidden="1">"c1574"</definedName>
    <definedName name="IQ_FFO_ADJ_ACT_OR_EST" hidden="1">"c4435"</definedName>
    <definedName name="IQ_FFO_ADJ_ACT_OR_EST_CIQ" hidden="1">"c4960"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ANGIBLES_NET" hidden="1">"c1407"</definedName>
    <definedName name="IQ_INTEREST_BEARING_BALANCES_FDIC" hidden="1">"c6371"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QUID_ASSETS_ASSETS_TOT_FFIEC" hidden="1">"c13439"</definedName>
    <definedName name="IQ_LIQUID_ASSETS_NONCORE_FUNDING_FFIEC" hidden="1">"c13339"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LTIFAMILY_RESIDENTIAL_LOANS_FDIC" hidden="1">"c6311"</definedName>
    <definedName name="IQ_MUNICIPAL_INVEST_SECURITIES_FFIEC" hidden="1">"c13459"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EGATIVE_FAIR_VALUE_DERIVATIVES_BENEFICIARY_FFIEC" hidden="1">"c13124"</definedName>
    <definedName name="IQ_NEGATIVE_FAIR_VALUE_DERIVATIVES_GUARANTOR_FFIEC" hidden="1">"c13117"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FUNDS_PURCHASED_ASSETS_TOT_FFIEC" hidden="1">"c13448"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LOANS" hidden="1">"c796"</definedName>
    <definedName name="IQ_NON_CASH" hidden="1">"c1399"</definedName>
    <definedName name="IQ_NON_CASH_ITEMS" hidden="1">"c797"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OPERATING_INC_AVG_ASSETS_FFIEC" hidden="1">"c13365"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REV" hidden="1">"c1101"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BEFORE_LL_FFIEC" hidden="1">"c13018"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39926.4158564815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DIC" hidden="1">"c6351"</definedName>
    <definedName name="IQ_SURPLUS_FFIEC" hidden="1">"c12877"</definedName>
    <definedName name="IQ_SVA" hidden="1">"c1214"</definedName>
    <definedName name="IQ_TANGIBLE_EQUITY_ASSETS_FFIEC" hidden="1">"c13346"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100K_OTHER_INSTITUTIONS_FFIEC" hidden="1">"c12953"</definedName>
    <definedName name="IQ_TIME_DEPOSITS_LESS_THAN_100K_FDIC" hidden="1">"c6465"</definedName>
    <definedName name="IQ_TIME_DEPOSITS_MORE_100K_OTHER_INSTITUTIONS_FFIEC" hidden="1">"c12954"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DIC" hidden="1">"c6339"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EPOSITS_FFIEC" hidden="1">"c13623"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DIC" hidden="1">"c6348"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ANSACTION_ACCOUNTS_FDIC" hidden="1">"c6544"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Area" localSheetId="0">'Investment Memo'!$A$1:$I$187</definedName>
    <definedName name="_xlnm.Print_Area" localSheetId="1">Model!$A$1:$AP$105</definedName>
    <definedName name="_xlnm.Print_Area" localSheetId="2">'Working Capital Calculations'!$A$1:$AB$43</definedName>
    <definedName name="_xlnm.Print_Titles" localSheetId="0">'Investment Memo'!$1:$4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C28" i="4"/>
  <c r="AL53" i="13"/>
  <c r="AK53" i="13"/>
  <c r="AJ53" i="13"/>
  <c r="AI53" i="13"/>
  <c r="C94" i="4"/>
  <c r="AE14" i="13"/>
  <c r="AE15" i="13" s="1"/>
  <c r="AE12" i="13"/>
  <c r="AG11" i="13"/>
  <c r="AJ58" i="13"/>
  <c r="AK58" i="13" s="1"/>
  <c r="AL58" i="13" s="1"/>
  <c r="AI83" i="13"/>
  <c r="AJ83" i="13" s="1"/>
  <c r="AK83" i="13" s="1"/>
  <c r="AL83" i="13" s="1"/>
  <c r="AO80" i="13"/>
  <c r="N83" i="4"/>
  <c r="N82" i="4"/>
  <c r="N78" i="4"/>
  <c r="N77" i="4"/>
  <c r="N73" i="4"/>
  <c r="K69" i="4"/>
  <c r="AJ80" i="13"/>
  <c r="AN80" i="13" s="1"/>
  <c r="AP80" i="13"/>
  <c r="O64" i="4"/>
  <c r="N50" i="4"/>
  <c r="N49" i="4"/>
  <c r="N45" i="4"/>
  <c r="O86" i="4"/>
  <c r="N86" i="4"/>
  <c r="M86" i="4"/>
  <c r="L86" i="4"/>
  <c r="K86" i="4"/>
  <c r="J86" i="4"/>
  <c r="O85" i="4"/>
  <c r="N85" i="4"/>
  <c r="M85" i="4"/>
  <c r="L85" i="4"/>
  <c r="K85" i="4"/>
  <c r="J85" i="4"/>
  <c r="O84" i="4"/>
  <c r="N84" i="4"/>
  <c r="M84" i="4"/>
  <c r="L84" i="4"/>
  <c r="K84" i="4"/>
  <c r="J84" i="4"/>
  <c r="M83" i="4"/>
  <c r="L83" i="4"/>
  <c r="K83" i="4"/>
  <c r="J83" i="4"/>
  <c r="M82" i="4"/>
  <c r="L82" i="4"/>
  <c r="K82" i="4"/>
  <c r="J82" i="4"/>
  <c r="O81" i="4"/>
  <c r="N81" i="4"/>
  <c r="M81" i="4"/>
  <c r="L81" i="4"/>
  <c r="K81" i="4"/>
  <c r="J81" i="4"/>
  <c r="O80" i="4"/>
  <c r="N80" i="4"/>
  <c r="M80" i="4"/>
  <c r="L80" i="4"/>
  <c r="K80" i="4"/>
  <c r="J80" i="4"/>
  <c r="O79" i="4"/>
  <c r="N79" i="4"/>
  <c r="M79" i="4"/>
  <c r="L79" i="4"/>
  <c r="K79" i="4"/>
  <c r="J79" i="4"/>
  <c r="M78" i="4"/>
  <c r="L78" i="4"/>
  <c r="K78" i="4"/>
  <c r="J78" i="4"/>
  <c r="M77" i="4"/>
  <c r="L77" i="4"/>
  <c r="K77" i="4"/>
  <c r="J77" i="4"/>
  <c r="O76" i="4"/>
  <c r="N76" i="4"/>
  <c r="M76" i="4"/>
  <c r="L76" i="4"/>
  <c r="K76" i="4"/>
  <c r="J76" i="4"/>
  <c r="O75" i="4"/>
  <c r="N75" i="4"/>
  <c r="M75" i="4"/>
  <c r="L75" i="4"/>
  <c r="K75" i="4"/>
  <c r="J75" i="4"/>
  <c r="O74" i="4"/>
  <c r="N74" i="4"/>
  <c r="M74" i="4"/>
  <c r="L74" i="4"/>
  <c r="K74" i="4"/>
  <c r="J74" i="4"/>
  <c r="M73" i="4"/>
  <c r="L73" i="4"/>
  <c r="K73" i="4"/>
  <c r="J73" i="4"/>
  <c r="O72" i="4"/>
  <c r="N72" i="4"/>
  <c r="M72" i="4"/>
  <c r="L72" i="4"/>
  <c r="K72" i="4"/>
  <c r="J72" i="4"/>
  <c r="O71" i="4"/>
  <c r="N71" i="4"/>
  <c r="M71" i="4"/>
  <c r="L71" i="4"/>
  <c r="K71" i="4"/>
  <c r="J71" i="4"/>
  <c r="O70" i="4"/>
  <c r="N70" i="4"/>
  <c r="M70" i="4"/>
  <c r="L70" i="4"/>
  <c r="K70" i="4"/>
  <c r="J70" i="4"/>
  <c r="J69" i="4"/>
  <c r="O68" i="4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6" i="4"/>
  <c r="N56" i="4"/>
  <c r="M56" i="4"/>
  <c r="L56" i="4"/>
  <c r="K56" i="4"/>
  <c r="J56" i="4"/>
  <c r="O55" i="4"/>
  <c r="N55" i="4"/>
  <c r="M55" i="4"/>
  <c r="L55" i="4"/>
  <c r="K55" i="4"/>
  <c r="J55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M50" i="4"/>
  <c r="L50" i="4"/>
  <c r="K50" i="4"/>
  <c r="J50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M45" i="4"/>
  <c r="L45" i="4"/>
  <c r="K45" i="4"/>
  <c r="J45" i="4"/>
  <c r="M40" i="4"/>
  <c r="N40" i="4"/>
  <c r="O40" i="4"/>
  <c r="L40" i="4"/>
  <c r="K40" i="4"/>
  <c r="AN84" i="13"/>
  <c r="AN81" i="13"/>
  <c r="AN79" i="13"/>
  <c r="AN78" i="13"/>
  <c r="AN77" i="13"/>
  <c r="AN76" i="13"/>
  <c r="Z36" i="15"/>
  <c r="Z9" i="15"/>
  <c r="Z13" i="15"/>
  <c r="Z17" i="15"/>
  <c r="Z20" i="15"/>
  <c r="Z23" i="15"/>
  <c r="Z27" i="15"/>
  <c r="Z30" i="15"/>
  <c r="Z33" i="15"/>
  <c r="AN70" i="13"/>
  <c r="AN56" i="13"/>
  <c r="AK38" i="13"/>
  <c r="AJ38" i="13"/>
  <c r="AI38" i="13"/>
  <c r="AK35" i="13"/>
  <c r="AJ35" i="13"/>
  <c r="AI35" i="13"/>
  <c r="AJ32" i="13"/>
  <c r="AK32" i="13"/>
  <c r="AI32" i="13"/>
  <c r="AE89" i="13"/>
  <c r="U35" i="15"/>
  <c r="U32" i="15"/>
  <c r="U29" i="15"/>
  <c r="U26" i="15"/>
  <c r="U22" i="15"/>
  <c r="U19" i="15"/>
  <c r="U16" i="15"/>
  <c r="U12" i="15"/>
  <c r="U8" i="15"/>
  <c r="AE62" i="13"/>
  <c r="AE55" i="13"/>
  <c r="AE57" i="13"/>
  <c r="AI57" i="13" s="1"/>
  <c r="AJ57" i="13" s="1"/>
  <c r="AE44" i="13"/>
  <c r="AE45" i="13"/>
  <c r="AG14" i="13" l="1"/>
  <c r="AJ41" i="13"/>
  <c r="AJ45" i="13" s="1"/>
  <c r="AK41" i="13"/>
  <c r="AJ44" i="13"/>
  <c r="AJ46" i="13" s="1"/>
  <c r="AJ51" i="13"/>
  <c r="AJ49" i="13"/>
  <c r="AJ50" i="13"/>
  <c r="AN58" i="13"/>
  <c r="AN83" i="13"/>
  <c r="O87" i="4"/>
  <c r="AP55" i="13" s="1"/>
  <c r="N87" i="4"/>
  <c r="AO55" i="13" s="1"/>
  <c r="AK57" i="13"/>
  <c r="AI41" i="13"/>
  <c r="AE49" i="13"/>
  <c r="AE50" i="13"/>
  <c r="AE51" i="13"/>
  <c r="AE38" i="13"/>
  <c r="AE35" i="13"/>
  <c r="AE32" i="13"/>
  <c r="O28" i="4"/>
  <c r="O27" i="4"/>
  <c r="AD15" i="13"/>
  <c r="AD12" i="13"/>
  <c r="AJ68" i="13" l="1"/>
  <c r="AJ75" i="13"/>
  <c r="AK50" i="13"/>
  <c r="AK51" i="13"/>
  <c r="AK49" i="13"/>
  <c r="AK68" i="13"/>
  <c r="AK45" i="13"/>
  <c r="AK44" i="13"/>
  <c r="AK46" i="13" s="1"/>
  <c r="AK75" i="13"/>
  <c r="AJ52" i="13"/>
  <c r="AJ47" i="13"/>
  <c r="AI45" i="13"/>
  <c r="AI68" i="13"/>
  <c r="AI50" i="13"/>
  <c r="AI75" i="13"/>
  <c r="AI44" i="13"/>
  <c r="AI51" i="13"/>
  <c r="AI49" i="13"/>
  <c r="AL57" i="13"/>
  <c r="AE33" i="13"/>
  <c r="AL32" i="13"/>
  <c r="AE36" i="13"/>
  <c r="AL35" i="13"/>
  <c r="AN35" i="13" s="1"/>
  <c r="AE39" i="13"/>
  <c r="AL38" i="13"/>
  <c r="AN38" i="13" s="1"/>
  <c r="AD39" i="13"/>
  <c r="AD36" i="13"/>
  <c r="AD33" i="13"/>
  <c r="AK47" i="13" l="1"/>
  <c r="AK52" i="13"/>
  <c r="AN57" i="13"/>
  <c r="X6" i="15"/>
  <c r="W6" i="15"/>
  <c r="V6" i="15"/>
  <c r="AI46" i="13"/>
  <c r="AL41" i="13"/>
  <c r="AN32" i="13"/>
  <c r="AD58" i="13"/>
  <c r="AC41" i="13"/>
  <c r="AJ42" i="13" s="1"/>
  <c r="Z98" i="13"/>
  <c r="AC12" i="13"/>
  <c r="AC15" i="13"/>
  <c r="AB15" i="13"/>
  <c r="AB12" i="13"/>
  <c r="AB84" i="13"/>
  <c r="AC83" i="13"/>
  <c r="AC82" i="13"/>
  <c r="AC81" i="13"/>
  <c r="AC76" i="13"/>
  <c r="AC75" i="13"/>
  <c r="AC71" i="13"/>
  <c r="AC70" i="13"/>
  <c r="AC69" i="13"/>
  <c r="AC68" i="13"/>
  <c r="AC58" i="13"/>
  <c r="AC39" i="13"/>
  <c r="AC36" i="13"/>
  <c r="AC33" i="13"/>
  <c r="AB80" i="13"/>
  <c r="AB77" i="13"/>
  <c r="AB72" i="13"/>
  <c r="AB58" i="13"/>
  <c r="AB56" i="13"/>
  <c r="AE56" i="13" s="1"/>
  <c r="AB33" i="13"/>
  <c r="AB36" i="13"/>
  <c r="AB39" i="13"/>
  <c r="AL51" i="13" l="1"/>
  <c r="AN51" i="13" s="1"/>
  <c r="AL44" i="13"/>
  <c r="AL50" i="13"/>
  <c r="AN50" i="13" s="1"/>
  <c r="AL68" i="13"/>
  <c r="AN68" i="13" s="1"/>
  <c r="AL49" i="13"/>
  <c r="AN49" i="13" s="1"/>
  <c r="AL45" i="13"/>
  <c r="AN45" i="13" s="1"/>
  <c r="AL75" i="13"/>
  <c r="AN75" i="13" s="1"/>
  <c r="Y5" i="15"/>
  <c r="X26" i="15"/>
  <c r="X29" i="15"/>
  <c r="X32" i="15"/>
  <c r="X22" i="15"/>
  <c r="X24" i="15" s="1"/>
  <c r="X35" i="15"/>
  <c r="X12" i="15"/>
  <c r="X14" i="15" s="1"/>
  <c r="AI47" i="13"/>
  <c r="AI52" i="13"/>
  <c r="V35" i="15"/>
  <c r="V29" i="15"/>
  <c r="V12" i="15"/>
  <c r="V14" i="15" s="1"/>
  <c r="V32" i="15"/>
  <c r="V22" i="15"/>
  <c r="V24" i="15" s="1"/>
  <c r="V26" i="15"/>
  <c r="W26" i="15"/>
  <c r="W29" i="15"/>
  <c r="W32" i="15"/>
  <c r="W12" i="15"/>
  <c r="W14" i="15" s="1"/>
  <c r="W22" i="15"/>
  <c r="W24" i="15" s="1"/>
  <c r="W35" i="15"/>
  <c r="AD81" i="13"/>
  <c r="AE81" i="13" s="1"/>
  <c r="AG81" i="13" s="1"/>
  <c r="AD69" i="13"/>
  <c r="AE69" i="13" s="1"/>
  <c r="AI69" i="13" s="1"/>
  <c r="AD70" i="13"/>
  <c r="AE70" i="13" s="1"/>
  <c r="AD82" i="13"/>
  <c r="AE82" i="13" s="1"/>
  <c r="AD71" i="13"/>
  <c r="AE71" i="13" s="1"/>
  <c r="AI71" i="13" s="1"/>
  <c r="AD76" i="13"/>
  <c r="AE76" i="13" s="1"/>
  <c r="AE58" i="13"/>
  <c r="AD68" i="13"/>
  <c r="AE68" i="13" s="1"/>
  <c r="AD83" i="13"/>
  <c r="AE83" i="13" s="1"/>
  <c r="AC72" i="13"/>
  <c r="AD72" i="13" s="1"/>
  <c r="AC84" i="13"/>
  <c r="AD75" i="13"/>
  <c r="AE75" i="13" s="1"/>
  <c r="AC80" i="13"/>
  <c r="AD80" i="13" s="1"/>
  <c r="AC77" i="13"/>
  <c r="AD77" i="13" s="1"/>
  <c r="AG79" i="13"/>
  <c r="Z14" i="13"/>
  <c r="AG15" i="13" s="1"/>
  <c r="Z11" i="13"/>
  <c r="X15" i="13"/>
  <c r="X12" i="13"/>
  <c r="AJ69" i="13" l="1"/>
  <c r="AJ71" i="13"/>
  <c r="AK71" i="13" s="1"/>
  <c r="AL71" i="13" s="1"/>
  <c r="AG82" i="13"/>
  <c r="AI82" i="13"/>
  <c r="AL46" i="13"/>
  <c r="AL52" i="13" s="1"/>
  <c r="AN44" i="13"/>
  <c r="Y6" i="15"/>
  <c r="Y8" i="15"/>
  <c r="Y10" i="15" s="1"/>
  <c r="Y16" i="15"/>
  <c r="Y19" i="15"/>
  <c r="AI93" i="13"/>
  <c r="AE77" i="13"/>
  <c r="AE72" i="13"/>
  <c r="AE80" i="13"/>
  <c r="AG80" i="13" s="1"/>
  <c r="AD84" i="13"/>
  <c r="AE84" i="13" s="1"/>
  <c r="B89" i="4"/>
  <c r="J40" i="4"/>
  <c r="W58" i="13"/>
  <c r="X57" i="13"/>
  <c r="X56" i="13"/>
  <c r="X55" i="13"/>
  <c r="AG78" i="13"/>
  <c r="W39" i="13"/>
  <c r="V39" i="13"/>
  <c r="W12" i="13"/>
  <c r="B44" i="4"/>
  <c r="AJ82" i="13" l="1"/>
  <c r="AK82" i="13" s="1"/>
  <c r="AL82" i="13" s="1"/>
  <c r="AK69" i="13"/>
  <c r="AJ93" i="13"/>
  <c r="AN71" i="13"/>
  <c r="AL47" i="13"/>
  <c r="Y12" i="15"/>
  <c r="Y14" i="15" s="1"/>
  <c r="Y32" i="15"/>
  <c r="Y26" i="15"/>
  <c r="Y22" i="15"/>
  <c r="Y24" i="15" s="1"/>
  <c r="Y29" i="15"/>
  <c r="Y35" i="15"/>
  <c r="AI94" i="13"/>
  <c r="J87" i="4"/>
  <c r="AI55" i="13" s="1"/>
  <c r="AG56" i="13"/>
  <c r="AD41" i="13"/>
  <c r="AK42" i="13" s="1"/>
  <c r="AB41" i="13"/>
  <c r="L87" i="4"/>
  <c r="AK55" i="13" s="1"/>
  <c r="AK59" i="13" s="1"/>
  <c r="AG76" i="13"/>
  <c r="AG70" i="13"/>
  <c r="M87" i="4"/>
  <c r="AL55" i="13" s="1"/>
  <c r="AL59" i="13" s="1"/>
  <c r="AI59" i="13" l="1"/>
  <c r="AK60" i="13"/>
  <c r="AK62" i="13"/>
  <c r="AK63" i="13" s="1"/>
  <c r="Y38" i="15"/>
  <c r="AJ94" i="13"/>
  <c r="AL69" i="13"/>
  <c r="AK93" i="13"/>
  <c r="AN82" i="13"/>
  <c r="AL62" i="13"/>
  <c r="AL63" i="13" s="1"/>
  <c r="AL60" i="13"/>
  <c r="AI42" i="13"/>
  <c r="AG55" i="13"/>
  <c r="AG77" i="13"/>
  <c r="V12" i="13"/>
  <c r="W15" i="13"/>
  <c r="V15" i="13"/>
  <c r="W33" i="13"/>
  <c r="V83" i="13"/>
  <c r="V82" i="13"/>
  <c r="V81" i="13"/>
  <c r="V80" i="13"/>
  <c r="V76" i="13"/>
  <c r="V75" i="13"/>
  <c r="V71" i="13"/>
  <c r="V70" i="13"/>
  <c r="V69" i="13"/>
  <c r="V68" i="13"/>
  <c r="V58" i="13"/>
  <c r="V36" i="13"/>
  <c r="V33" i="13"/>
  <c r="U79" i="13"/>
  <c r="AK64" i="13" l="1"/>
  <c r="AK67" i="13"/>
  <c r="AI60" i="13"/>
  <c r="AI62" i="13"/>
  <c r="AI63" i="13" s="1"/>
  <c r="AI64" i="13" s="1"/>
  <c r="AK94" i="13"/>
  <c r="AL93" i="13"/>
  <c r="AN69" i="13"/>
  <c r="AL67" i="13"/>
  <c r="AL64" i="13"/>
  <c r="AD46" i="13"/>
  <c r="AD52" i="13" s="1"/>
  <c r="AD53" i="13" s="1"/>
  <c r="AC46" i="13"/>
  <c r="AC52" i="13" s="1"/>
  <c r="AG57" i="13"/>
  <c r="Q6" i="15"/>
  <c r="S6" i="15"/>
  <c r="R6" i="15"/>
  <c r="W69" i="13"/>
  <c r="X69" i="13" s="1"/>
  <c r="W70" i="13"/>
  <c r="X70" i="13" s="1"/>
  <c r="W71" i="13"/>
  <c r="X71" i="13" s="1"/>
  <c r="AB46" i="13"/>
  <c r="AB52" i="13" s="1"/>
  <c r="W83" i="13"/>
  <c r="V79" i="13"/>
  <c r="W79" i="13" s="1"/>
  <c r="W75" i="13"/>
  <c r="W81" i="13"/>
  <c r="X81" i="13" s="1"/>
  <c r="W82" i="13"/>
  <c r="W68" i="13"/>
  <c r="X68" i="13" s="1"/>
  <c r="W76" i="13"/>
  <c r="X76" i="13" s="1"/>
  <c r="W80" i="13"/>
  <c r="X80" i="13" s="1"/>
  <c r="V41" i="13"/>
  <c r="AC42" i="13" s="1"/>
  <c r="F44" i="4"/>
  <c r="Z89" i="13"/>
  <c r="AB89" i="13" s="1"/>
  <c r="AG89" i="13" s="1"/>
  <c r="AI89" i="13" s="1"/>
  <c r="AJ89" i="13" s="1"/>
  <c r="AK89" i="13" s="1"/>
  <c r="AL89" i="13" s="1"/>
  <c r="AN89" i="13" s="1"/>
  <c r="L89" i="13"/>
  <c r="S89" i="13"/>
  <c r="U12" i="13"/>
  <c r="AI67" i="13" l="1"/>
  <c r="AL94" i="13"/>
  <c r="R14" i="15"/>
  <c r="R24" i="15"/>
  <c r="S14" i="15"/>
  <c r="S24" i="15"/>
  <c r="S27" i="15"/>
  <c r="S30" i="15"/>
  <c r="S33" i="15"/>
  <c r="S36" i="15"/>
  <c r="S13" i="15"/>
  <c r="S23" i="15"/>
  <c r="R33" i="15"/>
  <c r="R30" i="15"/>
  <c r="R27" i="15"/>
  <c r="R13" i="15"/>
  <c r="R23" i="15"/>
  <c r="R36" i="15"/>
  <c r="Q36" i="15"/>
  <c r="Q14" i="15"/>
  <c r="Q33" i="15"/>
  <c r="Q13" i="15"/>
  <c r="Q30" i="15"/>
  <c r="Q23" i="15"/>
  <c r="Q27" i="15"/>
  <c r="Q24" i="15"/>
  <c r="X75" i="13"/>
  <c r="AD47" i="13"/>
  <c r="AC47" i="13"/>
  <c r="X83" i="13"/>
  <c r="AG83" i="13" s="1"/>
  <c r="AC93" i="13"/>
  <c r="AJ95" i="13" s="1"/>
  <c r="AC59" i="13"/>
  <c r="AC53" i="13"/>
  <c r="AD59" i="13"/>
  <c r="X82" i="13"/>
  <c r="AB93" i="13"/>
  <c r="AI95" i="13" s="1"/>
  <c r="AB47" i="13"/>
  <c r="X79" i="13"/>
  <c r="AO89" i="13"/>
  <c r="AP89" i="13" s="1"/>
  <c r="I44" i="4"/>
  <c r="AD93" i="13" l="1"/>
  <c r="AG69" i="13"/>
  <c r="AO69" i="13" s="1"/>
  <c r="AP69" i="13" s="1"/>
  <c r="AG71" i="13"/>
  <c r="AD60" i="13"/>
  <c r="AD63" i="13"/>
  <c r="AC63" i="13"/>
  <c r="AC60" i="13"/>
  <c r="AC94" i="13"/>
  <c r="AB94" i="13"/>
  <c r="AB53" i="13"/>
  <c r="U15" i="13"/>
  <c r="U84" i="13"/>
  <c r="U77" i="13"/>
  <c r="U72" i="13"/>
  <c r="U58" i="13"/>
  <c r="X58" i="13" s="1"/>
  <c r="AG58" i="13" s="1"/>
  <c r="U36" i="13"/>
  <c r="U39" i="13"/>
  <c r="U33" i="13"/>
  <c r="AD94" i="13" l="1"/>
  <c r="AK95" i="13"/>
  <c r="AD67" i="13"/>
  <c r="AD73" i="13" s="1"/>
  <c r="AD64" i="13"/>
  <c r="AC64" i="13"/>
  <c r="AC67" i="13"/>
  <c r="V84" i="13"/>
  <c r="V77" i="13"/>
  <c r="W77" i="13" s="1"/>
  <c r="AB59" i="13"/>
  <c r="V72" i="13"/>
  <c r="W72" i="13" s="1"/>
  <c r="G12" i="13"/>
  <c r="H12" i="13"/>
  <c r="I12" i="13"/>
  <c r="J12" i="13"/>
  <c r="Q12" i="13"/>
  <c r="P12" i="13"/>
  <c r="O12" i="13"/>
  <c r="N12" i="13"/>
  <c r="S14" i="13"/>
  <c r="Z15" i="13" s="1"/>
  <c r="L14" i="13"/>
  <c r="S11" i="13"/>
  <c r="Z12" i="13" s="1"/>
  <c r="L11" i="13"/>
  <c r="L12" i="13" s="1"/>
  <c r="D148" i="4"/>
  <c r="Z81" i="13"/>
  <c r="Z79" i="13"/>
  <c r="Z78" i="13"/>
  <c r="Z76" i="13"/>
  <c r="Z70" i="13"/>
  <c r="AO57" i="13"/>
  <c r="AP57" i="13" s="1"/>
  <c r="Z56" i="13"/>
  <c r="S79" i="13"/>
  <c r="S78" i="13"/>
  <c r="Q62" i="13"/>
  <c r="S62" i="13" s="1"/>
  <c r="Q57" i="13"/>
  <c r="S57" i="13" s="1"/>
  <c r="Q56" i="13"/>
  <c r="S56" i="13" s="1"/>
  <c r="Q55" i="13"/>
  <c r="S55" i="13" s="1"/>
  <c r="Q51" i="13"/>
  <c r="S51" i="13" s="1"/>
  <c r="Q50" i="13"/>
  <c r="S50" i="13" s="1"/>
  <c r="Q49" i="13"/>
  <c r="S49" i="13" s="1"/>
  <c r="Q45" i="13"/>
  <c r="S45" i="13" s="1"/>
  <c r="Q44" i="13"/>
  <c r="S44" i="13" s="1"/>
  <c r="J15" i="13"/>
  <c r="I15" i="13"/>
  <c r="H15" i="13"/>
  <c r="G15" i="13"/>
  <c r="Q15" i="13"/>
  <c r="P15" i="13"/>
  <c r="O15" i="13"/>
  <c r="N15" i="13"/>
  <c r="Q38" i="13"/>
  <c r="X39" i="13" s="1"/>
  <c r="Q35" i="13"/>
  <c r="Q32" i="13"/>
  <c r="X33" i="13" s="1"/>
  <c r="J38" i="13"/>
  <c r="J35" i="13"/>
  <c r="J32" i="13"/>
  <c r="B98" i="13"/>
  <c r="C98" i="13"/>
  <c r="D98" i="13"/>
  <c r="E98" i="13"/>
  <c r="L98" i="13"/>
  <c r="W84" i="13" l="1"/>
  <c r="X77" i="13"/>
  <c r="Z77" i="13" s="1"/>
  <c r="X72" i="13"/>
  <c r="AB63" i="13"/>
  <c r="AB60" i="13"/>
  <c r="S35" i="13"/>
  <c r="X36" i="13"/>
  <c r="AG32" i="13"/>
  <c r="AN33" i="13" s="1"/>
  <c r="Q39" i="13"/>
  <c r="S38" i="13"/>
  <c r="AG38" i="13"/>
  <c r="AN39" i="13" s="1"/>
  <c r="Q33" i="13"/>
  <c r="Q41" i="13"/>
  <c r="Q46" i="13" s="1"/>
  <c r="Q52" i="13" s="1"/>
  <c r="Q53" i="13" s="1"/>
  <c r="Q36" i="13"/>
  <c r="S32" i="13"/>
  <c r="AG35" i="13"/>
  <c r="AN36" i="13" s="1"/>
  <c r="Z83" i="13"/>
  <c r="Z57" i="13"/>
  <c r="S12" i="13"/>
  <c r="Z38" i="13"/>
  <c r="Z80" i="13"/>
  <c r="S15" i="13"/>
  <c r="L15" i="13"/>
  <c r="Z82" i="13"/>
  <c r="J6" i="15"/>
  <c r="J24" i="15" s="1"/>
  <c r="X84" i="13" l="1"/>
  <c r="AG84" i="13" s="1"/>
  <c r="AB67" i="13"/>
  <c r="AB64" i="13"/>
  <c r="AG39" i="13"/>
  <c r="AG41" i="13"/>
  <c r="AE41" i="13"/>
  <c r="X41" i="13"/>
  <c r="S41" i="13"/>
  <c r="S46" i="13" s="1"/>
  <c r="S47" i="13" s="1"/>
  <c r="Z39" i="13"/>
  <c r="Z55" i="13"/>
  <c r="J33" i="15"/>
  <c r="K33" i="15" s="1"/>
  <c r="J14" i="15"/>
  <c r="J27" i="15"/>
  <c r="K27" i="15" s="1"/>
  <c r="J36" i="15"/>
  <c r="K36" i="15" s="1"/>
  <c r="J23" i="15"/>
  <c r="K23" i="15" s="1"/>
  <c r="J30" i="15"/>
  <c r="K30" i="15" s="1"/>
  <c r="J13" i="15"/>
  <c r="K13" i="15" s="1"/>
  <c r="X5" i="15" l="1"/>
  <c r="W5" i="15"/>
  <c r="V5" i="15"/>
  <c r="AL42" i="13"/>
  <c r="S5" i="15"/>
  <c r="S10" i="15" s="1"/>
  <c r="AO38" i="13"/>
  <c r="AP38" i="13" s="1"/>
  <c r="AG68" i="13"/>
  <c r="AG49" i="13"/>
  <c r="AG45" i="13"/>
  <c r="AG50" i="13"/>
  <c r="AG51" i="13"/>
  <c r="T5" i="15"/>
  <c r="T10" i="15" s="1"/>
  <c r="U5" i="15"/>
  <c r="U10" i="15" s="1"/>
  <c r="X46" i="13"/>
  <c r="AE42" i="13"/>
  <c r="X42" i="13"/>
  <c r="S52" i="13"/>
  <c r="S53" i="13" s="1"/>
  <c r="F38" i="15"/>
  <c r="E38" i="15"/>
  <c r="D38" i="15"/>
  <c r="B38" i="15"/>
  <c r="C38" i="15"/>
  <c r="C6" i="15"/>
  <c r="C33" i="15" s="1"/>
  <c r="D6" i="15"/>
  <c r="D33" i="15" s="1"/>
  <c r="E6" i="15"/>
  <c r="E30" i="15" s="1"/>
  <c r="B6" i="15"/>
  <c r="B24" i="15" s="1"/>
  <c r="P58" i="13"/>
  <c r="O83" i="13"/>
  <c r="O82" i="13"/>
  <c r="O81" i="13"/>
  <c r="O80" i="13"/>
  <c r="O76" i="13"/>
  <c r="O75" i="13"/>
  <c r="O71" i="13"/>
  <c r="O70" i="13"/>
  <c r="O69" i="13"/>
  <c r="O68" i="13"/>
  <c r="O58" i="13"/>
  <c r="N84" i="13"/>
  <c r="N77" i="13"/>
  <c r="N72" i="13"/>
  <c r="N58" i="13"/>
  <c r="O33" i="13"/>
  <c r="P33" i="13"/>
  <c r="O36" i="13"/>
  <c r="P36" i="13"/>
  <c r="O39" i="13"/>
  <c r="P39" i="13"/>
  <c r="N39" i="13"/>
  <c r="N36" i="13"/>
  <c r="N33" i="13"/>
  <c r="J62" i="13"/>
  <c r="J56" i="13"/>
  <c r="L56" i="13" s="1"/>
  <c r="J55" i="13"/>
  <c r="J57" i="13"/>
  <c r="L57" i="13" s="1"/>
  <c r="J51" i="13"/>
  <c r="J50" i="13"/>
  <c r="J49" i="13"/>
  <c r="J45" i="13"/>
  <c r="L45" i="13" s="1"/>
  <c r="J44" i="13"/>
  <c r="J39" i="13"/>
  <c r="J36" i="13"/>
  <c r="J33" i="13"/>
  <c r="I58" i="13"/>
  <c r="I39" i="13"/>
  <c r="I36" i="13"/>
  <c r="I33" i="13"/>
  <c r="H76" i="13"/>
  <c r="I76" i="13" s="1"/>
  <c r="H75" i="13"/>
  <c r="H83" i="13"/>
  <c r="I83" i="13" s="1"/>
  <c r="H82" i="13"/>
  <c r="I82" i="13" s="1"/>
  <c r="J82" i="13" s="1"/>
  <c r="H81" i="13"/>
  <c r="I81" i="13" s="1"/>
  <c r="H80" i="13"/>
  <c r="I80" i="13" s="1"/>
  <c r="H68" i="13"/>
  <c r="H71" i="13"/>
  <c r="H70" i="13"/>
  <c r="H69" i="13"/>
  <c r="I69" i="13" s="1"/>
  <c r="L78" i="13"/>
  <c r="H58" i="13"/>
  <c r="H39" i="13"/>
  <c r="H36" i="13"/>
  <c r="H33" i="13"/>
  <c r="G84" i="13"/>
  <c r="H84" i="13" s="1"/>
  <c r="G77" i="13"/>
  <c r="H77" i="13" s="1"/>
  <c r="G72" i="13"/>
  <c r="H72" i="13" s="1"/>
  <c r="G58" i="13"/>
  <c r="G39" i="13"/>
  <c r="G36" i="13"/>
  <c r="G33" i="13"/>
  <c r="E84" i="13"/>
  <c r="E77" i="13"/>
  <c r="E72" i="13"/>
  <c r="E58" i="13"/>
  <c r="D84" i="13"/>
  <c r="D77" i="13"/>
  <c r="D76" i="13"/>
  <c r="D72" i="13"/>
  <c r="D58" i="13"/>
  <c r="C84" i="13"/>
  <c r="C77" i="13"/>
  <c r="C72" i="13"/>
  <c r="C58" i="13"/>
  <c r="V19" i="15" l="1"/>
  <c r="V8" i="15"/>
  <c r="V16" i="15"/>
  <c r="W8" i="15"/>
  <c r="W16" i="15"/>
  <c r="W19" i="15"/>
  <c r="X16" i="15"/>
  <c r="X19" i="15"/>
  <c r="X8" i="15"/>
  <c r="U20" i="15"/>
  <c r="U17" i="15"/>
  <c r="T20" i="15"/>
  <c r="T17" i="15"/>
  <c r="T9" i="15"/>
  <c r="S20" i="15"/>
  <c r="S17" i="15"/>
  <c r="S9" i="15"/>
  <c r="AG75" i="13"/>
  <c r="S38" i="15"/>
  <c r="U6" i="15"/>
  <c r="T6" i="15"/>
  <c r="AG44" i="13"/>
  <c r="AE46" i="13"/>
  <c r="AE52" i="13" s="1"/>
  <c r="AE93" i="13" s="1"/>
  <c r="X47" i="13"/>
  <c r="X52" i="13"/>
  <c r="X53" i="13" s="1"/>
  <c r="Q58" i="13"/>
  <c r="P69" i="13"/>
  <c r="Q69" i="13" s="1"/>
  <c r="P71" i="13"/>
  <c r="Q71" i="13" s="1"/>
  <c r="P76" i="13"/>
  <c r="Q76" i="13" s="1"/>
  <c r="O77" i="13"/>
  <c r="P77" i="13" s="1"/>
  <c r="Q77" i="13" s="1"/>
  <c r="P80" i="13"/>
  <c r="Q80" i="13" s="1"/>
  <c r="P81" i="13"/>
  <c r="Q81" i="13" s="1"/>
  <c r="P70" i="13"/>
  <c r="Q70" i="13" s="1"/>
  <c r="P75" i="13"/>
  <c r="Q75" i="13" s="1"/>
  <c r="P82" i="13"/>
  <c r="Q82" i="13" s="1"/>
  <c r="P68" i="13"/>
  <c r="Q68" i="13" s="1"/>
  <c r="P83" i="13"/>
  <c r="Q83" i="13" s="1"/>
  <c r="B14" i="15"/>
  <c r="J58" i="13"/>
  <c r="B36" i="15"/>
  <c r="B33" i="15"/>
  <c r="I72" i="13"/>
  <c r="J72" i="13" s="1"/>
  <c r="O72" i="13"/>
  <c r="P72" i="13" s="1"/>
  <c r="O84" i="13"/>
  <c r="P84" i="13" s="1"/>
  <c r="J69" i="13"/>
  <c r="J83" i="13"/>
  <c r="I68" i="13"/>
  <c r="J68" i="13" s="1"/>
  <c r="B13" i="15"/>
  <c r="J81" i="13"/>
  <c r="I75" i="13"/>
  <c r="J75" i="13" s="1"/>
  <c r="H6" i="15"/>
  <c r="B27" i="15"/>
  <c r="I84" i="13"/>
  <c r="J84" i="13" s="1"/>
  <c r="J80" i="13"/>
  <c r="B30" i="15"/>
  <c r="I70" i="13"/>
  <c r="I71" i="13"/>
  <c r="J71" i="13" s="1"/>
  <c r="I77" i="13"/>
  <c r="J77" i="13" s="1"/>
  <c r="J76" i="13"/>
  <c r="G6" i="15"/>
  <c r="B23" i="15"/>
  <c r="I6" i="15"/>
  <c r="D36" i="15"/>
  <c r="C36" i="15"/>
  <c r="E36" i="15"/>
  <c r="E33" i="15"/>
  <c r="C30" i="15"/>
  <c r="D30" i="15"/>
  <c r="B84" i="13"/>
  <c r="B80" i="13"/>
  <c r="B77" i="13"/>
  <c r="B72" i="13"/>
  <c r="B58" i="13"/>
  <c r="L50" i="13"/>
  <c r="L51" i="13"/>
  <c r="W10" i="15" l="1"/>
  <c r="W38" i="15"/>
  <c r="AL95" i="13"/>
  <c r="V10" i="15"/>
  <c r="V38" i="15"/>
  <c r="X10" i="15"/>
  <c r="X38" i="15"/>
  <c r="T14" i="15"/>
  <c r="T24" i="15"/>
  <c r="U24" i="15"/>
  <c r="U14" i="15"/>
  <c r="T33" i="15"/>
  <c r="T27" i="15"/>
  <c r="T36" i="15"/>
  <c r="T30" i="15"/>
  <c r="T13" i="15"/>
  <c r="T23" i="15"/>
  <c r="U30" i="15"/>
  <c r="U27" i="15"/>
  <c r="U36" i="15"/>
  <c r="U23" i="15"/>
  <c r="U13" i="15"/>
  <c r="U33" i="15"/>
  <c r="AG46" i="13"/>
  <c r="AG52" i="13" s="1"/>
  <c r="AG93" i="13" s="1"/>
  <c r="AE94" i="13"/>
  <c r="AE47" i="13"/>
  <c r="AE59" i="13"/>
  <c r="AE53" i="13"/>
  <c r="S71" i="13"/>
  <c r="S70" i="13"/>
  <c r="S76" i="13"/>
  <c r="S80" i="13"/>
  <c r="S58" i="13"/>
  <c r="S59" i="13" s="1"/>
  <c r="S68" i="13"/>
  <c r="X93" i="13"/>
  <c r="S75" i="13"/>
  <c r="S77" i="13"/>
  <c r="S69" i="13"/>
  <c r="S83" i="13"/>
  <c r="Q93" i="13"/>
  <c r="S82" i="13"/>
  <c r="S81" i="13"/>
  <c r="Q72" i="13"/>
  <c r="S72" i="13" s="1"/>
  <c r="Q84" i="13"/>
  <c r="J70" i="13"/>
  <c r="L70" i="13" s="1"/>
  <c r="L77" i="13"/>
  <c r="I36" i="15"/>
  <c r="I13" i="15"/>
  <c r="I27" i="15"/>
  <c r="I33" i="15"/>
  <c r="I14" i="15"/>
  <c r="I30" i="15"/>
  <c r="I23" i="15"/>
  <c r="I24" i="15"/>
  <c r="H24" i="15"/>
  <c r="H30" i="15"/>
  <c r="H33" i="15"/>
  <c r="H14" i="15"/>
  <c r="H36" i="15"/>
  <c r="H13" i="15"/>
  <c r="H27" i="15"/>
  <c r="H23" i="15"/>
  <c r="G27" i="15"/>
  <c r="G23" i="15"/>
  <c r="G36" i="15"/>
  <c r="G24" i="15"/>
  <c r="G33" i="15"/>
  <c r="G14" i="15"/>
  <c r="G30" i="15"/>
  <c r="G13" i="15"/>
  <c r="P41" i="13"/>
  <c r="O41" i="13"/>
  <c r="V42" i="13" s="1"/>
  <c r="N41" i="13"/>
  <c r="J41" i="13"/>
  <c r="Q42" i="13" s="1"/>
  <c r="I41" i="13"/>
  <c r="H41" i="13"/>
  <c r="G41" i="13"/>
  <c r="C41" i="13"/>
  <c r="D41" i="13"/>
  <c r="B41" i="13"/>
  <c r="G38" i="15"/>
  <c r="C39" i="13"/>
  <c r="C36" i="13"/>
  <c r="C33" i="13"/>
  <c r="D46" i="4" l="1"/>
  <c r="D47" i="4"/>
  <c r="D48" i="4"/>
  <c r="W39" i="15"/>
  <c r="AJ72" i="13" s="1"/>
  <c r="X39" i="15"/>
  <c r="AK72" i="13" s="1"/>
  <c r="AK73" i="13" s="1"/>
  <c r="AK85" i="13" s="1"/>
  <c r="Y39" i="15"/>
  <c r="AL72" i="13" s="1"/>
  <c r="AL73" i="13" s="1"/>
  <c r="AL85" i="13" s="1"/>
  <c r="AG47" i="13"/>
  <c r="AE95" i="13"/>
  <c r="AG59" i="13"/>
  <c r="AG60" i="13" s="1"/>
  <c r="AG53" i="13"/>
  <c r="T38" i="15"/>
  <c r="T39" i="15" s="1"/>
  <c r="AG94" i="13"/>
  <c r="AG62" i="13"/>
  <c r="AE60" i="13"/>
  <c r="S93" i="13"/>
  <c r="S94" i="13" s="1"/>
  <c r="Z69" i="13"/>
  <c r="S63" i="13"/>
  <c r="S60" i="13"/>
  <c r="X95" i="13"/>
  <c r="X94" i="13"/>
  <c r="S84" i="13"/>
  <c r="Z71" i="13"/>
  <c r="J5" i="15"/>
  <c r="P46" i="13"/>
  <c r="P47" i="13" s="1"/>
  <c r="I5" i="15"/>
  <c r="G46" i="13"/>
  <c r="G42" i="13"/>
  <c r="H46" i="13"/>
  <c r="H42" i="13"/>
  <c r="I46" i="13"/>
  <c r="I42" i="13"/>
  <c r="J46" i="13"/>
  <c r="N46" i="13"/>
  <c r="N47" i="13" s="1"/>
  <c r="G5" i="15"/>
  <c r="B46" i="13"/>
  <c r="B52" i="13" s="1"/>
  <c r="B93" i="13" s="1"/>
  <c r="B5" i="15"/>
  <c r="O46" i="13"/>
  <c r="H5" i="15"/>
  <c r="D46" i="13"/>
  <c r="D5" i="15"/>
  <c r="D17" i="15" s="1"/>
  <c r="C46" i="13"/>
  <c r="C5" i="15"/>
  <c r="C17" i="15" s="1"/>
  <c r="E27" i="15"/>
  <c r="D27" i="15"/>
  <c r="C27" i="15"/>
  <c r="D24" i="15"/>
  <c r="E24" i="15"/>
  <c r="C24" i="15"/>
  <c r="D14" i="15"/>
  <c r="E14" i="15"/>
  <c r="C14" i="15"/>
  <c r="D13" i="15"/>
  <c r="E13" i="15"/>
  <c r="C13" i="15"/>
  <c r="AG63" i="13" l="1"/>
  <c r="AG64" i="13" s="1"/>
  <c r="D82" i="4"/>
  <c r="D85" i="4"/>
  <c r="D84" i="4"/>
  <c r="D77" i="4"/>
  <c r="D80" i="4"/>
  <c r="D86" i="4"/>
  <c r="D81" i="4"/>
  <c r="D74" i="4"/>
  <c r="D75" i="4"/>
  <c r="D78" i="4"/>
  <c r="D83" i="4"/>
  <c r="D79" i="4"/>
  <c r="D76" i="4"/>
  <c r="AE63" i="13"/>
  <c r="AE67" i="13" s="1"/>
  <c r="AO71" i="13"/>
  <c r="AP71" i="13" s="1"/>
  <c r="S67" i="13"/>
  <c r="S73" i="13" s="1"/>
  <c r="S85" i="13" s="1"/>
  <c r="S64" i="13"/>
  <c r="X59" i="13"/>
  <c r="Z84" i="13"/>
  <c r="J17" i="15"/>
  <c r="K17" i="15" s="1"/>
  <c r="J20" i="15"/>
  <c r="K20" i="15" s="1"/>
  <c r="J9" i="15"/>
  <c r="K9" i="15" s="1"/>
  <c r="J10" i="15"/>
  <c r="C9" i="15"/>
  <c r="D9" i="15"/>
  <c r="K5" i="15"/>
  <c r="B47" i="13"/>
  <c r="D10" i="15"/>
  <c r="D20" i="15"/>
  <c r="B20" i="15"/>
  <c r="B17" i="15"/>
  <c r="B10" i="15"/>
  <c r="B9" i="15"/>
  <c r="I17" i="15"/>
  <c r="I20" i="15"/>
  <c r="G10" i="15"/>
  <c r="G17" i="15"/>
  <c r="G20" i="15"/>
  <c r="G9" i="15"/>
  <c r="C10" i="15"/>
  <c r="H20" i="15"/>
  <c r="H17" i="15"/>
  <c r="C20" i="15"/>
  <c r="P52" i="13"/>
  <c r="N52" i="13"/>
  <c r="O47" i="13"/>
  <c r="O52" i="13"/>
  <c r="O93" i="13" s="1"/>
  <c r="B94" i="13"/>
  <c r="B59" i="13"/>
  <c r="B53" i="13"/>
  <c r="C23" i="15"/>
  <c r="D23" i="15"/>
  <c r="E23" i="15"/>
  <c r="AE73" i="13" l="1"/>
  <c r="AE85" i="13" s="1"/>
  <c r="AG67" i="13"/>
  <c r="AE64" i="13"/>
  <c r="Z58" i="13"/>
  <c r="X63" i="13"/>
  <c r="X60" i="13"/>
  <c r="K8" i="15"/>
  <c r="K10" i="15" s="1"/>
  <c r="K6" i="15"/>
  <c r="K26" i="15" s="1"/>
  <c r="K16" i="15"/>
  <c r="K19" i="15"/>
  <c r="N53" i="13"/>
  <c r="N93" i="13"/>
  <c r="P59" i="13"/>
  <c r="P60" i="13" s="1"/>
  <c r="P93" i="13"/>
  <c r="Q47" i="13"/>
  <c r="N59" i="13"/>
  <c r="N63" i="13" s="1"/>
  <c r="P53" i="13"/>
  <c r="O53" i="13"/>
  <c r="O59" i="13"/>
  <c r="O94" i="13"/>
  <c r="B63" i="13"/>
  <c r="B60" i="13"/>
  <c r="AO58" i="13" l="1"/>
  <c r="AP58" i="13" s="1"/>
  <c r="X67" i="13"/>
  <c r="X64" i="13"/>
  <c r="K32" i="15"/>
  <c r="K29" i="15"/>
  <c r="K35" i="15"/>
  <c r="Q94" i="13"/>
  <c r="K12" i="15"/>
  <c r="K22" i="15"/>
  <c r="K24" i="15" s="1"/>
  <c r="Q59" i="13"/>
  <c r="Q63" i="13" s="1"/>
  <c r="Q64" i="13" s="1"/>
  <c r="N94" i="13"/>
  <c r="P63" i="13"/>
  <c r="P64" i="13" s="1"/>
  <c r="P94" i="13"/>
  <c r="N60" i="13"/>
  <c r="O60" i="13"/>
  <c r="O63" i="13"/>
  <c r="N64" i="13"/>
  <c r="N67" i="13"/>
  <c r="N73" i="13" s="1"/>
  <c r="N85" i="13" s="1"/>
  <c r="B67" i="13"/>
  <c r="B73" i="13" s="1"/>
  <c r="B85" i="13" s="1"/>
  <c r="B88" i="13" s="1"/>
  <c r="B64" i="13"/>
  <c r="C87" i="13" l="1"/>
  <c r="B90" i="13"/>
  <c r="P67" i="13"/>
  <c r="P73" i="13" s="1"/>
  <c r="P85" i="13" s="1"/>
  <c r="K14" i="15"/>
  <c r="K38" i="15"/>
  <c r="Q60" i="13"/>
  <c r="J38" i="15"/>
  <c r="O64" i="13"/>
  <c r="O67" i="13"/>
  <c r="O73" i="13" s="1"/>
  <c r="O85" i="13" s="1"/>
  <c r="B101" i="13" l="1"/>
  <c r="B102" i="13"/>
  <c r="Q67" i="13"/>
  <c r="B41" i="4"/>
  <c r="AN97" i="13" s="1"/>
  <c r="P42" i="13"/>
  <c r="O42" i="13"/>
  <c r="N42" i="13"/>
  <c r="C42" i="13"/>
  <c r="AG97" i="13" l="1"/>
  <c r="B87" i="4"/>
  <c r="AN98" i="13" s="1"/>
  <c r="I47" i="13"/>
  <c r="C47" i="13"/>
  <c r="D52" i="13"/>
  <c r="D93" i="13" s="1"/>
  <c r="G47" i="13"/>
  <c r="H52" i="13"/>
  <c r="H93" i="13" s="1"/>
  <c r="O95" i="13" s="1"/>
  <c r="AG98" i="13" l="1"/>
  <c r="B90" i="4"/>
  <c r="I29" i="4"/>
  <c r="AO97" i="13"/>
  <c r="AP97" i="13" s="1"/>
  <c r="I52" i="13"/>
  <c r="H47" i="13"/>
  <c r="D47" i="13"/>
  <c r="C52" i="13"/>
  <c r="G52" i="13"/>
  <c r="G93" i="13" s="1"/>
  <c r="N95" i="13" s="1"/>
  <c r="H53" i="13"/>
  <c r="D53" i="13"/>
  <c r="D59" i="13"/>
  <c r="L83" i="13"/>
  <c r="L82" i="13"/>
  <c r="L81" i="13"/>
  <c r="L76" i="13"/>
  <c r="L58" i="13"/>
  <c r="C46" i="4" l="1"/>
  <c r="C47" i="4"/>
  <c r="C48" i="4"/>
  <c r="C74" i="4"/>
  <c r="C78" i="4"/>
  <c r="C82" i="4"/>
  <c r="C86" i="4"/>
  <c r="C79" i="4"/>
  <c r="C84" i="4"/>
  <c r="C85" i="4"/>
  <c r="C83" i="4"/>
  <c r="C75" i="4"/>
  <c r="C80" i="4"/>
  <c r="C76" i="4"/>
  <c r="C81" i="4"/>
  <c r="C77" i="4"/>
  <c r="C73" i="4"/>
  <c r="C72" i="4"/>
  <c r="C59" i="13"/>
  <c r="C63" i="13" s="1"/>
  <c r="C67" i="13" s="1"/>
  <c r="C93" i="13"/>
  <c r="I53" i="13"/>
  <c r="I93" i="13"/>
  <c r="P95" i="13" s="1"/>
  <c r="G53" i="13"/>
  <c r="D60" i="13"/>
  <c r="D63" i="13"/>
  <c r="C95" i="13" l="1"/>
  <c r="D95" i="13"/>
  <c r="D64" i="13"/>
  <c r="D67" i="13"/>
  <c r="L35" i="13"/>
  <c r="S36" i="13" s="1"/>
  <c r="L80" i="13" l="1"/>
  <c r="L84" i="13"/>
  <c r="L79" i="13"/>
  <c r="E4" i="13" l="1"/>
  <c r="D33" i="13"/>
  <c r="D36" i="13"/>
  <c r="D39" i="13"/>
  <c r="E33" i="13" l="1"/>
  <c r="D42" i="13"/>
  <c r="H59" i="13"/>
  <c r="H94" i="13"/>
  <c r="L38" i="13"/>
  <c r="S39" i="13" s="1"/>
  <c r="E39" i="13"/>
  <c r="E36" i="13"/>
  <c r="E41" i="13" l="1"/>
  <c r="H63" i="13"/>
  <c r="H67" i="13" s="1"/>
  <c r="G59" i="13"/>
  <c r="G94" i="13"/>
  <c r="C94" i="13"/>
  <c r="C53" i="13"/>
  <c r="L39" i="13"/>
  <c r="D94" i="13"/>
  <c r="H60" i="13"/>
  <c r="E46" i="13" l="1"/>
  <c r="E47" i="13" s="1"/>
  <c r="E5" i="15"/>
  <c r="J42" i="13"/>
  <c r="L68" i="13"/>
  <c r="L75" i="13"/>
  <c r="L49" i="13"/>
  <c r="L69" i="13"/>
  <c r="G60" i="13"/>
  <c r="G63" i="13"/>
  <c r="C60" i="13"/>
  <c r="E42" i="13"/>
  <c r="H64" i="13"/>
  <c r="E17" i="15" l="1"/>
  <c r="E10" i="15"/>
  <c r="E20" i="15"/>
  <c r="E9" i="15"/>
  <c r="E52" i="13"/>
  <c r="G64" i="13"/>
  <c r="G67" i="13"/>
  <c r="G73" i="13" s="1"/>
  <c r="G85" i="13" s="1"/>
  <c r="J47" i="13"/>
  <c r="J52" i="13"/>
  <c r="J93" i="13" s="1"/>
  <c r="Q95" i="13" s="1"/>
  <c r="L44" i="13"/>
  <c r="C73" i="13"/>
  <c r="C85" i="13" s="1"/>
  <c r="C88" i="13" s="1"/>
  <c r="C90" i="13" s="1"/>
  <c r="C64" i="13"/>
  <c r="D73" i="13"/>
  <c r="D85" i="13" s="1"/>
  <c r="H73" i="13"/>
  <c r="H85" i="13" s="1"/>
  <c r="C101" i="13" l="1"/>
  <c r="C102" i="13"/>
  <c r="E93" i="13"/>
  <c r="F6" i="15"/>
  <c r="E59" i="13"/>
  <c r="E63" i="13" s="1"/>
  <c r="E53" i="13"/>
  <c r="J53" i="13"/>
  <c r="D87" i="13"/>
  <c r="D88" i="13" s="1"/>
  <c r="D90" i="13" s="1"/>
  <c r="D101" i="13" l="1"/>
  <c r="D102" i="13"/>
  <c r="E94" i="13"/>
  <c r="E95" i="13"/>
  <c r="E64" i="13"/>
  <c r="E67" i="13"/>
  <c r="F30" i="15"/>
  <c r="F36" i="15"/>
  <c r="F33" i="15"/>
  <c r="F13" i="15"/>
  <c r="F14" i="15"/>
  <c r="E60" i="13"/>
  <c r="E87" i="13"/>
  <c r="J94" i="13"/>
  <c r="E73" i="13" l="1"/>
  <c r="E85" i="13" s="1"/>
  <c r="E88" i="13" s="1"/>
  <c r="E90" i="13" s="1"/>
  <c r="E101" i="13" l="1"/>
  <c r="E102" i="13"/>
  <c r="L87" i="13"/>
  <c r="L71" i="13"/>
  <c r="L55" i="13"/>
  <c r="G87" i="13"/>
  <c r="G88" i="13" s="1"/>
  <c r="H87" i="13" l="1"/>
  <c r="H88" i="13" s="1"/>
  <c r="G90" i="13"/>
  <c r="I87" i="13" l="1"/>
  <c r="H90" i="13"/>
  <c r="J59" i="13"/>
  <c r="J63" i="13" l="1"/>
  <c r="J67" i="13" s="1"/>
  <c r="J60" i="13"/>
  <c r="L62" i="13" l="1"/>
  <c r="J64" i="13"/>
  <c r="A93" i="4" l="1"/>
  <c r="I145" i="4"/>
  <c r="I146" i="4"/>
  <c r="I147" i="4"/>
  <c r="G145" i="4"/>
  <c r="G146" i="4"/>
  <c r="G147" i="4"/>
  <c r="G148" i="4" l="1"/>
  <c r="I148" i="4"/>
  <c r="G150" i="4" l="1"/>
  <c r="I150" i="4" s="1"/>
  <c r="I151" i="4" s="1"/>
  <c r="I28" i="4"/>
  <c r="C71" i="4" l="1"/>
  <c r="C44" i="4"/>
  <c r="C50" i="4"/>
  <c r="C68" i="4"/>
  <c r="C66" i="4"/>
  <c r="C51" i="4"/>
  <c r="C55" i="4"/>
  <c r="C60" i="4"/>
  <c r="C62" i="4"/>
  <c r="C70" i="4"/>
  <c r="C53" i="4"/>
  <c r="C58" i="4"/>
  <c r="C69" i="4"/>
  <c r="C52" i="4"/>
  <c r="C67" i="4"/>
  <c r="C45" i="4"/>
  <c r="C63" i="4"/>
  <c r="C49" i="4"/>
  <c r="C59" i="4"/>
  <c r="C64" i="4"/>
  <c r="C56" i="4"/>
  <c r="C57" i="4"/>
  <c r="C61" i="4"/>
  <c r="C54" i="4"/>
  <c r="C65" i="4"/>
  <c r="C40" i="4"/>
  <c r="C41" i="4"/>
  <c r="I30" i="4"/>
  <c r="G151" i="4"/>
  <c r="C89" i="4"/>
  <c r="C87" i="4"/>
  <c r="C90" i="4"/>
  <c r="AO98" i="13" l="1"/>
  <c r="AP98" i="13" s="1"/>
  <c r="L32" i="13"/>
  <c r="S33" i="13" s="1"/>
  <c r="L36" i="13"/>
  <c r="L41" i="13" l="1"/>
  <c r="S42" i="13" s="1"/>
  <c r="L33" i="13"/>
  <c r="L46" i="13" l="1"/>
  <c r="L47" i="13" s="1"/>
  <c r="F5" i="15"/>
  <c r="L42" i="13"/>
  <c r="F17" i="15" l="1"/>
  <c r="F20" i="15"/>
  <c r="F9" i="15"/>
  <c r="F10" i="15"/>
  <c r="L52" i="13"/>
  <c r="L93" i="13" s="1"/>
  <c r="S95" i="13" s="1"/>
  <c r="L95" i="13" l="1"/>
  <c r="L59" i="13"/>
  <c r="L60" i="13" s="1"/>
  <c r="L53" i="13"/>
  <c r="I94" i="13"/>
  <c r="I59" i="13"/>
  <c r="L94" i="13"/>
  <c r="L63" i="13" l="1"/>
  <c r="L64" i="13" s="1"/>
  <c r="I63" i="13"/>
  <c r="I67" i="13" s="1"/>
  <c r="I60" i="13"/>
  <c r="L67" i="13" l="1"/>
  <c r="L72" i="13"/>
  <c r="I64" i="13"/>
  <c r="L73" i="13" l="1"/>
  <c r="L85" i="13" s="1"/>
  <c r="L88" i="13" s="1"/>
  <c r="L90" i="13" s="1"/>
  <c r="J73" i="13"/>
  <c r="J85" i="13" s="1"/>
  <c r="L101" i="13" l="1"/>
  <c r="L102" i="13"/>
  <c r="N87" i="13"/>
  <c r="N88" i="13" s="1"/>
  <c r="S87" i="13"/>
  <c r="S88" i="13" s="1"/>
  <c r="S90" i="13" s="1"/>
  <c r="I73" i="13"/>
  <c r="O87" i="13" l="1"/>
  <c r="O88" i="13" s="1"/>
  <c r="N90" i="13"/>
  <c r="S101" i="13"/>
  <c r="S102" i="13"/>
  <c r="Z87" i="13"/>
  <c r="U87" i="13"/>
  <c r="I85" i="13"/>
  <c r="I88" i="13" s="1"/>
  <c r="J87" i="13" l="1"/>
  <c r="J88" i="13" s="1"/>
  <c r="J90" i="13" s="1"/>
  <c r="I90" i="13"/>
  <c r="P87" i="13"/>
  <c r="P88" i="13" s="1"/>
  <c r="O90" i="13"/>
  <c r="F27" i="15"/>
  <c r="Q87" i="13" l="1"/>
  <c r="P90" i="13"/>
  <c r="F23" i="15"/>
  <c r="F24" i="15"/>
  <c r="H38" i="15"/>
  <c r="H9" i="15"/>
  <c r="H10" i="15"/>
  <c r="I38" i="15"/>
  <c r="I9" i="15"/>
  <c r="I10" i="15"/>
  <c r="S105" i="13" l="1"/>
  <c r="Q73" i="13"/>
  <c r="Q85" i="13" l="1"/>
  <c r="Q88" i="13" s="1"/>
  <c r="Q90" i="13" s="1"/>
  <c r="S104" i="13" l="1"/>
  <c r="U41" i="13"/>
  <c r="AB42" i="13" s="1"/>
  <c r="U42" i="13" l="1"/>
  <c r="L5" i="15"/>
  <c r="L9" i="15" l="1"/>
  <c r="L10" i="15"/>
  <c r="L20" i="15"/>
  <c r="L17" i="15"/>
  <c r="U46" i="13"/>
  <c r="U47" i="13" s="1"/>
  <c r="L6" i="15"/>
  <c r="L36" i="15" l="1"/>
  <c r="L33" i="15"/>
  <c r="L30" i="15"/>
  <c r="L27" i="15"/>
  <c r="L23" i="15"/>
  <c r="L13" i="15"/>
  <c r="U52" i="13"/>
  <c r="U93" i="13" s="1"/>
  <c r="AB95" i="13" s="1"/>
  <c r="L24" i="15"/>
  <c r="L14" i="15"/>
  <c r="U53" i="13" l="1"/>
  <c r="U59" i="13"/>
  <c r="U60" i="13" s="1"/>
  <c r="U95" i="13"/>
  <c r="U94" i="13"/>
  <c r="L38" i="15"/>
  <c r="U63" i="13" l="1"/>
  <c r="U67" i="13" l="1"/>
  <c r="U73" i="13" s="1"/>
  <c r="U85" i="13" s="1"/>
  <c r="U88" i="13" s="1"/>
  <c r="U64" i="13"/>
  <c r="V87" i="13" l="1"/>
  <c r="U90" i="13"/>
  <c r="Z32" i="13"/>
  <c r="AG33" i="13" l="1"/>
  <c r="Z33" i="13"/>
  <c r="M5" i="15" l="1"/>
  <c r="AO32" i="13" l="1"/>
  <c r="AP32" i="13" s="1"/>
  <c r="M20" i="15"/>
  <c r="M17" i="15"/>
  <c r="V46" i="13"/>
  <c r="V52" i="13" s="1"/>
  <c r="M6" i="15"/>
  <c r="M36" i="15" l="1"/>
  <c r="M24" i="15"/>
  <c r="M14" i="15"/>
  <c r="M33" i="15"/>
  <c r="M23" i="15"/>
  <c r="M30" i="15"/>
  <c r="M27" i="15"/>
  <c r="M13" i="15"/>
  <c r="V47" i="13"/>
  <c r="V59" i="13"/>
  <c r="V93" i="13"/>
  <c r="AC95" i="13" s="1"/>
  <c r="V53" i="13"/>
  <c r="V95" i="13" l="1"/>
  <c r="V94" i="13"/>
  <c r="V60" i="13"/>
  <c r="V63" i="13" l="1"/>
  <c r="V67" i="13" s="1"/>
  <c r="V64" i="13" l="1"/>
  <c r="V73" i="13"/>
  <c r="V85" i="13" s="1"/>
  <c r="V88" i="13" s="1"/>
  <c r="W87" i="13" l="1"/>
  <c r="V90" i="13"/>
  <c r="Z51" i="13"/>
  <c r="Z45" i="13"/>
  <c r="Z75" i="13"/>
  <c r="W41" i="13"/>
  <c r="W36" i="13"/>
  <c r="Z35" i="13"/>
  <c r="R5" i="15" l="1"/>
  <c r="R10" i="15" s="1"/>
  <c r="Q5" i="15"/>
  <c r="AG36" i="13"/>
  <c r="AD42" i="13"/>
  <c r="Z41" i="13"/>
  <c r="Z46" i="13" s="1"/>
  <c r="N5" i="15"/>
  <c r="N17" i="15" s="1"/>
  <c r="Z68" i="13"/>
  <c r="W42" i="13"/>
  <c r="Z50" i="13"/>
  <c r="Z49" i="13"/>
  <c r="O6" i="15"/>
  <c r="Z44" i="13"/>
  <c r="N6" i="15"/>
  <c r="O5" i="15"/>
  <c r="Z36" i="13"/>
  <c r="W46" i="13"/>
  <c r="Q10" i="15" l="1"/>
  <c r="Q9" i="15"/>
  <c r="Q20" i="15"/>
  <c r="Q17" i="15"/>
  <c r="R20" i="15"/>
  <c r="R17" i="15"/>
  <c r="R9" i="15"/>
  <c r="AN41" i="13"/>
  <c r="P6" i="15"/>
  <c r="AG42" i="13"/>
  <c r="O17" i="15"/>
  <c r="P17" i="15" s="1"/>
  <c r="O20" i="15"/>
  <c r="P20" i="15" s="1"/>
  <c r="O9" i="15"/>
  <c r="P9" i="15" s="1"/>
  <c r="O23" i="15"/>
  <c r="P23" i="15" s="1"/>
  <c r="O36" i="15"/>
  <c r="P36" i="15" s="1"/>
  <c r="O33" i="15"/>
  <c r="P33" i="15" s="1"/>
  <c r="O30" i="15"/>
  <c r="P30" i="15" s="1"/>
  <c r="O27" i="15"/>
  <c r="P27" i="15" s="1"/>
  <c r="O13" i="15"/>
  <c r="P13" i="15" s="1"/>
  <c r="Z42" i="13"/>
  <c r="P5" i="15"/>
  <c r="N9" i="15"/>
  <c r="N10" i="15"/>
  <c r="N20" i="15"/>
  <c r="N27" i="15"/>
  <c r="N36" i="15"/>
  <c r="N14" i="15"/>
  <c r="N23" i="15"/>
  <c r="N24" i="15"/>
  <c r="N33" i="15"/>
  <c r="N13" i="15"/>
  <c r="N30" i="15"/>
  <c r="W47" i="13"/>
  <c r="W52" i="13"/>
  <c r="O14" i="15"/>
  <c r="O24" i="15"/>
  <c r="P32" i="15" l="1"/>
  <c r="P35" i="15"/>
  <c r="P29" i="15"/>
  <c r="P12" i="15"/>
  <c r="P14" i="15" s="1"/>
  <c r="P22" i="15"/>
  <c r="P24" i="15" s="1"/>
  <c r="P26" i="15"/>
  <c r="AO35" i="13"/>
  <c r="R38" i="15"/>
  <c r="AD85" i="13" s="1"/>
  <c r="Z5" i="15"/>
  <c r="AN42" i="13"/>
  <c r="Q38" i="15"/>
  <c r="P16" i="15"/>
  <c r="P19" i="15"/>
  <c r="P8" i="15"/>
  <c r="Z52" i="13"/>
  <c r="Z47" i="13"/>
  <c r="O38" i="15"/>
  <c r="O10" i="15"/>
  <c r="W93" i="13"/>
  <c r="W59" i="13"/>
  <c r="W53" i="13"/>
  <c r="AO41" i="13" l="1"/>
  <c r="AA5" i="15" s="1"/>
  <c r="AA8" i="15" s="1"/>
  <c r="AA10" i="15" s="1"/>
  <c r="AP35" i="13"/>
  <c r="AP41" i="13" s="1"/>
  <c r="Z6" i="15"/>
  <c r="AN46" i="13"/>
  <c r="AN47" i="13" s="1"/>
  <c r="AC73" i="13"/>
  <c r="AC85" i="13" s="1"/>
  <c r="AD95" i="13"/>
  <c r="P38" i="15"/>
  <c r="P10" i="15"/>
  <c r="Z19" i="15"/>
  <c r="Z8" i="15"/>
  <c r="Z16" i="15"/>
  <c r="Z93" i="13"/>
  <c r="AG95" i="13" s="1"/>
  <c r="Z53" i="13"/>
  <c r="Z59" i="13"/>
  <c r="Z62" i="13"/>
  <c r="W60" i="13"/>
  <c r="W95" i="13"/>
  <c r="W94" i="13"/>
  <c r="AO51" i="13" l="1"/>
  <c r="AO68" i="13"/>
  <c r="AA19" i="15"/>
  <c r="AO49" i="13"/>
  <c r="AO44" i="13"/>
  <c r="AA16" i="15"/>
  <c r="AO50" i="13"/>
  <c r="AO75" i="13"/>
  <c r="AO45" i="13"/>
  <c r="AO42" i="13"/>
  <c r="AP42" i="13"/>
  <c r="AP75" i="13"/>
  <c r="AP45" i="13"/>
  <c r="AP68" i="13"/>
  <c r="AP49" i="13"/>
  <c r="AB5" i="15"/>
  <c r="AP44" i="13"/>
  <c r="AP50" i="13"/>
  <c r="AP51" i="13"/>
  <c r="D72" i="4"/>
  <c r="D73" i="4"/>
  <c r="D71" i="4"/>
  <c r="D45" i="4"/>
  <c r="D49" i="4"/>
  <c r="D87" i="4"/>
  <c r="D44" i="4"/>
  <c r="D54" i="4"/>
  <c r="D50" i="4"/>
  <c r="D66" i="4"/>
  <c r="D63" i="4"/>
  <c r="C30" i="4"/>
  <c r="D41" i="4"/>
  <c r="D90" i="4"/>
  <c r="D53" i="4"/>
  <c r="D89" i="4"/>
  <c r="D64" i="4"/>
  <c r="D65" i="4"/>
  <c r="D60" i="4"/>
  <c r="D40" i="4"/>
  <c r="G41" i="4" s="1"/>
  <c r="D56" i="4"/>
  <c r="D62" i="4"/>
  <c r="AN52" i="13"/>
  <c r="D51" i="4"/>
  <c r="D58" i="4"/>
  <c r="D55" i="4"/>
  <c r="D61" i="4"/>
  <c r="D57" i="4"/>
  <c r="D59" i="4"/>
  <c r="D68" i="4"/>
  <c r="D52" i="4"/>
  <c r="C93" i="4"/>
  <c r="I31" i="4"/>
  <c r="D69" i="4"/>
  <c r="D70" i="4"/>
  <c r="D67" i="4"/>
  <c r="AG72" i="13"/>
  <c r="AG73" i="13" s="1"/>
  <c r="AB73" i="13"/>
  <c r="AB85" i="13" s="1"/>
  <c r="W63" i="13"/>
  <c r="W67" i="13" s="1"/>
  <c r="W73" i="13" s="1"/>
  <c r="W85" i="13" s="1"/>
  <c r="W88" i="13" s="1"/>
  <c r="Z94" i="13"/>
  <c r="Z95" i="13"/>
  <c r="Z63" i="13"/>
  <c r="Z60" i="13"/>
  <c r="Z10" i="15"/>
  <c r="Z32" i="15"/>
  <c r="Z22" i="15"/>
  <c r="Z24" i="15" s="1"/>
  <c r="Z35" i="15"/>
  <c r="Z26" i="15"/>
  <c r="Z29" i="15"/>
  <c r="Z12" i="15"/>
  <c r="Z14" i="15" s="1"/>
  <c r="AA6" i="15" l="1"/>
  <c r="AA35" i="15" s="1"/>
  <c r="AO46" i="13"/>
  <c r="AO52" i="13" s="1"/>
  <c r="AO93" i="13" s="1"/>
  <c r="AB8" i="15"/>
  <c r="AB10" i="15" s="1"/>
  <c r="AB16" i="15"/>
  <c r="AB19" i="15"/>
  <c r="AP46" i="13"/>
  <c r="AB6" i="15"/>
  <c r="I93" i="4"/>
  <c r="I94" i="4"/>
  <c r="G87" i="4"/>
  <c r="AN53" i="13"/>
  <c r="AN93" i="13"/>
  <c r="AN94" i="13" s="1"/>
  <c r="AG85" i="13"/>
  <c r="AG105" i="13"/>
  <c r="W64" i="13"/>
  <c r="Z67" i="13"/>
  <c r="Z64" i="13"/>
  <c r="Z38" i="15"/>
  <c r="W90" i="13"/>
  <c r="X87" i="13"/>
  <c r="AO47" i="13" l="1"/>
  <c r="AO59" i="13"/>
  <c r="AO62" i="13" s="1"/>
  <c r="AO63" i="13" s="1"/>
  <c r="AO53" i="13"/>
  <c r="AA32" i="15"/>
  <c r="AA22" i="15"/>
  <c r="AA24" i="15" s="1"/>
  <c r="AA12" i="15"/>
  <c r="AA14" i="15" s="1"/>
  <c r="AA26" i="15"/>
  <c r="AA29" i="15"/>
  <c r="AB12" i="15"/>
  <c r="AB14" i="15" s="1"/>
  <c r="AB26" i="15"/>
  <c r="AB35" i="15"/>
  <c r="AB29" i="15"/>
  <c r="AB22" i="15"/>
  <c r="AB24" i="15" s="1"/>
  <c r="AB32" i="15"/>
  <c r="AP47" i="13"/>
  <c r="AP52" i="13"/>
  <c r="AN95" i="13"/>
  <c r="AO95" i="13"/>
  <c r="AO94" i="13"/>
  <c r="AO60" i="13" l="1"/>
  <c r="AA38" i="15"/>
  <c r="AA39" i="15" s="1"/>
  <c r="AO72" i="13" s="1"/>
  <c r="AB38" i="15"/>
  <c r="AP53" i="13"/>
  <c r="AP93" i="13"/>
  <c r="AP59" i="13"/>
  <c r="AO64" i="13"/>
  <c r="AO67" i="13"/>
  <c r="AB39" i="15" l="1"/>
  <c r="AP72" i="13" s="1"/>
  <c r="AP62" i="13"/>
  <c r="AP63" i="13" s="1"/>
  <c r="AP60" i="13"/>
  <c r="AP94" i="13"/>
  <c r="AP95" i="13"/>
  <c r="AO73" i="13"/>
  <c r="AO85" i="13" s="1"/>
  <c r="AP64" i="13" l="1"/>
  <c r="AP67" i="13"/>
  <c r="AP73" i="13" s="1"/>
  <c r="AO105" i="13"/>
  <c r="M38" i="15"/>
  <c r="M9" i="15"/>
  <c r="M10" i="15"/>
  <c r="N38" i="15"/>
  <c r="X73" i="13" s="1"/>
  <c r="X85" i="13" s="1"/>
  <c r="X88" i="13" s="1"/>
  <c r="X90" i="13" s="1"/>
  <c r="AP85" i="13" l="1"/>
  <c r="AP105" i="13"/>
  <c r="Z72" i="13"/>
  <c r="Z73" i="13" s="1"/>
  <c r="Z105" i="13" l="1"/>
  <c r="Z85" i="13"/>
  <c r="Z88" i="13" s="1"/>
  <c r="AB87" i="13" l="1"/>
  <c r="AB88" i="13" s="1"/>
  <c r="AG87" i="13"/>
  <c r="AG88" i="13" s="1"/>
  <c r="Z104" i="13"/>
  <c r="Z90" i="13"/>
  <c r="AN87" i="13" l="1"/>
  <c r="AI87" i="13"/>
  <c r="AG90" i="13"/>
  <c r="AG104" i="13"/>
  <c r="AC87" i="13"/>
  <c r="AC88" i="13" s="1"/>
  <c r="AB90" i="13"/>
  <c r="Z101" i="13"/>
  <c r="Z102" i="13"/>
  <c r="AG101" i="13" l="1"/>
  <c r="AG102" i="13"/>
  <c r="AC90" i="13"/>
  <c r="AD87" i="13"/>
  <c r="AD88" i="13" s="1"/>
  <c r="AD90" i="13" l="1"/>
  <c r="AE87" i="13"/>
  <c r="AE88" i="13" s="1"/>
  <c r="AE90" i="13" s="1"/>
  <c r="K87" i="4" l="1"/>
  <c r="U38" i="15"/>
  <c r="U9" i="15"/>
  <c r="C95" i="4" l="1"/>
  <c r="AJ55" i="13"/>
  <c r="V39" i="15"/>
  <c r="AI72" i="13" s="1"/>
  <c r="AJ59" i="13" l="1"/>
  <c r="AN55" i="13"/>
  <c r="AN59" i="13" s="1"/>
  <c r="AI73" i="13"/>
  <c r="AI85" i="13" s="1"/>
  <c r="AI88" i="13" s="1"/>
  <c r="AN72" i="13"/>
  <c r="AN60" i="13" l="1"/>
  <c r="AJ60" i="13"/>
  <c r="AJ62" i="13"/>
  <c r="AJ87" i="13"/>
  <c r="AI90" i="13"/>
  <c r="AJ63" i="13" l="1"/>
  <c r="AN62" i="13"/>
  <c r="AN63" i="13" s="1"/>
  <c r="AN64" i="13" l="1"/>
  <c r="AN67" i="13"/>
  <c r="AN73" i="13" s="1"/>
  <c r="AJ67" i="13"/>
  <c r="AJ73" i="13" s="1"/>
  <c r="AJ85" i="13" s="1"/>
  <c r="AJ88" i="13" s="1"/>
  <c r="AJ64" i="13"/>
  <c r="AK87" i="13" l="1"/>
  <c r="AK88" i="13" s="1"/>
  <c r="AJ90" i="13"/>
  <c r="AN85" i="13"/>
  <c r="AN88" i="13" s="1"/>
  <c r="AN105" i="13"/>
  <c r="AN104" i="13" l="1"/>
  <c r="AN90" i="13"/>
  <c r="AO87" i="13"/>
  <c r="AO88" i="13" s="1"/>
  <c r="AL87" i="13"/>
  <c r="AL88" i="13" s="1"/>
  <c r="AL90" i="13" s="1"/>
  <c r="AK90" i="13"/>
  <c r="AO104" i="13" l="1"/>
  <c r="AP87" i="13"/>
  <c r="AP88" i="13" s="1"/>
  <c r="AO90" i="13"/>
  <c r="AN101" i="13"/>
  <c r="AN102" i="13"/>
  <c r="AP90" i="13" l="1"/>
  <c r="AP104" i="13"/>
  <c r="AO102" i="13"/>
  <c r="AO101" i="13"/>
  <c r="AP101" i="13" l="1"/>
  <c r="AP10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vsrinivasan</author>
    <author>Kush.vora</author>
  </authors>
  <commentList>
    <comment ref="O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stock ticker here</t>
        </r>
      </text>
    </comment>
    <comment ref="B40" authorId="1" shapeId="0" xr:uid="{4248E868-8C4E-4A42-A220-3DB92EF95BC9}">
      <text>
        <r>
          <rPr>
            <sz val="9"/>
            <color indexed="81"/>
            <rFont val="Tahoma"/>
            <family val="2"/>
          </rPr>
          <t xml:space="preserve">Source: FY'25-10K, Page-78
</t>
        </r>
      </text>
    </comment>
    <comment ref="I40" authorId="1" shapeId="0" xr:uid="{47C449C6-C997-457D-BF4E-23CCC00085B1}">
      <text>
        <r>
          <rPr>
            <sz val="9"/>
            <color indexed="81"/>
            <rFont val="Tahoma"/>
            <family val="2"/>
          </rPr>
          <t>Finance Lease Weighted-average Discount Rate
Source: FY'25-10K, Page-78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Vivya Sagar</author>
    <author>Aishwarya Samtani</author>
    <author>Kush.vora</author>
    <author>Vishal Gehani</author>
  </authors>
  <commentList>
    <comment ref="V29" authorId="0" shapeId="0" xr:uid="{975FC6D7-0D1A-4F13-A978-43677457C151}">
      <text>
        <r>
          <rPr>
            <sz val="9"/>
            <color indexed="81"/>
            <rFont val="Tahoma"/>
            <family val="2"/>
          </rPr>
          <t xml:space="preserve">
Driven by 55 points of net impact from the Activision Blizzard Inc. (“Activision Blizzard”) acquisition. The net impact reflects the change of Activision Blizzard content from third-party to first-party.
Source: 2Q'24 10-Q Pg 32</t>
        </r>
      </text>
    </comment>
    <comment ref="AI32" authorId="1" shapeId="0" xr:uid="{664E1649-54BB-4114-A636-5AEA7ACC2326}">
      <text>
        <r>
          <rPr>
            <sz val="9"/>
            <color indexed="81"/>
            <rFont val="Tahoma"/>
            <family val="2"/>
          </rPr>
          <t>Q1'26 Productivity &amp; Business Processes Revenue Guidance
$32.2 billion - $32.5 billion
Source: Outlook-2026, Page-3</t>
        </r>
      </text>
    </comment>
    <comment ref="AI35" authorId="1" shapeId="0" xr:uid="{7F967850-0C4B-4741-9510-6CA017FCF3F3}">
      <text>
        <r>
          <rPr>
            <sz val="9"/>
            <color indexed="81"/>
            <rFont val="Tahoma"/>
            <family val="2"/>
          </rPr>
          <t>Q1'26 Intelligent Cloud Revenue Guidance
$30.1 billion - $30.4 billion
Source: Outlook-2026, Page-3</t>
        </r>
      </text>
    </comment>
    <comment ref="AI38" authorId="1" shapeId="0" xr:uid="{764C87A7-1F4B-4651-BA65-72E0BC5D115D}">
      <text>
        <r>
          <rPr>
            <sz val="9"/>
            <color indexed="81"/>
            <rFont val="Tahoma"/>
            <family val="2"/>
          </rPr>
          <t>Q1'26 More Personal Computing Revenue Guidance
$12.4 billion - $12.9 billion
Source: Outlook-2026, Page-3</t>
        </r>
      </text>
    </comment>
    <comment ref="AN42" authorId="1" shapeId="0" xr:uid="{57B956CF-FA4F-4384-BA0C-EA27CE95A6C7}">
      <text>
        <r>
          <rPr>
            <sz val="9"/>
            <color indexed="81"/>
            <rFont val="Tahoma"/>
            <family val="2"/>
          </rPr>
          <t>FY'26 Revenue Growth
Total Revenue expected to grow in double-digits.
Source: Outlook-2026, Page-5</t>
        </r>
      </text>
    </comment>
    <comment ref="V44" authorId="2" shapeId="0" xr:uid="{E2B8B22A-C2FC-41DC-9D20-2F75F4F303A7}">
      <text>
        <r>
          <rPr>
            <sz val="9"/>
            <color indexed="81"/>
            <rFont val="Tahoma"/>
            <family val="2"/>
          </rPr>
          <t>Q2'24 Total COGS Guidance:
$19.4 billion - $19.6 billion
Source: Pg 3 of Q2'24 Outlook</t>
        </r>
      </text>
    </comment>
    <comment ref="AI44" authorId="1" shapeId="0" xr:uid="{80A966FD-A88C-495F-9206-80283606B308}">
      <text>
        <r>
          <rPr>
            <sz val="9"/>
            <color indexed="81"/>
            <rFont val="Tahoma"/>
            <family val="2"/>
          </rPr>
          <t>Q1'26 COGS Guidance
$24.3 billion - $24.5 billion
Source: Outlook-2026, Page-3</t>
        </r>
      </text>
    </comment>
    <comment ref="V49" authorId="2" shapeId="0" xr:uid="{0053158B-0092-4E37-A490-6456FCDE8523}">
      <text>
        <r>
          <rPr>
            <sz val="9"/>
            <color indexed="81"/>
            <rFont val="Tahoma"/>
            <family val="2"/>
          </rPr>
          <t>Q2'24 Total Operating Expenses Guidance:
$15.5 billion - $15.6 billion
Source: Pg 3 of Q2'24 Outlook</t>
        </r>
      </text>
    </comment>
    <comment ref="AI49" authorId="1" shapeId="0" xr:uid="{32E5B3B3-8CF3-45F8-80DF-B17F11042A70}">
      <text>
        <r>
          <rPr>
            <sz val="9"/>
            <color indexed="81"/>
            <rFont val="Tahoma"/>
            <family val="2"/>
          </rPr>
          <t>Q1'26 Operating Expenses Guidance
$15.7 billion - $15.8 billion
Source: Outlook-2026, Page-3</t>
        </r>
      </text>
    </comment>
    <comment ref="AN52" authorId="1" shapeId="0" xr:uid="{542E6414-4B2E-4F2E-9DDF-DCBCFFD54758}">
      <text>
        <r>
          <rPr>
            <sz val="9"/>
            <color indexed="81"/>
            <rFont val="Tahoma"/>
            <family val="2"/>
          </rPr>
          <t>FY'26 Operating Income Growth
Operating income expected to grow in double-digits.
Source: Outlook-2026, Page-5</t>
        </r>
      </text>
    </comment>
    <comment ref="AN53" authorId="1" shapeId="0" xr:uid="{175EBAB7-0133-4E96-B451-2D41CBEA30BE}">
      <text>
        <r>
          <rPr>
            <sz val="9"/>
            <color indexed="81"/>
            <rFont val="Tahoma"/>
            <family val="2"/>
          </rPr>
          <t>FY'26 Operating Margins
Operating margins expected to be unchanged year-over-year.
Source: Outlook-2026, Page-5</t>
        </r>
      </text>
    </comment>
    <comment ref="AI58" authorId="1" shapeId="0" xr:uid="{49BFB5FB-0708-433B-86AE-14817A0697E7}">
      <text>
        <r>
          <rPr>
            <sz val="9"/>
            <color indexed="81"/>
            <rFont val="Tahoma"/>
            <family val="2"/>
          </rPr>
          <t>Q1'26 Other Income &amp; Expense Guidance
($1.3 billion)
Source: Outlook-2026, Page-3</t>
        </r>
      </text>
    </comment>
    <comment ref="AQ62" authorId="1" shapeId="0" xr:uid="{414A1C7B-B899-4388-BC6D-66E37505B37E}">
      <text>
        <r>
          <rPr>
            <sz val="9"/>
            <color indexed="81"/>
            <rFont val="Tahoma"/>
            <family val="2"/>
          </rPr>
          <t>Q1'26 Effective Tax Rate Guidance
19% - 20%
Source: Outlook-2026, Page-3</t>
        </r>
      </text>
    </comment>
    <comment ref="AN75" authorId="1" shapeId="0" xr:uid="{C7C1908D-DADE-4C5C-A101-ACD61A1057C7}">
      <text>
        <r>
          <rPr>
            <sz val="9"/>
            <color indexed="81"/>
            <rFont val="Tahoma"/>
            <family val="2"/>
          </rPr>
          <t>FY'26 Capex Guidance
FY'26 Capex growth rate to moderate compared to FY'25.
Source: Outlook-2026, Page-5</t>
        </r>
      </text>
    </comment>
    <comment ref="V76" authorId="2" shapeId="0" xr:uid="{FEA396FE-EC72-47CF-97B4-0A64E2F48601}">
      <text>
        <r>
          <rPr>
            <sz val="9"/>
            <color indexed="81"/>
            <rFont val="Tahoma"/>
            <family val="2"/>
          </rPr>
          <t>Acquisition of Activision Blizzard, net of cash acquired
Source: Pg 28 of Q1'24</t>
        </r>
      </text>
    </comment>
    <comment ref="V80" authorId="2" shapeId="0" xr:uid="{38E5A5F5-B6FC-4178-BAED-FDE9C83506FB}">
      <text>
        <r>
          <rPr>
            <sz val="9"/>
            <color indexed="81"/>
            <rFont val="Tahoma"/>
            <family val="2"/>
          </rPr>
          <t xml:space="preserve">
In Oct’23, the Company announced the exchange of Activision’s debt as follows:
i) Activision 3.400% Senior notes due 2026 in exchange for $1,000 principal amount of New Microsoft 3.400% Senior Notes due 2026 and $1.0 in cash for early tender ($970 principal for regular tender)
ii) Activision 3.400% Senior Notes due 2027 in exchange for $1,000 principal amount of New Microsoft 3.400% Notes due 2027 and $1.00 in cash for early tender ($970 principal for regular tender)
iii) Activision 1.350% Senior Notes due 2030 in exchange for $1,000 principal amount of New Microsoft 1.350% Notes due 2030 and $1.00 in cash for early tender ($970 principal for regular tender)
iv) Activision 4.500% Senior Notes due 2047 in exchange for $1,000 principal amount of New Microsoft 4.500% Notes due 2047 and $1.00 in cash for early tender ($970 principal for regular tender)
v) Activision 2.500% Senior Notes due 2050 in exchange for $1,000 principal amount of New Microsoft 2.500% Notes due 2050 and $1.00 in cash for early tender ($970 principal for regular tender)
We have assumed that all the exchange offers are for an early tender
Source: Pg 5 of Activision Blizzard Debt Exchange
</t>
        </r>
      </text>
    </comment>
    <comment ref="AI82" authorId="3" shapeId="0" xr:uid="{B84E617A-944C-4AA3-935D-A438233B9D5D}">
      <text>
        <r>
          <rPr>
            <sz val="9"/>
            <color indexed="81"/>
            <rFont val="Tahoma"/>
            <family val="2"/>
          </rPr>
          <t>On September 16, 2024, Board of Directors approved a share repurchase program authorizing up to $60.0 billion in share repurchases. As of June 30, 2025, $57.3 billion remained available for share repurchases
Source: FY'25-10K, Page-79</t>
        </r>
      </text>
    </comment>
    <comment ref="V83" authorId="2" shapeId="0" xr:uid="{40437229-684E-41F3-9923-B24D930E40A0}">
      <text>
        <r>
          <rPr>
            <sz val="9"/>
            <color indexed="81"/>
            <rFont val="Tahoma"/>
            <family val="2"/>
          </rPr>
          <t>In Sept'23, the Company declared a dividend of $0.75 per share, payable in Dec'23</t>
        </r>
      </text>
    </comment>
    <comment ref="AI83" authorId="1" shapeId="0" xr:uid="{48764A47-6D37-4F32-AA14-FC2761314014}">
      <text>
        <r>
          <rPr>
            <sz val="9"/>
            <color indexed="81"/>
            <rFont val="Tahoma"/>
            <family val="2"/>
          </rPr>
          <t>On June 10, 2025, the Company announced dividend of $0.83 per share
Source: FY'25-10K, Page-80</t>
        </r>
      </text>
    </comment>
  </commentList>
</comments>
</file>

<file path=xl/sharedStrings.xml><?xml version="1.0" encoding="utf-8"?>
<sst xmlns="http://schemas.openxmlformats.org/spreadsheetml/2006/main" count="326" uniqueCount="261">
  <si>
    <t>Company:</t>
  </si>
  <si>
    <t>Margin</t>
  </si>
  <si>
    <t>Tranche</t>
  </si>
  <si>
    <t>Amount</t>
  </si>
  <si>
    <t>%</t>
  </si>
  <si>
    <t>Value</t>
  </si>
  <si>
    <t>Coverage %</t>
  </si>
  <si>
    <t>Total</t>
  </si>
  <si>
    <t>Enterprise Value</t>
  </si>
  <si>
    <t>LTM Revenues</t>
  </si>
  <si>
    <t>LTM EBITDA</t>
  </si>
  <si>
    <t>LTM Capital Expenditures</t>
  </si>
  <si>
    <t>A/R</t>
  </si>
  <si>
    <t>Inventory</t>
  </si>
  <si>
    <t>PP&amp;E, Net</t>
  </si>
  <si>
    <t>Funded Bank Debt Asset Coverage</t>
  </si>
  <si>
    <t>Pros</t>
  </si>
  <si>
    <t xml:space="preserve">  EV Multiple</t>
  </si>
  <si>
    <t>Company Overview</t>
  </si>
  <si>
    <t>Financial Profile</t>
  </si>
  <si>
    <t>Credit Statistics</t>
  </si>
  <si>
    <t>Price</t>
  </si>
  <si>
    <t>Revenues</t>
  </si>
  <si>
    <t>Investment Considerations</t>
  </si>
  <si>
    <t>Investment Memorandum</t>
  </si>
  <si>
    <t>Risks and Mitigants</t>
  </si>
  <si>
    <t>PF Interest Expense</t>
  </si>
  <si>
    <t>Asset Coverage / Collateral Package</t>
  </si>
  <si>
    <t>Organizational Chart</t>
  </si>
  <si>
    <t>Term Sheet / Collateral Package</t>
  </si>
  <si>
    <t>Country:</t>
  </si>
  <si>
    <t xml:space="preserve">  % growth</t>
  </si>
  <si>
    <t xml:space="preserve">  Free Cash Flow</t>
  </si>
  <si>
    <t>Ratios:</t>
  </si>
  <si>
    <t>FINANCIAL MODEL</t>
  </si>
  <si>
    <t xml:space="preserve">  % margin</t>
  </si>
  <si>
    <t xml:space="preserve">  Total Capitalization</t>
  </si>
  <si>
    <t xml:space="preserve">  Total Debt</t>
  </si>
  <si>
    <t>Net Debt</t>
  </si>
  <si>
    <t>Market</t>
  </si>
  <si>
    <t>Book</t>
  </si>
  <si>
    <t>Leverage</t>
  </si>
  <si>
    <t>Stock Price</t>
  </si>
  <si>
    <t>Shares</t>
  </si>
  <si>
    <t>1st Lien Net Leverage</t>
  </si>
  <si>
    <t>Total Net Leverage</t>
  </si>
  <si>
    <t>Beginning Cash</t>
  </si>
  <si>
    <t>Ending Cash</t>
  </si>
  <si>
    <t>EQY_SH_OUT</t>
  </si>
  <si>
    <t>Corporate (Bond) Ratings</t>
  </si>
  <si>
    <t>Mar</t>
  </si>
  <si>
    <t>Jun</t>
  </si>
  <si>
    <t>Dec</t>
  </si>
  <si>
    <t xml:space="preserve">  Operating Cash Flow</t>
  </si>
  <si>
    <t>Capex</t>
  </si>
  <si>
    <t>1st Lien Debt</t>
  </si>
  <si>
    <t>Total Debt</t>
  </si>
  <si>
    <t>Senior Net Leverage</t>
  </si>
  <si>
    <t>Maturity</t>
  </si>
  <si>
    <t>PX_LAST</t>
  </si>
  <si>
    <t>Scarsdale Capital LLC</t>
  </si>
  <si>
    <t xml:space="preserve">  Net Income</t>
  </si>
  <si>
    <t>Cash Flows:</t>
  </si>
  <si>
    <t>EBITDA</t>
  </si>
  <si>
    <t xml:space="preserve">Interest </t>
  </si>
  <si>
    <t>Rate</t>
  </si>
  <si>
    <t>Public Market Cap</t>
  </si>
  <si>
    <t xml:space="preserve"> Operating Income</t>
  </si>
  <si>
    <t>Sept</t>
  </si>
  <si>
    <t xml:space="preserve">  Total Secured Debt</t>
  </si>
  <si>
    <t>Income Taxes</t>
  </si>
  <si>
    <t xml:space="preserve"> EBT</t>
  </si>
  <si>
    <t>Particulars</t>
  </si>
  <si>
    <t>FY19</t>
  </si>
  <si>
    <t>Net Working Capital</t>
  </si>
  <si>
    <t>LTM Sales</t>
  </si>
  <si>
    <t>Change in NWC</t>
  </si>
  <si>
    <t>Working Capital Assumptions</t>
  </si>
  <si>
    <t>Change in Working Capital</t>
  </si>
  <si>
    <t>Sale (Acquisition)</t>
  </si>
  <si>
    <t>Debt Financing</t>
  </si>
  <si>
    <t>Debt Repayment</t>
  </si>
  <si>
    <t>% of Sales</t>
  </si>
  <si>
    <t>% of COGS</t>
  </si>
  <si>
    <t>Interest Expense</t>
  </si>
  <si>
    <t>FX &amp; Others</t>
  </si>
  <si>
    <t>Receivable Days</t>
  </si>
  <si>
    <t>Payable Days</t>
  </si>
  <si>
    <t>Public Equity:</t>
  </si>
  <si>
    <t>Accounts Receivable</t>
  </si>
  <si>
    <t>Share-based Compensation</t>
  </si>
  <si>
    <t xml:space="preserve">Cash </t>
  </si>
  <si>
    <t>(USD in Millions)</t>
  </si>
  <si>
    <t>All amounts in $ millions</t>
  </si>
  <si>
    <t xml:space="preserve"> Gross Profit</t>
  </si>
  <si>
    <t>Interest &amp; Other Income</t>
  </si>
  <si>
    <t>Net Income</t>
  </si>
  <si>
    <t>D&amp;A</t>
  </si>
  <si>
    <t xml:space="preserve">Deferred Income Tax </t>
  </si>
  <si>
    <t>Issuance of Common  Shares</t>
  </si>
  <si>
    <t>Repurchase of Common Shares</t>
  </si>
  <si>
    <t>Dividends</t>
  </si>
  <si>
    <t>Inventories</t>
  </si>
  <si>
    <t>Inventory Days</t>
  </si>
  <si>
    <t>2022 Quarter Ending,</t>
  </si>
  <si>
    <t>FY20</t>
  </si>
  <si>
    <t>FY21</t>
  </si>
  <si>
    <t>Accounts Payable and Accrued Expenses</t>
  </si>
  <si>
    <t>LTM COGS</t>
  </si>
  <si>
    <t>FY18</t>
  </si>
  <si>
    <t>2023 Quarter Ending,</t>
  </si>
  <si>
    <t>FY22</t>
  </si>
  <si>
    <t>Productivity &amp; Business Processes</t>
  </si>
  <si>
    <t>Intelligent Cloud</t>
  </si>
  <si>
    <t>More Personal Computing</t>
  </si>
  <si>
    <t>(Financial Year Ending Jun. 30 )</t>
  </si>
  <si>
    <t>Research &amp; Development</t>
  </si>
  <si>
    <t>Sales &amp; Marketing</t>
  </si>
  <si>
    <t>General &amp; Administrative</t>
  </si>
  <si>
    <t>Interest &amp; Dividends Income</t>
  </si>
  <si>
    <t>Net Recognized Gains on Investments &amp; Derivatives</t>
  </si>
  <si>
    <t>Purchase, Sale &amp; Maturity of Investments</t>
  </si>
  <si>
    <t>Cost of Product Revenue</t>
  </si>
  <si>
    <t>Cost of Service &amp; Other Revenue</t>
  </si>
  <si>
    <t>Cash Premium on Debt Exchange</t>
  </si>
  <si>
    <t>Net Recognized Gains (Losses) on Investments</t>
  </si>
  <si>
    <t>USA (Washington HQ)</t>
  </si>
  <si>
    <t>MSFT</t>
  </si>
  <si>
    <t>MSFT US EQUITY</t>
  </si>
  <si>
    <t>1Q23</t>
  </si>
  <si>
    <t>2Q23</t>
  </si>
  <si>
    <t>3Q23</t>
  </si>
  <si>
    <t>Other Current Assets</t>
  </si>
  <si>
    <t>Other Long-Term Assets</t>
  </si>
  <si>
    <t>Unearned Revenue</t>
  </si>
  <si>
    <t>Other Current Liabilities</t>
  </si>
  <si>
    <t>Other Long-Term Liabilities</t>
  </si>
  <si>
    <t>Aaa (Aaa)</t>
  </si>
  <si>
    <t>Microsoft Corporation</t>
  </si>
  <si>
    <t>Finance Leases</t>
  </si>
  <si>
    <t>Senior Notes</t>
  </si>
  <si>
    <t>The covenants do not:</t>
  </si>
  <si>
    <t>1. Limit the amount of indebtedness or lease obligations</t>
  </si>
  <si>
    <t>2. Restrict the Company from paying dividends or making distributions</t>
  </si>
  <si>
    <t>EV/EBITDA</t>
  </si>
  <si>
    <t>FCF to market cap</t>
  </si>
  <si>
    <t>4Q24</t>
  </si>
  <si>
    <t>2026P</t>
  </si>
  <si>
    <t>FY26P</t>
  </si>
  <si>
    <t>Income Statement:</t>
  </si>
  <si>
    <t>KPI'S</t>
  </si>
  <si>
    <t>Commercial Bookings % growth</t>
  </si>
  <si>
    <t>Office 365 Commercial Seat % growth</t>
  </si>
  <si>
    <t>Microsoft 365 Consumer subscribers (in Millions)</t>
  </si>
  <si>
    <t xml:space="preserve">disadvantaging the gaming community through the acquisition of Activision Blizzard. </t>
  </si>
  <si>
    <t>increasing the user base of games as GeForce Now has 25 million users across 100 countries. Additionally, the move will help assuage concerns regarding</t>
  </si>
  <si>
    <t>hardware, and search and news advertising.</t>
  </si>
  <si>
    <t>Office Commercial Products and Cloud Services % growth</t>
  </si>
  <si>
    <t>Office Consumer Products and Cloud Services % growth</t>
  </si>
  <si>
    <t>Server Products and Cloud Services % growth</t>
  </si>
  <si>
    <t>Dynamics Products and Cloud Services % growth</t>
  </si>
  <si>
    <t>Windows OEM % growth</t>
  </si>
  <si>
    <t>Windows Commercial Products and Cloud Services</t>
  </si>
  <si>
    <t>Xbox Content and Services</t>
  </si>
  <si>
    <t>4Q23</t>
  </si>
  <si>
    <t>FY23</t>
  </si>
  <si>
    <t>ST Investments</t>
  </si>
  <si>
    <t>(+) ST Investments</t>
  </si>
  <si>
    <t>Cash and ST Investments</t>
  </si>
  <si>
    <t>2024 Quarter Ending,</t>
  </si>
  <si>
    <t>1. The Company faces significant competition from several players such as Apple, Oracle, Amazon, and Google among several others across its segments.</t>
  </si>
  <si>
    <t xml:space="preserve">Microsoft Corporation (“Microsoft” or the “Company”) is a technology company that develops and supports software, services, devices, and solutions. </t>
  </si>
  <si>
    <t xml:space="preserve">Microsoft’s products include operating systems, cross-device productivity and collaboration applications, server applications, business solution applications, </t>
  </si>
  <si>
    <t xml:space="preserve">desktop and server management tools, software development tools, and video games. Additionally, the Company also designs and sells devices, including PCs, </t>
  </si>
  <si>
    <t xml:space="preserve">tablets, gaming and entertainment consoles, other intelligent devices, and related accessories. Microsoft operates several data centers across the Americas, </t>
  </si>
  <si>
    <t xml:space="preserve">Europe, Australia, Asia, the Middle East, and Africa. The Company has over 69,000 U.S. and international patents issued and over 19,000 pending worldwide. </t>
  </si>
  <si>
    <t xml:space="preserve">Microsoft sells its products through distributors, Original Equipment Manufacturers (“OEMs”), and directly. The Company reports its revenue under the following </t>
  </si>
  <si>
    <t>segments:</t>
  </si>
  <si>
    <t>productivity, communication, and information services. Key offerings include Office Commercial, Office Consumer, LinkedIn, and Dynamics business solutions.</t>
  </si>
  <si>
    <t>services that can power modern businesses and developers. Notable offerings include Azure, SQL Server, Windows Server, and Enterprise Services.</t>
  </si>
  <si>
    <t xml:space="preserve">In Oct’23, the Company received a notice from the IRS seeking an additional tax payment of $28.9 billion plus penalties and interest. The Company does not </t>
  </si>
  <si>
    <t>expect a final resolution of the same in the next 12 months.</t>
  </si>
  <si>
    <t>Microsoft Cloud Revenue (in Billions)</t>
  </si>
  <si>
    <t>2025 Quarter Ending,</t>
  </si>
  <si>
    <t>2027P</t>
  </si>
  <si>
    <t>1Q24</t>
  </si>
  <si>
    <t>2Q24</t>
  </si>
  <si>
    <t>3Q24</t>
  </si>
  <si>
    <t>3Q25</t>
  </si>
  <si>
    <t>4Q25</t>
  </si>
  <si>
    <t>FY'27</t>
  </si>
  <si>
    <t>FY27P</t>
  </si>
  <si>
    <t>FY24</t>
  </si>
  <si>
    <t xml:space="preserve">Microsoft’s professional networking platform ‘LinkedIn’ has more than 1 billion members with over 130 million members in India. </t>
  </si>
  <si>
    <t xml:space="preserve">1. Microsoft has the top position in the desktop operating system space with a market share of 72% as of Feb'25 according to Statcounter. Additionally, </t>
  </si>
  <si>
    <t>SOFR</t>
  </si>
  <si>
    <t>the U.S. Army’s Integrated Visual Augmentation System (IVAS) program.</t>
  </si>
  <si>
    <t>1Q25</t>
  </si>
  <si>
    <t>2Q25</t>
  </si>
  <si>
    <t>2026 Quarter Ending,</t>
  </si>
  <si>
    <t>1Q26</t>
  </si>
  <si>
    <t>2Q26</t>
  </si>
  <si>
    <t>3Q26</t>
  </si>
  <si>
    <t>4Q26</t>
  </si>
  <si>
    <t>FY'28</t>
  </si>
  <si>
    <t>FY25</t>
  </si>
  <si>
    <t>1Q26P</t>
  </si>
  <si>
    <t>2Q26P</t>
  </si>
  <si>
    <t>3Q26P</t>
  </si>
  <si>
    <t>4Q26P</t>
  </si>
  <si>
    <t>Capitalization - FY'25</t>
  </si>
  <si>
    <r>
      <rPr>
        <b/>
        <sz val="10"/>
        <color rgb="FF0000FF"/>
        <rFont val="Times New Roman"/>
        <family val="1"/>
      </rPr>
      <t>1. Productivity and Business Processes (42.9% as of FY'25 Revenue):</t>
    </r>
    <r>
      <rPr>
        <sz val="10"/>
        <color rgb="FF0000FF"/>
        <rFont val="Times New Roman"/>
        <family val="1"/>
      </rPr>
      <t xml:space="preserve"> The segment includes revenue from the sale of products and services for </t>
    </r>
  </si>
  <si>
    <r>
      <rPr>
        <b/>
        <sz val="10"/>
        <color rgb="FF0000FF"/>
        <rFont val="Times New Roman"/>
        <family val="1"/>
      </rPr>
      <t>2. Intelligent Cloud (37.7% as of FY’25 Revenue):</t>
    </r>
    <r>
      <rPr>
        <sz val="10"/>
        <color rgb="FF0000FF"/>
        <rFont val="Times New Roman"/>
        <family val="1"/>
      </rPr>
      <t xml:space="preserve"> The segment includes revenue from the sale of public, private, and hybrid server products and cloud </t>
    </r>
  </si>
  <si>
    <r>
      <rPr>
        <b/>
        <sz val="10"/>
        <color rgb="FF0000FF"/>
        <rFont val="Times New Roman"/>
        <family val="1"/>
      </rPr>
      <t>3. More Personal Computing (19.4% as of FY’25 Revenue):</t>
    </r>
    <r>
      <rPr>
        <sz val="10"/>
        <color rgb="FF0000FF"/>
        <rFont val="Times New Roman"/>
        <family val="1"/>
      </rPr>
      <t xml:space="preserve"> The segment includes revenue from the sale of Windows, Surface and PC Accessories, Xbox</t>
    </r>
  </si>
  <si>
    <t>2028P</t>
  </si>
  <si>
    <t>FY28P</t>
  </si>
  <si>
    <t>3.3 % Senior Unsecured Notes</t>
  </si>
  <si>
    <t>4.1 % Senior Unsecured Notes</t>
  </si>
  <si>
    <t>4.25 % Senior Unsecured Notes</t>
  </si>
  <si>
    <t>4.5 % Senior Unsecured Notes</t>
  </si>
  <si>
    <t>3.4 % Senior Unsecured Notes</t>
  </si>
  <si>
    <t>2.675 % Senior Unsecured Notes</t>
  </si>
  <si>
    <t>2.525 % Senior Unsecured Notes</t>
  </si>
  <si>
    <t>1.35 % Senior Unsecured Notes</t>
  </si>
  <si>
    <t>2.5 % Senior Unsecured Notes</t>
  </si>
  <si>
    <t>2.921 % Senior Unsecured Notes</t>
  </si>
  <si>
    <t>3.041 % Senior Unsecured Notes</t>
  </si>
  <si>
    <t>5.2 % Senior Unsecured Notes</t>
  </si>
  <si>
    <t>5.3 % Senior Unsecured Notes</t>
  </si>
  <si>
    <t>3.5 % Senior Unsecured Notes</t>
  </si>
  <si>
    <t>2.625 % Senior Unsecured Notes</t>
  </si>
  <si>
    <t>3.75 % Senior Unsecured Notes</t>
  </si>
  <si>
    <t>3.125 % Senior Unsecured Notes</t>
  </si>
  <si>
    <t>4.875 % Senior Unsecured Notes</t>
  </si>
  <si>
    <t>4 % Senior Unsecured Notes</t>
  </si>
  <si>
    <t>4.2 % Senior Unsecured Notes</t>
  </si>
  <si>
    <t>4.45 % Senior Unsecured Notes</t>
  </si>
  <si>
    <t>4.75 % Senior Unsecured Notes</t>
  </si>
  <si>
    <t>2.4 % Senior Unsecured Notes</t>
  </si>
  <si>
    <t>3.45 % Senior Unsecured Notes</t>
  </si>
  <si>
    <t>3.7 % Senior Unsecured Notes</t>
  </si>
  <si>
    <t>3.95 % Senior Unsecured Notes</t>
  </si>
  <si>
    <t>2025 - 2062</t>
  </si>
  <si>
    <t>2. The Company has opened new Data Centers across six continents, and now has over 400 data centers across 70 regions, more than any other cloud provider.</t>
  </si>
  <si>
    <t>employees globally, following a successful initial deployment of 15,000.</t>
  </si>
  <si>
    <t>6. The Company has over 800 million monthly active AI users as of FY'25.</t>
  </si>
  <si>
    <t>5. As of FY'25, the Company has 500 million monthly active users in gaming across all platforms and devices.</t>
  </si>
  <si>
    <t xml:space="preserve">4. As of FY'25, Copilot apps have surpassed 100 million monthly active users across commercial and consumer segments. Barclays will roll out Microsoft 365 Copilot to 100,000 </t>
  </si>
  <si>
    <t>3. As of FY'25, Foundry Agent Service is being used by over 14,000 customers to build agents and automate complex tasks.</t>
  </si>
  <si>
    <t xml:space="preserve">~90% of the Fortune 500 companies. </t>
  </si>
  <si>
    <t xml:space="preserve">‘Teams Phone’,‘Rooms’ and ‘Teams Premium’. </t>
  </si>
  <si>
    <t>billion as of FY'25.</t>
  </si>
  <si>
    <t>7. In FY'25, Nestlé migrated more than 200 SAP instances, 10,000-plus servers, and 1.2 petabytes of data to Azure with near-zero business disruption.</t>
  </si>
  <si>
    <t xml:space="preserve">8. Microsoft’s Azure is the second-largest player in the cloud infrastructure services space with a market share of 23%. The Company’s Azure offering is used by </t>
  </si>
  <si>
    <t xml:space="preserve">9. The Company’s unified communication service Microsoft Teams (“Teams”) is helping Microsoft expand its TAM through cross-selling opportunities for </t>
  </si>
  <si>
    <t xml:space="preserve">10. On Feb 11, 2025, Microsoft Corp. and Anduril Industries, a leading defense technology company, announced an expanded partnership to support the next phase of </t>
  </si>
  <si>
    <t>11. The Company has inked a 10-year-long partnership with Nvidia to bring Xbox games to Nvidia’s cloud gaming service ‘GeForce Now’. The partnership will aid in</t>
  </si>
  <si>
    <t>12. The Company has an estimated liquidity of $94.5 billion comprised of i) cash and cash equivalents of $30.2 billion and ii) short-term investments of $64.3</t>
  </si>
  <si>
    <t xml:space="preserve">Mitigant: Microsoft is leveraging its tightly integrated ecosystem spanning Azure for cloud infrastructure, GitHub for developer collaboration, Copilot for AI-powered </t>
  </si>
  <si>
    <t xml:space="preserve">productivity, and Windows. This end-to-end integration allows Microsoft to deliver seamless, enterprise-grade solutions that are difficult to match by standalone operators, </t>
  </si>
  <si>
    <t>who typically offer fragmented or single-purpose tools. The Company also helps partnerships with OpenAI, NVIDIA, among others, helping it to create value for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</si>
</sst>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mmmm\ d\,\ yyyy"/>
    <numFmt numFmtId="168" formatCode="_(* #,##0.0_);_(* \(#,##0.0\);_(* &quot;-&quot;?_);_(@_)"/>
    <numFmt numFmtId="169" formatCode="0.0%"/>
    <numFmt numFmtId="170" formatCode="0.0\x"/>
    <numFmt numFmtId="171" formatCode="mm/dd/yy"/>
    <numFmt numFmtId="172" formatCode="_(&quot;$&quot;* #,##0.0_);_(&quot;$&quot;* \(#,##0.0\);_(&quot;$&quot;* &quot;-&quot;??_);_(@_)"/>
    <numFmt numFmtId="173" formatCode="&quot;$&quot;#,##0.0_);\(&quot;$&quot;#,##0.0\)"/>
    <numFmt numFmtId="174" formatCode="_([$€-2]* #,##0.00_);_([$€-2]* \(#,##0.00\);_([$€-2]* &quot;-&quot;??_)"/>
    <numFmt numFmtId="175" formatCode="_([$€-2]* #,##0.0_);_([$€-2]* \(#,##0.0\);_([$€-2]* &quot;-&quot;??_)"/>
    <numFmt numFmtId="176" formatCode="0.0%;[Red]\(0.0\)%"/>
    <numFmt numFmtId="177" formatCode="_(&quot;$&quot;* #,##0.0_);_(&quot;$&quot;* \(#,##0.0\);_(&quot;$&quot;* &quot;-&quot;?_);_(@_)"/>
    <numFmt numFmtId="178" formatCode="#,##0.0"/>
    <numFmt numFmtId="179" formatCode="_(* #,##0.000_);_(* \(#,##0.000\);_(* &quot;-&quot;?_);_(@_)"/>
    <numFmt numFmtId="180" formatCode="#,##0.0_);\(#,##0.0\)"/>
    <numFmt numFmtId="181" formatCode="_-* #,##0.0_-;\-* #,##0.0_-;_-* &quot;-&quot;?_-;_-@_-"/>
    <numFmt numFmtId="182" formatCode="mm\/dd\/yyyy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b/>
      <i/>
      <sz val="8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2"/>
      <name val="Times New Roman"/>
      <family val="1"/>
    </font>
    <font>
      <i/>
      <sz val="8"/>
      <color indexed="12"/>
      <name val="Times New Roman"/>
      <family val="1"/>
    </font>
    <font>
      <i/>
      <sz val="10"/>
      <name val="Times New Roman"/>
      <family val="1"/>
    </font>
    <font>
      <b/>
      <sz val="12"/>
      <color indexed="12"/>
      <name val="Times New Roman"/>
      <family val="1"/>
    </font>
    <font>
      <sz val="8"/>
      <color indexed="12"/>
      <name val="Times New Roman"/>
      <family val="1"/>
    </font>
    <font>
      <i/>
      <sz val="8"/>
      <name val="Times New Roman"/>
      <family val="1"/>
    </font>
    <font>
      <u/>
      <sz val="10"/>
      <color indexed="12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  <font>
      <u/>
      <sz val="10"/>
      <name val="Times New Roman"/>
      <family val="1"/>
    </font>
    <font>
      <sz val="10"/>
      <color rgb="FF0000FF"/>
      <name val="Times New Roman"/>
      <family val="1"/>
    </font>
    <font>
      <b/>
      <i/>
      <sz val="10"/>
      <color rgb="FF0000FF"/>
      <name val="Times New Roman"/>
      <family val="1"/>
    </font>
    <font>
      <sz val="10"/>
      <color rgb="FFFF0000"/>
      <name val="Times New Roman"/>
      <family val="1"/>
    </font>
    <font>
      <b/>
      <i/>
      <sz val="8"/>
      <color indexed="12"/>
      <name val="Times New Roman"/>
      <family val="1"/>
    </font>
    <font>
      <b/>
      <i/>
      <u/>
      <sz val="10"/>
      <name val="Times New Roman"/>
      <family val="1"/>
    </font>
    <font>
      <sz val="10"/>
      <color theme="1"/>
      <name val="Times New Roman"/>
      <family val="1"/>
    </font>
    <font>
      <u val="singleAccounting"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sz val="11"/>
      <color indexed="9"/>
      <name val="Calibri"/>
      <family val="2"/>
    </font>
    <font>
      <sz val="10"/>
      <name val="Arial"/>
      <family val="2"/>
    </font>
    <font>
      <b/>
      <i/>
      <sz val="10"/>
      <color indexed="12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u val="singleAccounting"/>
      <sz val="10"/>
      <color rgb="FF0000FF"/>
      <name val="Times New Roman"/>
      <family val="1"/>
    </font>
    <font>
      <i/>
      <sz val="8"/>
      <color rgb="FF0000FF"/>
      <name val="Times New Roman"/>
      <family val="1"/>
    </font>
    <font>
      <u/>
      <sz val="10"/>
      <color rgb="FF0000FF"/>
      <name val="Times New Roman"/>
      <family val="1"/>
    </font>
    <font>
      <sz val="10"/>
      <color rgb="FF0000FF"/>
      <name val="Arial"/>
      <family val="2"/>
    </font>
    <font>
      <i/>
      <sz val="10"/>
      <color rgb="FF0000FF"/>
      <name val="Times New Roman"/>
      <family val="1"/>
    </font>
    <font>
      <b/>
      <u val="singleAccounting"/>
      <sz val="10"/>
      <name val="Times New Roman"/>
      <family val="1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0" fillId="4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165" fontId="3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10" fillId="0" borderId="2" xfId="0" applyFont="1" applyBorder="1"/>
    <xf numFmtId="0" fontId="5" fillId="0" borderId="1" xfId="0" applyFont="1" applyBorder="1" applyAlignment="1">
      <alignment horizontal="center"/>
    </xf>
    <xf numFmtId="0" fontId="12" fillId="0" borderId="0" xfId="0" applyFont="1"/>
    <xf numFmtId="168" fontId="9" fillId="0" borderId="0" xfId="0" applyNumberFormat="1" applyFont="1"/>
    <xf numFmtId="168" fontId="5" fillId="0" borderId="0" xfId="0" applyNumberFormat="1" applyFont="1"/>
    <xf numFmtId="0" fontId="9" fillId="0" borderId="0" xfId="0" applyFont="1"/>
    <xf numFmtId="170" fontId="5" fillId="0" borderId="0" xfId="0" applyNumberFormat="1" applyFont="1"/>
    <xf numFmtId="168" fontId="9" fillId="0" borderId="1" xfId="0" applyNumberFormat="1" applyFont="1" applyBorder="1"/>
    <xf numFmtId="168" fontId="5" fillId="0" borderId="1" xfId="0" applyNumberFormat="1" applyFont="1" applyBorder="1"/>
    <xf numFmtId="0" fontId="13" fillId="0" borderId="0" xfId="0" applyFont="1"/>
    <xf numFmtId="0" fontId="5" fillId="0" borderId="4" xfId="0" applyFont="1" applyBorder="1"/>
    <xf numFmtId="172" fontId="5" fillId="0" borderId="0" xfId="2" applyNumberFormat="1" applyFont="1" applyFill="1"/>
    <xf numFmtId="172" fontId="5" fillId="0" borderId="0" xfId="2" applyNumberFormat="1" applyFont="1"/>
    <xf numFmtId="169" fontId="5" fillId="0" borderId="0" xfId="4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172" fontId="5" fillId="0" borderId="0" xfId="2" applyNumberFormat="1" applyFont="1" applyBorder="1"/>
    <xf numFmtId="169" fontId="5" fillId="0" borderId="1" xfId="4" applyNumberFormat="1" applyFont="1" applyBorder="1" applyAlignment="1">
      <alignment horizontal="center"/>
    </xf>
    <xf numFmtId="170" fontId="5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5" xfId="0" applyFont="1" applyBorder="1"/>
    <xf numFmtId="0" fontId="5" fillId="0" borderId="3" xfId="0" applyFont="1" applyBorder="1"/>
    <xf numFmtId="0" fontId="14" fillId="0" borderId="5" xfId="0" applyFont="1" applyBorder="1"/>
    <xf numFmtId="169" fontId="14" fillId="0" borderId="6" xfId="4" applyNumberFormat="1" applyFont="1" applyFill="1" applyBorder="1"/>
    <xf numFmtId="171" fontId="5" fillId="0" borderId="0" xfId="0" applyNumberFormat="1" applyFont="1" applyAlignment="1">
      <alignment horizontal="center"/>
    </xf>
    <xf numFmtId="0" fontId="14" fillId="0" borderId="4" xfId="0" applyFont="1" applyBorder="1"/>
    <xf numFmtId="170" fontId="14" fillId="0" borderId="7" xfId="2" applyNumberFormat="1" applyFont="1" applyFill="1" applyBorder="1" applyAlignment="1">
      <alignment horizontal="right"/>
    </xf>
    <xf numFmtId="169" fontId="5" fillId="0" borderId="0" xfId="4" applyNumberFormat="1" applyFont="1" applyFill="1" applyBorder="1"/>
    <xf numFmtId="170" fontId="14" fillId="0" borderId="0" xfId="2" applyNumberFormat="1" applyFont="1" applyFill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9" fontId="5" fillId="0" borderId="7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9" fontId="5" fillId="0" borderId="0" xfId="4" applyNumberFormat="1" applyFont="1" applyBorder="1" applyAlignment="1">
      <alignment horizontal="center"/>
    </xf>
    <xf numFmtId="168" fontId="5" fillId="0" borderId="8" xfId="0" applyNumberFormat="1" applyFont="1" applyBorder="1"/>
    <xf numFmtId="49" fontId="9" fillId="0" borderId="0" xfId="0" applyNumberFormat="1" applyFont="1" applyAlignment="1">
      <alignment horizontal="right"/>
    </xf>
    <xf numFmtId="173" fontId="5" fillId="0" borderId="0" xfId="0" applyNumberFormat="1" applyFont="1"/>
    <xf numFmtId="168" fontId="5" fillId="0" borderId="7" xfId="0" applyNumberFormat="1" applyFont="1" applyBorder="1" applyAlignment="1">
      <alignment horizontal="right"/>
    </xf>
    <xf numFmtId="0" fontId="5" fillId="0" borderId="0" xfId="0" applyFont="1" applyAlignment="1">
      <alignment vertical="top"/>
    </xf>
    <xf numFmtId="0" fontId="9" fillId="0" borderId="0" xfId="0" applyFont="1" applyAlignment="1">
      <alignment horizontal="center"/>
    </xf>
    <xf numFmtId="173" fontId="16" fillId="0" borderId="0" xfId="2" applyNumberFormat="1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5" xfId="0" quotePrefix="1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0" fillId="0" borderId="0" xfId="0" applyAlignment="1">
      <alignment vertical="top" wrapText="1"/>
    </xf>
    <xf numFmtId="0" fontId="9" fillId="0" borderId="1" xfId="0" quotePrefix="1" applyFont="1" applyBorder="1" applyAlignment="1">
      <alignment horizontal="left"/>
    </xf>
    <xf numFmtId="0" fontId="12" fillId="0" borderId="5" xfId="0" quotePrefix="1" applyFont="1" applyBorder="1" applyAlignment="1">
      <alignment horizontal="left"/>
    </xf>
    <xf numFmtId="175" fontId="5" fillId="0" borderId="0" xfId="3" applyNumberFormat="1" applyFont="1"/>
    <xf numFmtId="0" fontId="5" fillId="0" borderId="0" xfId="0" applyFont="1" applyAlignment="1">
      <alignment horizontal="centerContinuous"/>
    </xf>
    <xf numFmtId="0" fontId="17" fillId="0" borderId="0" xfId="0" applyFont="1"/>
    <xf numFmtId="168" fontId="18" fillId="0" borderId="0" xfId="0" applyNumberFormat="1" applyFont="1"/>
    <xf numFmtId="175" fontId="6" fillId="0" borderId="0" xfId="0" applyNumberFormat="1" applyFont="1"/>
    <xf numFmtId="169" fontId="9" fillId="0" borderId="0" xfId="0" applyNumberFormat="1" applyFont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176" fontId="17" fillId="0" borderId="0" xfId="4" applyNumberFormat="1" applyFont="1" applyBorder="1"/>
    <xf numFmtId="177" fontId="5" fillId="0" borderId="6" xfId="3" applyNumberFormat="1" applyFont="1" applyFill="1" applyBorder="1" applyAlignment="1">
      <alignment horizontal="right"/>
    </xf>
    <xf numFmtId="177" fontId="9" fillId="0" borderId="0" xfId="3" applyNumberFormat="1" applyFont="1" applyFill="1"/>
    <xf numFmtId="177" fontId="5" fillId="0" borderId="0" xfId="3" applyNumberFormat="1" applyFont="1" applyBorder="1"/>
    <xf numFmtId="177" fontId="5" fillId="0" borderId="0" xfId="3" applyNumberFormat="1" applyFont="1"/>
    <xf numFmtId="177" fontId="5" fillId="0" borderId="0" xfId="3" applyNumberFormat="1" applyFont="1" applyFill="1" applyAlignment="1">
      <alignment horizontal="right"/>
    </xf>
    <xf numFmtId="14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9" fontId="5" fillId="0" borderId="8" xfId="4" applyNumberFormat="1" applyFont="1" applyBorder="1" applyAlignment="1">
      <alignment horizontal="center"/>
    </xf>
    <xf numFmtId="170" fontId="5" fillId="0" borderId="8" xfId="0" applyNumberFormat="1" applyFont="1" applyBorder="1" applyAlignment="1">
      <alignment horizontal="center"/>
    </xf>
    <xf numFmtId="0" fontId="23" fillId="0" borderId="2" xfId="0" applyFont="1" applyBorder="1"/>
    <xf numFmtId="170" fontId="9" fillId="0" borderId="0" xfId="0" applyNumberFormat="1" applyFont="1" applyAlignment="1">
      <alignment horizontal="right"/>
    </xf>
    <xf numFmtId="0" fontId="6" fillId="0" borderId="0" xfId="0" applyFont="1" applyAlignment="1">
      <alignment horizontal="centerContinuous"/>
    </xf>
    <xf numFmtId="176" fontId="17" fillId="0" borderId="0" xfId="4" applyNumberFormat="1" applyFont="1" applyFill="1" applyBorder="1"/>
    <xf numFmtId="168" fontId="21" fillId="0" borderId="0" xfId="0" applyNumberFormat="1" applyFont="1"/>
    <xf numFmtId="0" fontId="22" fillId="0" borderId="0" xfId="0" applyFont="1"/>
    <xf numFmtId="0" fontId="6" fillId="0" borderId="3" xfId="0" applyFont="1" applyBorder="1"/>
    <xf numFmtId="178" fontId="5" fillId="0" borderId="0" xfId="0" applyNumberFormat="1" applyFont="1"/>
    <xf numFmtId="0" fontId="23" fillId="0" borderId="0" xfId="0" applyFont="1"/>
    <xf numFmtId="0" fontId="22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9" fillId="0" borderId="2" xfId="0" applyFont="1" applyBorder="1"/>
    <xf numFmtId="165" fontId="5" fillId="0" borderId="0" xfId="0" applyNumberFormat="1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65" fontId="21" fillId="0" borderId="0" xfId="0" applyNumberFormat="1" applyFont="1"/>
    <xf numFmtId="10" fontId="22" fillId="0" borderId="11" xfId="0" applyNumberFormat="1" applyFont="1" applyBorder="1" applyAlignment="1">
      <alignment horizontal="left"/>
    </xf>
    <xf numFmtId="179" fontId="24" fillId="0" borderId="0" xfId="0" applyNumberFormat="1" applyFont="1"/>
    <xf numFmtId="176" fontId="25" fillId="3" borderId="0" xfId="4" applyNumberFormat="1" applyFont="1" applyFill="1" applyBorder="1"/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0" borderId="8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175" fontId="12" fillId="0" borderId="0" xfId="3" applyNumberFormat="1" applyFont="1" applyFill="1" applyAlignment="1">
      <alignment horizontal="right"/>
    </xf>
    <xf numFmtId="0" fontId="10" fillId="0" borderId="0" xfId="0" applyFont="1"/>
    <xf numFmtId="176" fontId="10" fillId="0" borderId="0" xfId="4" applyNumberFormat="1" applyFont="1" applyBorder="1"/>
    <xf numFmtId="176" fontId="10" fillId="0" borderId="0" xfId="4" applyNumberFormat="1" applyFont="1" applyFill="1" applyBorder="1"/>
    <xf numFmtId="176" fontId="25" fillId="0" borderId="0" xfId="4" applyNumberFormat="1" applyFont="1" applyFill="1" applyBorder="1"/>
    <xf numFmtId="0" fontId="26" fillId="0" borderId="0" xfId="0" applyFont="1"/>
    <xf numFmtId="168" fontId="24" fillId="0" borderId="0" xfId="0" applyNumberFormat="1" applyFont="1"/>
    <xf numFmtId="0" fontId="11" fillId="2" borderId="0" xfId="0" applyFont="1" applyFill="1" applyAlignment="1">
      <alignment horizontal="center"/>
    </xf>
    <xf numFmtId="0" fontId="8" fillId="0" borderId="0" xfId="0" applyFont="1"/>
    <xf numFmtId="9" fontId="9" fillId="0" borderId="0" xfId="4" applyFont="1" applyFill="1" applyBorder="1"/>
    <xf numFmtId="169" fontId="5" fillId="0" borderId="0" xfId="4" applyNumberFormat="1" applyFont="1"/>
    <xf numFmtId="9" fontId="9" fillId="0" borderId="0" xfId="4" applyFont="1" applyBorder="1"/>
    <xf numFmtId="167" fontId="15" fillId="0" borderId="0" xfId="0" applyNumberFormat="1" applyFont="1" applyAlignment="1">
      <alignment horizontal="right"/>
    </xf>
    <xf numFmtId="177" fontId="5" fillId="0" borderId="0" xfId="3" applyNumberFormat="1" applyFont="1" applyFill="1" applyBorder="1" applyAlignment="1">
      <alignment horizontal="right"/>
    </xf>
    <xf numFmtId="168" fontId="5" fillId="0" borderId="0" xfId="0" applyNumberFormat="1" applyFont="1" applyAlignment="1">
      <alignment horizontal="right"/>
    </xf>
    <xf numFmtId="168" fontId="22" fillId="0" borderId="0" xfId="0" applyNumberFormat="1" applyFont="1"/>
    <xf numFmtId="9" fontId="5" fillId="0" borderId="0" xfId="4" applyFont="1" applyBorder="1"/>
    <xf numFmtId="0" fontId="6" fillId="0" borderId="1" xfId="0" applyFont="1" applyBorder="1"/>
    <xf numFmtId="170" fontId="5" fillId="0" borderId="0" xfId="0" applyNumberFormat="1" applyFont="1" applyAlignment="1">
      <alignment horizontal="right"/>
    </xf>
    <xf numFmtId="177" fontId="5" fillId="0" borderId="6" xfId="3" applyNumberFormat="1" applyFont="1" applyFill="1" applyBorder="1"/>
    <xf numFmtId="168" fontId="28" fillId="0" borderId="0" xfId="0" applyNumberFormat="1" applyFont="1"/>
    <xf numFmtId="168" fontId="5" fillId="0" borderId="0" xfId="0" applyNumberFormat="1" applyFont="1" applyAlignment="1">
      <alignment horizontal="center"/>
    </xf>
    <xf numFmtId="168" fontId="29" fillId="0" borderId="0" xfId="0" applyNumberFormat="1" applyFont="1" applyAlignment="1">
      <alignment horizontal="center"/>
    </xf>
    <xf numFmtId="168" fontId="29" fillId="0" borderId="0" xfId="0" applyNumberFormat="1" applyFont="1"/>
    <xf numFmtId="177" fontId="6" fillId="0" borderId="0" xfId="0" applyNumberFormat="1" applyFont="1"/>
    <xf numFmtId="0" fontId="6" fillId="0" borderId="0" xfId="5" applyFont="1"/>
    <xf numFmtId="0" fontId="5" fillId="0" borderId="0" xfId="5" applyFont="1"/>
    <xf numFmtId="0" fontId="6" fillId="0" borderId="3" xfId="5" applyFont="1" applyBorder="1"/>
    <xf numFmtId="0" fontId="6" fillId="0" borderId="3" xfId="5" applyFont="1" applyBorder="1" applyAlignment="1">
      <alignment horizontal="center"/>
    </xf>
    <xf numFmtId="178" fontId="5" fillId="0" borderId="0" xfId="5" applyNumberFormat="1" applyFont="1"/>
    <xf numFmtId="169" fontId="5" fillId="0" borderId="0" xfId="5" applyNumberFormat="1" applyFont="1"/>
    <xf numFmtId="0" fontId="5" fillId="0" borderId="12" xfId="5" applyFont="1" applyBorder="1"/>
    <xf numFmtId="180" fontId="5" fillId="0" borderId="3" xfId="5" applyNumberFormat="1" applyFont="1" applyBorder="1"/>
    <xf numFmtId="0" fontId="6" fillId="0" borderId="12" xfId="5" applyFont="1" applyBorder="1"/>
    <xf numFmtId="0" fontId="12" fillId="0" borderId="5" xfId="0" applyFont="1" applyBorder="1" applyAlignment="1">
      <alignment vertical="top"/>
    </xf>
    <xf numFmtId="177" fontId="16" fillId="0" borderId="0" xfId="0" applyNumberFormat="1" applyFont="1"/>
    <xf numFmtId="0" fontId="6" fillId="0" borderId="0" xfId="5" applyFont="1" applyAlignment="1">
      <alignment horizontal="center"/>
    </xf>
    <xf numFmtId="168" fontId="22" fillId="0" borderId="0" xfId="5" applyNumberFormat="1" applyFont="1"/>
    <xf numFmtId="168" fontId="5" fillId="0" borderId="0" xfId="5" applyNumberFormat="1" applyFont="1"/>
    <xf numFmtId="180" fontId="27" fillId="0" borderId="3" xfId="5" applyNumberFormat="1" applyFont="1" applyBorder="1"/>
    <xf numFmtId="168" fontId="27" fillId="0" borderId="0" xfId="5" applyNumberFormat="1" applyFont="1" applyAlignment="1">
      <alignment horizontal="center"/>
    </xf>
    <xf numFmtId="9" fontId="6" fillId="0" borderId="0" xfId="4" applyFont="1" applyBorder="1" applyAlignment="1">
      <alignment horizontal="center"/>
    </xf>
    <xf numFmtId="181" fontId="5" fillId="0" borderId="0" xfId="0" applyNumberFormat="1" applyFont="1"/>
    <xf numFmtId="166" fontId="5" fillId="0" borderId="0" xfId="0" applyNumberFormat="1" applyFont="1"/>
    <xf numFmtId="9" fontId="6" fillId="0" borderId="0" xfId="4" applyFont="1" applyAlignment="1">
      <alignment horizontal="center"/>
    </xf>
    <xf numFmtId="177" fontId="5" fillId="0" borderId="0" xfId="0" applyNumberFormat="1" applyFont="1"/>
    <xf numFmtId="165" fontId="25" fillId="0" borderId="0" xfId="16" applyFont="1" applyFill="1" applyBorder="1"/>
    <xf numFmtId="14" fontId="9" fillId="0" borderId="0" xfId="0" quotePrefix="1" applyNumberFormat="1" applyFont="1" applyAlignment="1">
      <alignment horizontal="center"/>
    </xf>
    <xf numFmtId="176" fontId="9" fillId="3" borderId="0" xfId="4" applyNumberFormat="1" applyFont="1" applyFill="1" applyBorder="1"/>
    <xf numFmtId="176" fontId="32" fillId="0" borderId="0" xfId="4" applyNumberFormat="1" applyFont="1" applyFill="1" applyBorder="1"/>
    <xf numFmtId="9" fontId="6" fillId="0" borderId="0" xfId="4" applyFont="1" applyFill="1" applyAlignment="1">
      <alignment horizontal="right"/>
    </xf>
    <xf numFmtId="4" fontId="5" fillId="0" borderId="0" xfId="5" applyNumberFormat="1" applyFont="1"/>
    <xf numFmtId="0" fontId="4" fillId="0" borderId="0" xfId="5"/>
    <xf numFmtId="168" fontId="6" fillId="0" borderId="0" xfId="0" applyNumberFormat="1" applyFont="1"/>
    <xf numFmtId="0" fontId="34" fillId="0" borderId="0" xfId="0" applyFont="1"/>
    <xf numFmtId="168" fontId="21" fillId="0" borderId="0" xfId="0" applyNumberFormat="1" applyFont="1" applyAlignment="1">
      <alignment horizontal="center"/>
    </xf>
    <xf numFmtId="0" fontId="35" fillId="0" borderId="0" xfId="0" applyFont="1"/>
    <xf numFmtId="4" fontId="5" fillId="0" borderId="0" xfId="4" applyNumberFormat="1" applyFont="1" applyBorder="1"/>
    <xf numFmtId="0" fontId="5" fillId="0" borderId="0" xfId="4" applyNumberFormat="1" applyFont="1" applyBorder="1"/>
    <xf numFmtId="9" fontId="22" fillId="0" borderId="0" xfId="0" applyNumberFormat="1" applyFont="1"/>
    <xf numFmtId="10" fontId="6" fillId="0" borderId="0" xfId="0" applyNumberFormat="1" applyFont="1" applyAlignment="1">
      <alignment horizontal="center"/>
    </xf>
    <xf numFmtId="0" fontId="10" fillId="0" borderId="0" xfId="4" applyNumberFormat="1" applyFont="1" applyBorder="1"/>
    <xf numFmtId="0" fontId="10" fillId="0" borderId="0" xfId="4" applyNumberFormat="1" applyFont="1" applyFill="1" applyBorder="1"/>
    <xf numFmtId="10" fontId="5" fillId="0" borderId="0" xfId="0" applyNumberFormat="1" applyFont="1"/>
    <xf numFmtId="0" fontId="21" fillId="0" borderId="0" xfId="0" applyFont="1"/>
    <xf numFmtId="0" fontId="18" fillId="0" borderId="0" xfId="0" applyFont="1"/>
    <xf numFmtId="169" fontId="5" fillId="0" borderId="0" xfId="0" applyNumberFormat="1" applyFont="1" applyAlignment="1">
      <alignment horizontal="center"/>
    </xf>
    <xf numFmtId="4" fontId="22" fillId="0" borderId="0" xfId="0" applyNumberFormat="1" applyFont="1"/>
    <xf numFmtId="4" fontId="0" fillId="0" borderId="0" xfId="0" applyNumberFormat="1"/>
    <xf numFmtId="0" fontId="22" fillId="0" borderId="5" xfId="0" applyFont="1" applyBorder="1" applyAlignment="1">
      <alignment vertical="top"/>
    </xf>
    <xf numFmtId="169" fontId="14" fillId="0" borderId="0" xfId="4" applyNumberFormat="1" applyFont="1" applyBorder="1" applyAlignment="1">
      <alignment horizontal="right"/>
    </xf>
    <xf numFmtId="169" fontId="5" fillId="0" borderId="0" xfId="0" applyNumberFormat="1" applyFont="1"/>
    <xf numFmtId="0" fontId="5" fillId="0" borderId="0" xfId="0" applyFont="1" applyAlignment="1">
      <alignment horizontal="left" indent="1"/>
    </xf>
    <xf numFmtId="172" fontId="6" fillId="0" borderId="8" xfId="0" applyNumberFormat="1" applyFont="1" applyBorder="1"/>
    <xf numFmtId="176" fontId="38" fillId="0" borderId="0" xfId="4" applyNumberFormat="1" applyFont="1" applyFill="1" applyBorder="1"/>
    <xf numFmtId="10" fontId="22" fillId="0" borderId="0" xfId="0" applyNumberFormat="1" applyFont="1"/>
    <xf numFmtId="168" fontId="39" fillId="0" borderId="0" xfId="0" applyNumberFormat="1" applyFont="1"/>
    <xf numFmtId="176" fontId="38" fillId="0" borderId="0" xfId="4" applyNumberFormat="1" applyFont="1" applyBorder="1"/>
    <xf numFmtId="168" fontId="37" fillId="0" borderId="0" xfId="0" applyNumberFormat="1" applyFont="1"/>
    <xf numFmtId="0" fontId="40" fillId="0" borderId="0" xfId="0" applyFont="1"/>
    <xf numFmtId="178" fontId="22" fillId="0" borderId="0" xfId="0" applyNumberFormat="1" applyFont="1"/>
    <xf numFmtId="165" fontId="22" fillId="0" borderId="0" xfId="0" applyNumberFormat="1" applyFont="1"/>
    <xf numFmtId="170" fontId="22" fillId="0" borderId="0" xfId="0" applyNumberFormat="1" applyFont="1" applyAlignment="1">
      <alignment horizontal="right"/>
    </xf>
    <xf numFmtId="170" fontId="22" fillId="0" borderId="0" xfId="0" applyNumberFormat="1" applyFont="1"/>
    <xf numFmtId="169" fontId="41" fillId="0" borderId="0" xfId="4" applyNumberFormat="1" applyFont="1" applyBorder="1" applyAlignment="1">
      <alignment horizontal="right"/>
    </xf>
    <xf numFmtId="176" fontId="5" fillId="0" borderId="0" xfId="4" applyNumberFormat="1" applyFont="1" applyBorder="1"/>
    <xf numFmtId="176" fontId="22" fillId="0" borderId="0" xfId="4" applyNumberFormat="1" applyFont="1" applyBorder="1"/>
    <xf numFmtId="169" fontId="6" fillId="0" borderId="0" xfId="0" applyNumberFormat="1" applyFont="1" applyAlignment="1">
      <alignment horizontal="center"/>
    </xf>
    <xf numFmtId="0" fontId="5" fillId="5" borderId="0" xfId="0" applyFont="1" applyFill="1"/>
    <xf numFmtId="178" fontId="5" fillId="5" borderId="0" xfId="0" applyNumberFormat="1" applyFont="1" applyFill="1"/>
    <xf numFmtId="168" fontId="9" fillId="0" borderId="0" xfId="3" applyNumberFormat="1" applyFont="1" applyFill="1"/>
    <xf numFmtId="0" fontId="5" fillId="0" borderId="0" xfId="0" quotePrefix="1" applyFont="1"/>
    <xf numFmtId="175" fontId="42" fillId="0" borderId="0" xfId="0" applyNumberFormat="1" applyFont="1"/>
    <xf numFmtId="168" fontId="29" fillId="6" borderId="0" xfId="0" applyNumberFormat="1" applyFont="1" applyFill="1"/>
    <xf numFmtId="14" fontId="5" fillId="0" borderId="0" xfId="0" applyNumberFormat="1" applyFont="1"/>
    <xf numFmtId="4" fontId="5" fillId="0" borderId="0" xfId="0" applyNumberFormat="1" applyFont="1"/>
    <xf numFmtId="4" fontId="5" fillId="0" borderId="0" xfId="4" applyNumberFormat="1" applyFont="1" applyBorder="1" applyAlignment="1">
      <alignment horizontal="center"/>
    </xf>
    <xf numFmtId="169" fontId="6" fillId="0" borderId="0" xfId="4" applyNumberFormat="1" applyFont="1" applyAlignment="1">
      <alignment horizontal="center"/>
    </xf>
    <xf numFmtId="43" fontId="5" fillId="0" borderId="0" xfId="0" applyNumberFormat="1" applyFont="1"/>
    <xf numFmtId="43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0" fontId="6" fillId="0" borderId="0" xfId="4" applyNumberFormat="1" applyFont="1" applyAlignment="1">
      <alignment horizontal="center"/>
    </xf>
    <xf numFmtId="169" fontId="22" fillId="0" borderId="0" xfId="4" applyNumberFormat="1" applyFont="1" applyAlignment="1">
      <alignment horizontal="center"/>
    </xf>
    <xf numFmtId="169" fontId="22" fillId="0" borderId="0" xfId="0" applyNumberFormat="1" applyFont="1"/>
    <xf numFmtId="182" fontId="5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41" fillId="0" borderId="0" xfId="0" applyNumberFormat="1" applyFont="1"/>
    <xf numFmtId="0" fontId="43" fillId="0" borderId="0" xfId="0" applyFont="1"/>
    <xf numFmtId="169" fontId="5" fillId="0" borderId="0" xfId="4" applyNumberFormat="1" applyFont="1" applyBorder="1"/>
    <xf numFmtId="176" fontId="22" fillId="0" borderId="0" xfId="4" applyNumberFormat="1" applyFont="1" applyFill="1" applyBorder="1"/>
    <xf numFmtId="168" fontId="5" fillId="0" borderId="0" xfId="3" applyNumberFormat="1" applyFont="1" applyFill="1" applyAlignment="1">
      <alignment horizontal="right"/>
    </xf>
    <xf numFmtId="14" fontId="22" fillId="0" borderId="0" xfId="0" applyNumberFormat="1" applyFont="1" applyAlignment="1">
      <alignment horizontal="center"/>
    </xf>
    <xf numFmtId="0" fontId="22" fillId="0" borderId="0" xfId="0" applyFont="1" applyAlignment="1">
      <alignment vertical="top"/>
    </xf>
    <xf numFmtId="0" fontId="0" fillId="0" borderId="0" xfId="0" applyAlignment="1">
      <alignment horizontal="right"/>
    </xf>
    <xf numFmtId="169" fontId="14" fillId="0" borderId="0" xfId="4" applyNumberFormat="1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7" fontId="15" fillId="0" borderId="2" xfId="0" applyNumberFormat="1" applyFont="1" applyBorder="1" applyAlignment="1">
      <alignment horizontal="right"/>
    </xf>
  </cellXfs>
  <cellStyles count="20">
    <cellStyle name="_x0010_“+ˆÉ•?pý¤ 3" xfId="7" xr:uid="{00000000-0005-0000-0000-000000000000}"/>
    <cellStyle name="_x0010_“+ˆÉ•?pý¤ 3 2" xfId="8" xr:uid="{00000000-0005-0000-0000-000001000000}"/>
    <cellStyle name="=C:\WINNT\SYSTEM32\COMMAND.COM" xfId="1" xr:uid="{00000000-0005-0000-0000-000002000000}"/>
    <cellStyle name="blp_column_header" xfId="9" xr:uid="{00000000-0005-0000-0000-000003000000}"/>
    <cellStyle name="Comma" xfId="16" builtinId="3"/>
    <cellStyle name="Comma 2" xfId="6" xr:uid="{00000000-0005-0000-0000-000005000000}"/>
    <cellStyle name="Comma 2 2" xfId="10" xr:uid="{00000000-0005-0000-0000-000006000000}"/>
    <cellStyle name="Comma 3" xfId="11" xr:uid="{00000000-0005-0000-0000-000007000000}"/>
    <cellStyle name="Currency" xfId="2" builtinId="4"/>
    <cellStyle name="Currency 3" xfId="12" xr:uid="{00000000-0005-0000-0000-000009000000}"/>
    <cellStyle name="Currency 3 2" xfId="13" xr:uid="{00000000-0005-0000-0000-00000A000000}"/>
    <cellStyle name="Euro" xfId="3" xr:uid="{00000000-0005-0000-0000-00000B000000}"/>
    <cellStyle name="Normal" xfId="0" builtinId="0"/>
    <cellStyle name="Normal 2" xfId="5" xr:uid="{00000000-0005-0000-0000-00000D000000}"/>
    <cellStyle name="Normal 2 2" xfId="14" xr:uid="{00000000-0005-0000-0000-00000E000000}"/>
    <cellStyle name="Normal 3" xfId="15" xr:uid="{00000000-0005-0000-0000-00000F000000}"/>
    <cellStyle name="Normal 4" xfId="17" xr:uid="{F68926BC-81E6-4145-8069-347A6A35A46F}"/>
    <cellStyle name="Normal 4 2" xfId="19" xr:uid="{73052AA9-825E-44E1-B4E1-ED25C0C6706E}"/>
    <cellStyle name="Normal 5" xfId="18" xr:uid="{FECAABD4-969B-4815-AED8-D97129B53D50}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88</xdr:row>
      <xdr:rowOff>63500</xdr:rowOff>
    </xdr:from>
    <xdr:to>
      <xdr:col>20</xdr:col>
      <xdr:colOff>209550</xdr:colOff>
      <xdr:row>108</xdr:row>
      <xdr:rowOff>109030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BB1CD0-1BFF-AD8B-8F02-9F944F4B3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8025" y="14081125"/>
          <a:ext cx="7788275" cy="3220530"/>
        </a:xfrm>
        <a:prstGeom prst="rect">
          <a:avLst/>
        </a:prstGeom>
      </xdr:spPr>
    </xdr:pic>
    <xdr:clientData/>
  </xdr:twoCellAnchor>
  <xdr:twoCellAnchor editAs="oneCell">
    <xdr:from>
      <xdr:col>10</xdr:col>
      <xdr:colOff>89675</xdr:colOff>
      <xdr:row>108</xdr:row>
      <xdr:rowOff>143126</xdr:rowOff>
    </xdr:from>
    <xdr:to>
      <xdr:col>20</xdr:col>
      <xdr:colOff>202010</xdr:colOff>
      <xdr:row>117</xdr:row>
      <xdr:rowOff>69300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A63040-770B-2F4E-EB0C-919149D15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356"/>
        <a:stretch>
          <a:fillRect/>
        </a:stretch>
      </xdr:blipFill>
      <xdr:spPr>
        <a:xfrm>
          <a:off x="9578389" y="17832412"/>
          <a:ext cx="7768621" cy="1395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87"/>
  <sheetViews>
    <sheetView showGridLines="0" tabSelected="1" view="pageBreakPreview" topLeftCell="A58" zoomScaleNormal="115" zoomScaleSheetLayoutView="100" workbookViewId="0">
      <selection activeCell="B36" sqref="B36:B50"/>
    </sheetView>
  </sheetViews>
  <sheetFormatPr defaultColWidth="10.6328125" defaultRowHeight="13" outlineLevelRow="1" x14ac:dyDescent="0.3"/>
  <cols>
    <col min="1" max="1" width="34" style="1" customWidth="1"/>
    <col min="2" max="2" width="12.453125" style="1" customWidth="1"/>
    <col min="3" max="3" width="12.453125" style="1" bestFit="1" customWidth="1"/>
    <col min="4" max="4" width="11.36328125" style="1" bestFit="1" customWidth="1"/>
    <col min="5" max="5" width="1.6328125" style="1" customWidth="1"/>
    <col min="6" max="6" width="10.6328125" style="1"/>
    <col min="7" max="7" width="11.36328125" style="1" bestFit="1" customWidth="1"/>
    <col min="8" max="8" width="10.6328125" style="1"/>
    <col min="9" max="9" width="20.6328125" style="1" customWidth="1"/>
    <col min="10" max="10" width="10.6328125" style="1" customWidth="1"/>
    <col min="11" max="11" width="13.81640625" style="1" bestFit="1" customWidth="1"/>
    <col min="12" max="13" width="10.6328125" style="1" customWidth="1"/>
    <col min="14" max="16384" width="10.6328125" style="1"/>
  </cols>
  <sheetData>
    <row r="1" spans="1:15" ht="15" x14ac:dyDescent="0.3">
      <c r="A1" s="38" t="s">
        <v>60</v>
      </c>
      <c r="B1" s="38"/>
      <c r="I1" s="39" t="s">
        <v>24</v>
      </c>
      <c r="J1" s="39"/>
      <c r="K1" s="39"/>
      <c r="L1" s="39"/>
      <c r="M1" s="39"/>
    </row>
    <row r="2" spans="1:15" ht="14.25" customHeight="1" thickBot="1" x14ac:dyDescent="0.4">
      <c r="A2" s="84" t="s">
        <v>92</v>
      </c>
      <c r="B2" s="7"/>
      <c r="C2" s="5"/>
      <c r="D2" s="5"/>
      <c r="E2" s="5"/>
      <c r="F2" s="5"/>
      <c r="G2" s="5"/>
      <c r="H2" s="239">
        <v>45874</v>
      </c>
      <c r="I2" s="239"/>
      <c r="J2" s="127"/>
      <c r="K2" s="127"/>
      <c r="L2" s="127"/>
      <c r="M2" s="127"/>
    </row>
    <row r="3" spans="1:15" x14ac:dyDescent="0.3">
      <c r="A3" s="2" t="s">
        <v>0</v>
      </c>
      <c r="B3" s="9" t="s">
        <v>138</v>
      </c>
      <c r="E3" s="12"/>
      <c r="G3" s="97" t="s">
        <v>88</v>
      </c>
      <c r="H3" s="98" t="s">
        <v>127</v>
      </c>
    </row>
    <row r="4" spans="1:15" x14ac:dyDescent="0.3">
      <c r="A4" s="2" t="s">
        <v>30</v>
      </c>
      <c r="B4" s="9" t="s">
        <v>126</v>
      </c>
      <c r="I4" s="46"/>
      <c r="J4" s="46"/>
      <c r="K4" s="46"/>
      <c r="L4" s="46"/>
      <c r="M4" s="46"/>
    </row>
    <row r="5" spans="1:15" ht="12.75" customHeight="1" x14ac:dyDescent="0.3">
      <c r="A5" s="2"/>
      <c r="B5" s="9"/>
    </row>
    <row r="6" spans="1:15" x14ac:dyDescent="0.3">
      <c r="A6" s="236" t="s">
        <v>18</v>
      </c>
      <c r="B6" s="237"/>
      <c r="C6" s="237"/>
      <c r="D6" s="237"/>
      <c r="E6" s="237"/>
      <c r="F6" s="237"/>
      <c r="G6" s="237"/>
      <c r="H6" s="237"/>
      <c r="I6" s="238"/>
      <c r="J6" s="122"/>
      <c r="K6" s="122"/>
      <c r="L6" s="122"/>
      <c r="M6" s="122"/>
      <c r="O6" s="89" t="s">
        <v>128</v>
      </c>
    </row>
    <row r="7" spans="1:15" ht="12.75" customHeight="1" x14ac:dyDescent="0.3">
      <c r="A7" s="89" t="s">
        <v>171</v>
      </c>
      <c r="B7" s="109"/>
      <c r="C7" s="109"/>
      <c r="D7" s="109"/>
      <c r="E7" s="109"/>
      <c r="F7" s="109"/>
      <c r="G7" s="109"/>
      <c r="H7" s="109"/>
      <c r="I7" s="110"/>
      <c r="J7" s="101"/>
      <c r="K7" s="101"/>
      <c r="L7" s="101"/>
      <c r="M7" s="101"/>
    </row>
    <row r="8" spans="1:15" x14ac:dyDescent="0.3">
      <c r="A8" s="102" t="s">
        <v>172</v>
      </c>
      <c r="B8" s="101"/>
      <c r="C8" s="101"/>
      <c r="D8" s="101"/>
      <c r="E8" s="101"/>
      <c r="F8" s="101"/>
      <c r="G8" s="101"/>
      <c r="H8" s="101"/>
      <c r="I8" s="93"/>
      <c r="J8" s="101"/>
      <c r="K8" s="101"/>
      <c r="L8" s="101"/>
      <c r="M8" s="101"/>
      <c r="O8" s="1" t="s">
        <v>48</v>
      </c>
    </row>
    <row r="9" spans="1:15" x14ac:dyDescent="0.3">
      <c r="A9" s="102" t="s">
        <v>173</v>
      </c>
      <c r="B9" s="101"/>
      <c r="C9" s="101"/>
      <c r="D9" s="101"/>
      <c r="E9" s="101"/>
      <c r="F9" s="101"/>
      <c r="G9" s="101"/>
      <c r="H9" s="101"/>
      <c r="I9" s="93"/>
      <c r="J9" s="101"/>
      <c r="K9" s="101"/>
      <c r="L9" s="101"/>
      <c r="M9" s="101"/>
      <c r="O9" s="1" t="s">
        <v>59</v>
      </c>
    </row>
    <row r="10" spans="1:15" x14ac:dyDescent="0.3">
      <c r="A10" s="102" t="s">
        <v>174</v>
      </c>
      <c r="B10" s="101"/>
      <c r="C10" s="101"/>
      <c r="D10" s="101"/>
      <c r="E10" s="101"/>
      <c r="F10" s="101"/>
      <c r="G10" s="101"/>
      <c r="H10" s="101"/>
      <c r="I10" s="93"/>
      <c r="J10" s="101"/>
      <c r="K10" s="101"/>
      <c r="L10" s="101"/>
      <c r="M10" s="101"/>
    </row>
    <row r="11" spans="1:15" x14ac:dyDescent="0.3">
      <c r="A11" s="102" t="s">
        <v>175</v>
      </c>
      <c r="B11" s="101"/>
      <c r="C11" s="101"/>
      <c r="D11" s="101"/>
      <c r="E11" s="101"/>
      <c r="F11" s="101"/>
      <c r="G11" s="101"/>
      <c r="H11" s="101"/>
      <c r="I11" s="93"/>
      <c r="J11" s="101"/>
      <c r="K11" s="101"/>
      <c r="L11" s="101"/>
      <c r="M11" s="101"/>
    </row>
    <row r="12" spans="1:15" x14ac:dyDescent="0.3">
      <c r="A12" s="89" t="s">
        <v>176</v>
      </c>
      <c r="B12" s="101"/>
      <c r="C12" s="101"/>
      <c r="D12" s="101"/>
      <c r="E12" s="101"/>
      <c r="F12" s="101"/>
      <c r="G12" s="101"/>
      <c r="H12" s="101"/>
      <c r="I12" s="93"/>
      <c r="J12" s="101"/>
      <c r="K12" s="101"/>
      <c r="L12" s="101"/>
      <c r="M12" s="101"/>
    </row>
    <row r="13" spans="1:15" x14ac:dyDescent="0.3">
      <c r="A13" s="102" t="s">
        <v>177</v>
      </c>
      <c r="B13" s="101"/>
      <c r="C13" s="101"/>
      <c r="D13" s="101"/>
      <c r="E13" s="101"/>
      <c r="F13" s="101"/>
      <c r="G13" s="101"/>
      <c r="H13" s="101"/>
      <c r="I13" s="93"/>
      <c r="J13" s="101"/>
      <c r="K13" s="101"/>
      <c r="L13" s="101"/>
      <c r="M13" s="101"/>
    </row>
    <row r="14" spans="1:15" x14ac:dyDescent="0.3">
      <c r="A14" s="102"/>
      <c r="B14" s="101"/>
      <c r="C14" s="101"/>
      <c r="D14" s="101"/>
      <c r="E14" s="101"/>
      <c r="F14" s="101"/>
      <c r="G14" s="101"/>
      <c r="H14" s="101"/>
      <c r="I14" s="93"/>
      <c r="J14" s="101"/>
      <c r="K14" s="101"/>
      <c r="L14" s="101"/>
      <c r="M14" s="101"/>
    </row>
    <row r="15" spans="1:15" x14ac:dyDescent="0.3">
      <c r="A15" s="102" t="s">
        <v>211</v>
      </c>
      <c r="B15" s="101"/>
      <c r="C15" s="101"/>
      <c r="D15" s="101"/>
      <c r="E15" s="101"/>
      <c r="F15" s="101"/>
      <c r="G15" s="101"/>
      <c r="H15" s="101"/>
      <c r="I15" s="93"/>
      <c r="J15" s="101"/>
      <c r="K15" s="101"/>
      <c r="L15" s="101"/>
      <c r="M15" s="101"/>
    </row>
    <row r="16" spans="1:15" x14ac:dyDescent="0.3">
      <c r="A16" s="102" t="s">
        <v>178</v>
      </c>
      <c r="B16" s="101"/>
      <c r="C16" s="101"/>
      <c r="D16" s="101"/>
      <c r="E16" s="101"/>
      <c r="F16" s="101"/>
      <c r="G16" s="101"/>
      <c r="H16" s="101"/>
      <c r="I16" s="93"/>
      <c r="J16" s="101"/>
      <c r="K16" s="101"/>
      <c r="L16" s="101"/>
      <c r="M16" s="101"/>
    </row>
    <row r="17" spans="1:15" x14ac:dyDescent="0.3">
      <c r="A17" s="89"/>
      <c r="B17" s="101"/>
      <c r="C17" s="101"/>
      <c r="D17" s="101"/>
      <c r="E17" s="101"/>
      <c r="F17" s="101"/>
      <c r="G17" s="101"/>
      <c r="H17" s="101"/>
      <c r="I17" s="93"/>
      <c r="J17" s="101"/>
      <c r="K17" s="101"/>
      <c r="L17" s="101"/>
      <c r="M17" s="101"/>
    </row>
    <row r="18" spans="1:15" x14ac:dyDescent="0.3">
      <c r="A18" s="102" t="s">
        <v>212</v>
      </c>
      <c r="B18" s="101"/>
      <c r="C18" s="101"/>
      <c r="D18" s="101"/>
      <c r="E18" s="101"/>
      <c r="F18" s="101"/>
      <c r="G18" s="101"/>
      <c r="H18" s="101"/>
      <c r="I18" s="93"/>
      <c r="J18" s="101"/>
      <c r="K18" s="101"/>
      <c r="L18" s="101"/>
      <c r="M18" s="101"/>
    </row>
    <row r="19" spans="1:15" x14ac:dyDescent="0.3">
      <c r="A19" s="102" t="s">
        <v>179</v>
      </c>
      <c r="B19" s="102"/>
      <c r="C19" s="102"/>
      <c r="D19" s="102"/>
      <c r="E19" s="102"/>
      <c r="F19" s="102"/>
      <c r="G19" s="102"/>
      <c r="H19" s="102"/>
      <c r="I19" s="112"/>
      <c r="J19" s="102"/>
      <c r="K19" s="102"/>
      <c r="L19" s="102"/>
      <c r="M19" s="102"/>
    </row>
    <row r="20" spans="1:15" x14ac:dyDescent="0.3">
      <c r="A20" s="102"/>
      <c r="B20" s="102"/>
      <c r="C20" s="102"/>
      <c r="D20" s="102"/>
      <c r="E20" s="102"/>
      <c r="F20" s="102"/>
      <c r="G20" s="102"/>
      <c r="H20" s="102"/>
      <c r="I20" s="112"/>
      <c r="J20" s="102"/>
      <c r="K20" s="102"/>
      <c r="L20" s="102"/>
      <c r="M20" s="102"/>
    </row>
    <row r="21" spans="1:15" x14ac:dyDescent="0.3">
      <c r="A21" s="102" t="s">
        <v>213</v>
      </c>
      <c r="B21" s="102"/>
      <c r="C21" s="102"/>
      <c r="D21" s="102"/>
      <c r="E21" s="102"/>
      <c r="F21" s="102"/>
      <c r="G21" s="102"/>
      <c r="H21" s="102"/>
      <c r="I21" s="112"/>
      <c r="J21" s="102"/>
      <c r="K21" s="102"/>
      <c r="L21" s="102"/>
      <c r="M21" s="102"/>
    </row>
    <row r="22" spans="1:15" x14ac:dyDescent="0.3">
      <c r="A22" s="102" t="s">
        <v>156</v>
      </c>
      <c r="B22" s="102"/>
      <c r="C22" s="102"/>
      <c r="D22" s="102"/>
      <c r="E22" s="102"/>
      <c r="F22" s="102"/>
      <c r="G22" s="102"/>
      <c r="H22" s="102"/>
      <c r="I22" s="112"/>
      <c r="J22" s="102"/>
      <c r="K22" s="102"/>
      <c r="L22" s="102"/>
      <c r="M22" s="102"/>
    </row>
    <row r="23" spans="1:15" x14ac:dyDescent="0.3">
      <c r="A23" s="102"/>
      <c r="B23" s="102"/>
      <c r="C23" s="102"/>
      <c r="D23" s="102"/>
      <c r="E23" s="102"/>
      <c r="F23" s="102"/>
      <c r="G23" s="102"/>
      <c r="H23" s="102"/>
      <c r="I23" s="112"/>
      <c r="J23" s="102"/>
      <c r="K23" s="102"/>
      <c r="L23" s="102"/>
      <c r="M23" s="102"/>
    </row>
    <row r="24" spans="1:15" x14ac:dyDescent="0.3">
      <c r="A24" s="102" t="s">
        <v>180</v>
      </c>
      <c r="B24" s="102"/>
      <c r="C24" s="102"/>
      <c r="D24" s="102"/>
      <c r="E24" s="102"/>
      <c r="F24" s="102"/>
      <c r="G24" s="102"/>
      <c r="H24" s="102"/>
      <c r="I24" s="112"/>
      <c r="J24" s="102"/>
      <c r="K24" s="102"/>
      <c r="L24" s="102"/>
      <c r="M24" s="102"/>
    </row>
    <row r="25" spans="1:15" x14ac:dyDescent="0.3">
      <c r="A25" s="113" t="s">
        <v>181</v>
      </c>
      <c r="B25" s="113"/>
      <c r="C25" s="113"/>
      <c r="D25" s="113"/>
      <c r="E25" s="113"/>
      <c r="F25" s="113"/>
      <c r="G25" s="113"/>
      <c r="H25" s="113"/>
      <c r="I25" s="114"/>
      <c r="J25" s="102"/>
      <c r="K25" s="102"/>
      <c r="L25" s="102"/>
      <c r="M25" s="102"/>
    </row>
    <row r="26" spans="1:15" ht="12.75" customHeight="1" x14ac:dyDescent="0.3">
      <c r="A26" s="60"/>
      <c r="B26" s="60"/>
      <c r="C26" s="60"/>
      <c r="D26" s="60"/>
      <c r="E26" s="60"/>
      <c r="F26" s="60"/>
      <c r="G26" s="60"/>
      <c r="H26" s="60"/>
      <c r="I26" s="60"/>
    </row>
    <row r="27" spans="1:15" x14ac:dyDescent="0.3">
      <c r="A27" s="236" t="s">
        <v>19</v>
      </c>
      <c r="B27" s="237"/>
      <c r="C27" s="238"/>
      <c r="D27"/>
      <c r="F27" s="236" t="s">
        <v>8</v>
      </c>
      <c r="G27" s="237"/>
      <c r="H27" s="237"/>
      <c r="I27" s="238"/>
      <c r="J27" s="122"/>
      <c r="K27" s="122"/>
      <c r="L27" s="122"/>
      <c r="M27" s="122"/>
      <c r="N27" s="1" t="s">
        <v>42</v>
      </c>
      <c r="O27" s="71" t="e">
        <f ca="1">_xll.BDP(O6,O9)</f>
        <v>#NAME?</v>
      </c>
    </row>
    <row r="28" spans="1:15" x14ac:dyDescent="0.3">
      <c r="A28" s="26" t="s">
        <v>9</v>
      </c>
      <c r="C28" s="134">
        <f>+Model!AG41</f>
        <v>281724</v>
      </c>
      <c r="D28"/>
      <c r="F28" s="26" t="s">
        <v>66</v>
      </c>
      <c r="H28" s="30"/>
      <c r="I28" s="74" t="e">
        <f ca="1">B89</f>
        <v>#NAME?</v>
      </c>
      <c r="J28" s="128"/>
      <c r="K28" s="128"/>
      <c r="L28" s="128"/>
      <c r="M28" s="128"/>
      <c r="N28" s="1" t="s">
        <v>43</v>
      </c>
      <c r="O28" s="72" t="e">
        <f ca="1">_xll.BDP(O6,O8)</f>
        <v>#NAME?</v>
      </c>
    </row>
    <row r="29" spans="1:15" x14ac:dyDescent="0.3">
      <c r="A29" s="26" t="s">
        <v>10</v>
      </c>
      <c r="C29" s="134">
        <f>+Model!AN93</f>
        <v>209673.53331999996</v>
      </c>
      <c r="D29"/>
      <c r="F29" s="26" t="s">
        <v>38</v>
      </c>
      <c r="I29" s="44">
        <f>+B87-B36-B37</f>
        <v>740.67999999999302</v>
      </c>
      <c r="J29" s="129"/>
      <c r="K29" s="129"/>
      <c r="L29" s="129"/>
      <c r="M29" s="129"/>
    </row>
    <row r="30" spans="1:15" collapsed="1" x14ac:dyDescent="0.3">
      <c r="A30" s="28" t="s">
        <v>1</v>
      </c>
      <c r="C30" s="29">
        <f>C29/C28</f>
        <v>0.74425158424557358</v>
      </c>
      <c r="D30"/>
      <c r="F30" s="26" t="s">
        <v>8</v>
      </c>
      <c r="I30" s="74" t="e">
        <f ca="1">SUM(I28:I29)</f>
        <v>#NAME?</v>
      </c>
      <c r="J30" s="128"/>
      <c r="K30" s="128"/>
      <c r="L30" s="128"/>
      <c r="M30" s="128"/>
    </row>
    <row r="31" spans="1:15" x14ac:dyDescent="0.3">
      <c r="A31" s="17"/>
      <c r="B31" s="4"/>
      <c r="C31" s="37"/>
      <c r="D31"/>
      <c r="F31" s="31" t="s">
        <v>17</v>
      </c>
      <c r="G31" s="4"/>
      <c r="H31" s="4"/>
      <c r="I31" s="32" t="e">
        <f ca="1">IF(I30/C29&gt;=0,I30/C29,"NM ")</f>
        <v>#NAME?</v>
      </c>
      <c r="J31" s="34"/>
      <c r="K31" s="34"/>
      <c r="L31" s="34"/>
      <c r="M31" s="34"/>
    </row>
    <row r="32" spans="1:15" ht="12.75" customHeight="1" x14ac:dyDescent="0.3">
      <c r="C32" s="33"/>
      <c r="F32" s="25"/>
      <c r="I32" s="34"/>
      <c r="J32" s="34"/>
      <c r="K32" s="34"/>
      <c r="L32" s="34"/>
      <c r="M32" s="34"/>
    </row>
    <row r="33" spans="1:15" x14ac:dyDescent="0.3">
      <c r="A33" s="236" t="s">
        <v>210</v>
      </c>
      <c r="B33" s="237"/>
      <c r="C33" s="237"/>
      <c r="D33" s="237"/>
      <c r="E33" s="237"/>
      <c r="F33" s="237"/>
      <c r="G33" s="237"/>
      <c r="H33" s="237"/>
      <c r="I33" s="238"/>
      <c r="J33" s="122"/>
      <c r="L33" s="122"/>
      <c r="M33" s="122"/>
    </row>
    <row r="34" spans="1:15" x14ac:dyDescent="0.3">
      <c r="A34" s="3"/>
      <c r="B34" s="3"/>
      <c r="D34" s="3" t="s">
        <v>40</v>
      </c>
      <c r="E34" s="3"/>
      <c r="F34" s="3" t="s">
        <v>39</v>
      </c>
      <c r="G34" s="3" t="s">
        <v>39</v>
      </c>
      <c r="H34" s="3"/>
      <c r="I34" s="3" t="s">
        <v>64</v>
      </c>
      <c r="J34" s="3"/>
      <c r="L34" s="3"/>
      <c r="M34" s="3"/>
      <c r="N34" s="71" t="s">
        <v>195</v>
      </c>
    </row>
    <row r="35" spans="1:15" x14ac:dyDescent="0.3">
      <c r="A35" s="36" t="s">
        <v>2</v>
      </c>
      <c r="B35" s="8" t="s">
        <v>3</v>
      </c>
      <c r="C35" s="8" t="s">
        <v>4</v>
      </c>
      <c r="D35" s="8" t="s">
        <v>41</v>
      </c>
      <c r="E35" s="8"/>
      <c r="F35" s="8" t="s">
        <v>21</v>
      </c>
      <c r="G35" s="8" t="s">
        <v>41</v>
      </c>
      <c r="H35" s="8" t="s">
        <v>58</v>
      </c>
      <c r="I35" s="8" t="s">
        <v>65</v>
      </c>
      <c r="J35" s="3"/>
      <c r="L35" s="3"/>
      <c r="M35" s="3"/>
      <c r="N35" s="106">
        <v>4.3900000000000002E-2</v>
      </c>
    </row>
    <row r="36" spans="1:15" x14ac:dyDescent="0.3">
      <c r="A36" s="49" t="s">
        <v>91</v>
      </c>
      <c r="B36" s="75">
        <v>30242</v>
      </c>
      <c r="C36" s="3"/>
      <c r="D36" s="3"/>
      <c r="E36" s="3"/>
      <c r="H36" s="3"/>
      <c r="I36" s="3"/>
      <c r="J36" s="3"/>
      <c r="K36" s="3"/>
      <c r="L36" s="3"/>
      <c r="M36" s="3"/>
    </row>
    <row r="37" spans="1:15" x14ac:dyDescent="0.3">
      <c r="A37" s="49" t="s">
        <v>166</v>
      </c>
      <c r="B37" s="205">
        <v>64323</v>
      </c>
      <c r="C37" s="3"/>
      <c r="D37" s="3"/>
      <c r="E37" s="3"/>
      <c r="H37" s="3"/>
      <c r="I37" s="3"/>
      <c r="J37" s="3"/>
      <c r="K37" s="3"/>
      <c r="L37" s="3"/>
      <c r="M37" s="3"/>
    </row>
    <row r="38" spans="1:15" x14ac:dyDescent="0.3">
      <c r="A38" s="49"/>
      <c r="B38" s="75"/>
      <c r="C38" s="3"/>
      <c r="D38" s="3"/>
      <c r="E38" s="3"/>
      <c r="H38" s="3"/>
      <c r="I38" s="3"/>
      <c r="J38" s="220" t="s">
        <v>200</v>
      </c>
      <c r="K38" s="220" t="s">
        <v>201</v>
      </c>
      <c r="L38" s="220" t="s">
        <v>202</v>
      </c>
      <c r="M38" s="220" t="s">
        <v>203</v>
      </c>
      <c r="N38" s="220" t="s">
        <v>190</v>
      </c>
      <c r="O38" s="220" t="s">
        <v>204</v>
      </c>
    </row>
    <row r="39" spans="1:15" ht="12.75" customHeight="1" x14ac:dyDescent="0.3">
      <c r="B39" s="75"/>
      <c r="C39" s="20"/>
      <c r="D39" s="21"/>
      <c r="E39" s="3"/>
      <c r="F39" s="70"/>
      <c r="H39" s="79"/>
      <c r="I39" s="80"/>
      <c r="J39" s="91"/>
      <c r="K39" s="204"/>
      <c r="L39" s="91"/>
      <c r="M39" s="91"/>
    </row>
    <row r="40" spans="1:15" ht="12.75" customHeight="1" x14ac:dyDescent="0.3">
      <c r="A40" s="1" t="s">
        <v>139</v>
      </c>
      <c r="B40" s="10">
        <v>46172</v>
      </c>
      <c r="C40" s="20" t="e">
        <f ca="1">B40/$B$90</f>
        <v>#NAME?</v>
      </c>
      <c r="D40" s="21">
        <f t="shared" ref="D40" si="0">IF(B40/$C$29&gt;=0,B40/$C$29,"NM ")</f>
        <v>0.22020900429780579</v>
      </c>
      <c r="E40" s="3"/>
      <c r="F40" s="70">
        <v>1</v>
      </c>
      <c r="H40" s="162"/>
      <c r="I40" s="80">
        <v>4.2000000000000003E-2</v>
      </c>
      <c r="J40" s="225">
        <f t="shared" ref="J40" si="1">$B40*$I40/4</f>
        <v>484.80600000000004</v>
      </c>
      <c r="K40" s="225">
        <f>$B40*$I40/4</f>
        <v>484.80600000000004</v>
      </c>
      <c r="L40" s="225">
        <f>$B40*$I40/4</f>
        <v>484.80600000000004</v>
      </c>
      <c r="M40" s="225">
        <f>$B40*$I40/4</f>
        <v>484.80600000000004</v>
      </c>
      <c r="N40" s="225">
        <f t="shared" ref="N40:O40" si="2">$B40*$I40</f>
        <v>1939.2240000000002</v>
      </c>
      <c r="O40" s="225">
        <f t="shared" si="2"/>
        <v>1939.2240000000002</v>
      </c>
    </row>
    <row r="41" spans="1:15" x14ac:dyDescent="0.3">
      <c r="A41" s="1" t="s">
        <v>69</v>
      </c>
      <c r="B41" s="41">
        <f>+SUM(B40:B40)</f>
        <v>46172</v>
      </c>
      <c r="C41" s="82" t="e">
        <f ca="1">B41/$B$90</f>
        <v>#NAME?</v>
      </c>
      <c r="D41" s="83">
        <f t="shared" ref="D41" si="3">IF(B41/$C$29&gt;=0,B41/$C$29,"NM ")</f>
        <v>0.22020900429780579</v>
      </c>
      <c r="E41" s="18"/>
      <c r="G41" s="21">
        <f>IFERROR(SUM(D40:D40)*AVERAGE(F40:F40),"NM ")</f>
        <v>0.22020900429780579</v>
      </c>
      <c r="J41" s="91"/>
      <c r="K41" s="203"/>
    </row>
    <row r="42" spans="1:15" x14ac:dyDescent="0.3">
      <c r="B42" s="11"/>
      <c r="C42" s="40"/>
      <c r="D42" s="21"/>
      <c r="E42" s="18"/>
      <c r="G42" s="21"/>
      <c r="J42" s="91"/>
      <c r="K42" s="203"/>
    </row>
    <row r="43" spans="1:15" x14ac:dyDescent="0.3">
      <c r="B43" s="11"/>
      <c r="C43" s="211"/>
      <c r="D43" s="21"/>
      <c r="E43" s="18"/>
      <c r="G43" s="21"/>
      <c r="J43" s="91"/>
      <c r="K43" s="203"/>
    </row>
    <row r="44" spans="1:15" x14ac:dyDescent="0.3">
      <c r="A44" s="1" t="s">
        <v>140</v>
      </c>
      <c r="B44" s="11">
        <f>+SUM(B45:B86)</f>
        <v>49133.679999999986</v>
      </c>
      <c r="C44" s="20" t="e">
        <f ca="1">B44/$B$90</f>
        <v>#NAME?</v>
      </c>
      <c r="D44" s="21">
        <f t="shared" ref="D44" si="4">IF(B44/$C$29&gt;=0,B44/$C$29,"NM ")</f>
        <v>0.23433420147030695</v>
      </c>
      <c r="E44" s="3"/>
      <c r="F44" s="181">
        <f>+SUMPRODUCT(F45:F86,$B$45:$B$86)/$B$44</f>
        <v>0.82240321535044825</v>
      </c>
      <c r="G44" s="21"/>
      <c r="H44" s="89" t="s">
        <v>242</v>
      </c>
      <c r="I44" s="181">
        <f>+SUMPRODUCT(I45:I86,$B$45:$B$86)/$B$44</f>
        <v>3.1752448070244285E-2</v>
      </c>
      <c r="J44" s="91"/>
      <c r="K44" s="203"/>
    </row>
    <row r="45" spans="1:15" outlineLevel="1" x14ac:dyDescent="0.3">
      <c r="A45" s="187" t="s">
        <v>216</v>
      </c>
      <c r="B45" s="10">
        <v>4000</v>
      </c>
      <c r="C45" s="20" t="e">
        <f ca="1">B45/$B$90</f>
        <v>#NAME?</v>
      </c>
      <c r="D45" s="21">
        <f>IF(B45/$C$29&gt;=0,B45/$C$29,"NM ")</f>
        <v>1.9077276643663328E-2</v>
      </c>
      <c r="E45" s="3"/>
      <c r="F45" s="217">
        <v>0.99209999999999998</v>
      </c>
      <c r="H45" s="226">
        <v>46424</v>
      </c>
      <c r="I45" s="217">
        <v>3.3000000000000002E-2</v>
      </c>
      <c r="J45" s="225">
        <f t="shared" ref="J45:M86" si="5">$B45*$I45/4</f>
        <v>33</v>
      </c>
      <c r="K45" s="225">
        <f t="shared" si="5"/>
        <v>33</v>
      </c>
      <c r="L45" s="225">
        <f t="shared" si="5"/>
        <v>33</v>
      </c>
      <c r="M45" s="225">
        <f t="shared" si="5"/>
        <v>33</v>
      </c>
      <c r="N45" s="225">
        <f>$B45*$I45*7.25/12</f>
        <v>79.75</v>
      </c>
      <c r="O45" s="225">
        <v>0</v>
      </c>
    </row>
    <row r="46" spans="1:15" outlineLevel="1" x14ac:dyDescent="0.3">
      <c r="A46" s="187" t="s">
        <v>217</v>
      </c>
      <c r="B46" s="10">
        <v>851.4</v>
      </c>
      <c r="C46" s="20" t="e">
        <f t="shared" ref="C46:C48" ca="1" si="6">B46/$B$90</f>
        <v>#NAME?</v>
      </c>
      <c r="D46" s="21">
        <f t="shared" ref="D46:D48" si="7">IF(B46/$C$29&gt;=0,B46/$C$29,"NM ")</f>
        <v>4.0605983336037396E-3</v>
      </c>
      <c r="E46" s="3"/>
      <c r="F46" s="217">
        <v>0.96519999999999995</v>
      </c>
      <c r="H46" s="226">
        <v>50077</v>
      </c>
      <c r="I46" s="217">
        <v>4.0999999999999995E-2</v>
      </c>
      <c r="J46" s="225">
        <f t="shared" si="5"/>
        <v>8.7268499999999989</v>
      </c>
      <c r="K46" s="225">
        <f t="shared" si="5"/>
        <v>8.7268499999999989</v>
      </c>
      <c r="L46" s="225">
        <f t="shared" si="5"/>
        <v>8.7268499999999989</v>
      </c>
      <c r="M46" s="225">
        <f t="shared" si="5"/>
        <v>8.7268499999999989</v>
      </c>
      <c r="N46" s="225">
        <f t="shared" ref="N46:O86" si="8">$B46*$I46</f>
        <v>34.907399999999996</v>
      </c>
      <c r="O46" s="225">
        <f t="shared" si="8"/>
        <v>34.907399999999996</v>
      </c>
    </row>
    <row r="47" spans="1:15" outlineLevel="1" x14ac:dyDescent="0.3">
      <c r="A47" s="187" t="s">
        <v>218</v>
      </c>
      <c r="B47" s="10">
        <v>1088.48</v>
      </c>
      <c r="C47" s="20" t="e">
        <f t="shared" ca="1" si="6"/>
        <v>#NAME?</v>
      </c>
      <c r="D47" s="21">
        <f t="shared" si="7"/>
        <v>5.1913085202736648E-3</v>
      </c>
      <c r="E47" s="3"/>
      <c r="F47" s="217">
        <v>0.8911</v>
      </c>
      <c r="H47" s="226">
        <v>53729</v>
      </c>
      <c r="I47" s="217">
        <v>4.2500000000000003E-2</v>
      </c>
      <c r="J47" s="225">
        <f t="shared" si="5"/>
        <v>11.565100000000001</v>
      </c>
      <c r="K47" s="225">
        <f t="shared" si="5"/>
        <v>11.565100000000001</v>
      </c>
      <c r="L47" s="225">
        <f t="shared" si="5"/>
        <v>11.565100000000001</v>
      </c>
      <c r="M47" s="225">
        <f t="shared" si="5"/>
        <v>11.565100000000001</v>
      </c>
      <c r="N47" s="225">
        <f t="shared" si="8"/>
        <v>46.260400000000004</v>
      </c>
      <c r="O47" s="225">
        <f t="shared" si="8"/>
        <v>46.260400000000004</v>
      </c>
    </row>
    <row r="48" spans="1:15" outlineLevel="1" x14ac:dyDescent="0.3">
      <c r="A48" s="187" t="s">
        <v>219</v>
      </c>
      <c r="B48" s="10">
        <v>755.05</v>
      </c>
      <c r="C48" s="20" t="e">
        <f t="shared" ca="1" si="6"/>
        <v>#NAME?</v>
      </c>
      <c r="D48" s="21">
        <f t="shared" si="7"/>
        <v>3.6010744324494991E-3</v>
      </c>
      <c r="E48" s="3"/>
      <c r="F48" s="217">
        <v>0.90029999999999999</v>
      </c>
      <c r="H48" s="226">
        <v>57382</v>
      </c>
      <c r="I48" s="217">
        <v>4.4999999999999998E-2</v>
      </c>
      <c r="J48" s="225">
        <f t="shared" si="5"/>
        <v>8.4943124999999995</v>
      </c>
      <c r="K48" s="225">
        <f t="shared" si="5"/>
        <v>8.4943124999999995</v>
      </c>
      <c r="L48" s="225">
        <f t="shared" si="5"/>
        <v>8.4943124999999995</v>
      </c>
      <c r="M48" s="225">
        <f t="shared" si="5"/>
        <v>8.4943124999999995</v>
      </c>
      <c r="N48" s="225">
        <f t="shared" si="8"/>
        <v>33.977249999999998</v>
      </c>
      <c r="O48" s="225">
        <f t="shared" si="8"/>
        <v>33.977249999999998</v>
      </c>
    </row>
    <row r="49" spans="1:18" outlineLevel="1" x14ac:dyDescent="0.3">
      <c r="A49" s="187" t="s">
        <v>220</v>
      </c>
      <c r="B49" s="10">
        <v>87.33</v>
      </c>
      <c r="C49" s="20" t="e">
        <f t="shared" ref="C49:C87" ca="1" si="9">B49/$B$90</f>
        <v>#NAME?</v>
      </c>
      <c r="D49" s="21">
        <f>IF(B49/$C$29&gt;=0,B49/$C$29,"NM ")</f>
        <v>4.1650464232277965E-4</v>
      </c>
      <c r="E49" s="3"/>
      <c r="F49" s="217">
        <v>0.98439999999999994</v>
      </c>
      <c r="H49" s="226">
        <v>46280</v>
      </c>
      <c r="I49" s="217">
        <v>3.4000000000000002E-2</v>
      </c>
      <c r="J49" s="225">
        <f t="shared" si="5"/>
        <v>0.74230499999999999</v>
      </c>
      <c r="K49" s="225">
        <f t="shared" si="5"/>
        <v>0.74230499999999999</v>
      </c>
      <c r="L49" s="225">
        <f t="shared" si="5"/>
        <v>0.74230499999999999</v>
      </c>
      <c r="M49" s="225">
        <f t="shared" si="5"/>
        <v>0.74230499999999999</v>
      </c>
      <c r="N49" s="225">
        <f>$B49*$I49*2.5/12</f>
        <v>0.61858749999999996</v>
      </c>
      <c r="O49" s="225">
        <v>0</v>
      </c>
    </row>
    <row r="50" spans="1:18" outlineLevel="1" x14ac:dyDescent="0.3">
      <c r="A50" s="187" t="s">
        <v>220</v>
      </c>
      <c r="B50" s="10">
        <v>45.15</v>
      </c>
      <c r="C50" s="20" t="e">
        <f t="shared" ca="1" si="9"/>
        <v>#NAME?</v>
      </c>
      <c r="D50" s="21">
        <f t="shared" ref="D50:D70" si="10">IF(B50/$C$29&gt;=0,B50/$C$29,"NM ")</f>
        <v>2.1533476011534981E-4</v>
      </c>
      <c r="E50" s="3"/>
      <c r="F50" s="217">
        <v>0.96599999999999997</v>
      </c>
      <c r="H50" s="226">
        <v>46553</v>
      </c>
      <c r="I50" s="217">
        <v>3.4000000000000002E-2</v>
      </c>
      <c r="J50" s="225">
        <f t="shared" si="5"/>
        <v>0.38377500000000003</v>
      </c>
      <c r="K50" s="225">
        <f t="shared" si="5"/>
        <v>0.38377500000000003</v>
      </c>
      <c r="L50" s="225">
        <f t="shared" si="5"/>
        <v>0.38377500000000003</v>
      </c>
      <c r="M50" s="225">
        <f t="shared" si="5"/>
        <v>0.38377500000000003</v>
      </c>
      <c r="N50" s="225">
        <f>$B50*$I50*11.5/12</f>
        <v>1.4711375000000002</v>
      </c>
      <c r="O50" s="225">
        <v>0</v>
      </c>
    </row>
    <row r="51" spans="1:18" outlineLevel="1" x14ac:dyDescent="0.3">
      <c r="A51" s="187" t="s">
        <v>219</v>
      </c>
      <c r="B51" s="10">
        <v>5.65</v>
      </c>
      <c r="C51" s="20" t="e">
        <f t="shared" ca="1" si="9"/>
        <v>#NAME?</v>
      </c>
      <c r="D51" s="21">
        <f t="shared" si="10"/>
        <v>2.6946653259174456E-5</v>
      </c>
      <c r="E51" s="3"/>
      <c r="F51" s="217">
        <v>0.76730000000000009</v>
      </c>
      <c r="H51" s="226">
        <v>53858</v>
      </c>
      <c r="I51" s="217">
        <v>4.4999999999999998E-2</v>
      </c>
      <c r="J51" s="225">
        <f t="shared" si="5"/>
        <v>6.3562500000000008E-2</v>
      </c>
      <c r="K51" s="225">
        <f t="shared" si="5"/>
        <v>6.3562500000000008E-2</v>
      </c>
      <c r="L51" s="225">
        <f t="shared" si="5"/>
        <v>6.3562500000000008E-2</v>
      </c>
      <c r="M51" s="225">
        <f t="shared" si="5"/>
        <v>6.3562500000000008E-2</v>
      </c>
      <c r="N51" s="225">
        <f t="shared" si="8"/>
        <v>0.25425000000000003</v>
      </c>
      <c r="O51" s="225">
        <f t="shared" si="8"/>
        <v>0.25425000000000003</v>
      </c>
    </row>
    <row r="52" spans="1:18" outlineLevel="1" x14ac:dyDescent="0.3">
      <c r="A52" s="187" t="s">
        <v>221</v>
      </c>
      <c r="B52" s="10">
        <v>3750</v>
      </c>
      <c r="C52" s="20" t="e">
        <f t="shared" ca="1" si="9"/>
        <v>#NAME?</v>
      </c>
      <c r="D52" s="21">
        <f t="shared" si="10"/>
        <v>1.7884946853434371E-2</v>
      </c>
      <c r="E52" s="3"/>
      <c r="F52" s="217">
        <v>0.58920000000000006</v>
      </c>
      <c r="H52" s="226">
        <v>58593</v>
      </c>
      <c r="I52" s="217">
        <v>2.6749999999999999E-2</v>
      </c>
      <c r="J52" s="225">
        <f t="shared" si="5"/>
        <v>25.078125</v>
      </c>
      <c r="K52" s="225">
        <f t="shared" si="5"/>
        <v>25.078125</v>
      </c>
      <c r="L52" s="225">
        <f t="shared" si="5"/>
        <v>25.078125</v>
      </c>
      <c r="M52" s="225">
        <f t="shared" si="5"/>
        <v>25.078125</v>
      </c>
      <c r="N52" s="225">
        <f t="shared" si="8"/>
        <v>100.3125</v>
      </c>
      <c r="O52" s="225">
        <f t="shared" si="8"/>
        <v>100.3125</v>
      </c>
    </row>
    <row r="53" spans="1:18" outlineLevel="1" x14ac:dyDescent="0.3">
      <c r="A53" s="187" t="s">
        <v>222</v>
      </c>
      <c r="B53" s="10">
        <v>6250</v>
      </c>
      <c r="C53" s="20" t="e">
        <f t="shared" ca="1" si="9"/>
        <v>#NAME?</v>
      </c>
      <c r="D53" s="21">
        <f t="shared" si="10"/>
        <v>2.9808244755723953E-2</v>
      </c>
      <c r="E53" s="3"/>
      <c r="F53" s="217">
        <v>0.62180000000000002</v>
      </c>
      <c r="H53" s="226">
        <v>54940</v>
      </c>
      <c r="I53" s="217">
        <v>2.5249999999999998E-2</v>
      </c>
      <c r="J53" s="225">
        <f t="shared" si="5"/>
        <v>39.453125</v>
      </c>
      <c r="K53" s="225">
        <f t="shared" si="5"/>
        <v>39.453125</v>
      </c>
      <c r="L53" s="225">
        <f t="shared" si="5"/>
        <v>39.453125</v>
      </c>
      <c r="M53" s="225">
        <f t="shared" si="5"/>
        <v>39.453125</v>
      </c>
      <c r="N53" s="225">
        <f t="shared" si="8"/>
        <v>157.8125</v>
      </c>
      <c r="O53" s="225">
        <f t="shared" si="8"/>
        <v>157.8125</v>
      </c>
    </row>
    <row r="54" spans="1:18" outlineLevel="1" x14ac:dyDescent="0.3">
      <c r="A54" s="187" t="s">
        <v>223</v>
      </c>
      <c r="B54" s="10">
        <v>51.23</v>
      </c>
      <c r="C54" s="20" t="e">
        <f t="shared" ca="1" si="9"/>
        <v>#NAME?</v>
      </c>
      <c r="D54" s="21">
        <f t="shared" si="10"/>
        <v>2.4433222061371809E-4</v>
      </c>
      <c r="E54" s="3"/>
      <c r="F54" s="217">
        <v>0.81790000000000007</v>
      </c>
      <c r="H54" s="226">
        <v>47741</v>
      </c>
      <c r="I54" s="217">
        <v>1.3500000000000002E-2</v>
      </c>
      <c r="J54" s="225">
        <f t="shared" si="5"/>
        <v>0.17290125000000001</v>
      </c>
      <c r="K54" s="225">
        <f t="shared" si="5"/>
        <v>0.17290125000000001</v>
      </c>
      <c r="L54" s="225">
        <f t="shared" si="5"/>
        <v>0.17290125000000001</v>
      </c>
      <c r="M54" s="225">
        <f t="shared" si="5"/>
        <v>0.17290125000000001</v>
      </c>
      <c r="N54" s="225">
        <f t="shared" si="8"/>
        <v>0.69160500000000003</v>
      </c>
      <c r="O54" s="225">
        <f t="shared" si="8"/>
        <v>0.69160500000000003</v>
      </c>
    </row>
    <row r="55" spans="1:18" outlineLevel="1" x14ac:dyDescent="0.3">
      <c r="A55" s="187" t="s">
        <v>224</v>
      </c>
      <c r="B55" s="10">
        <v>59.57</v>
      </c>
      <c r="C55" s="20" t="e">
        <f t="shared" ca="1" si="9"/>
        <v>#NAME?</v>
      </c>
      <c r="D55" s="21">
        <f t="shared" si="10"/>
        <v>2.8410834241575611E-4</v>
      </c>
      <c r="E55" s="3"/>
      <c r="F55" s="217">
        <v>0.52100000000000002</v>
      </c>
      <c r="H55" s="226">
        <v>55046</v>
      </c>
      <c r="I55" s="217">
        <v>2.5000000000000001E-2</v>
      </c>
      <c r="J55" s="225">
        <f t="shared" si="5"/>
        <v>0.37231250000000005</v>
      </c>
      <c r="K55" s="225">
        <f t="shared" si="5"/>
        <v>0.37231250000000005</v>
      </c>
      <c r="L55" s="225">
        <f t="shared" si="5"/>
        <v>0.37231250000000005</v>
      </c>
      <c r="M55" s="225">
        <f t="shared" si="5"/>
        <v>0.37231250000000005</v>
      </c>
      <c r="N55" s="225">
        <f t="shared" si="8"/>
        <v>1.4892500000000002</v>
      </c>
      <c r="O55" s="225">
        <f t="shared" si="8"/>
        <v>1.4892500000000002</v>
      </c>
    </row>
    <row r="56" spans="1:18" outlineLevel="1" x14ac:dyDescent="0.3">
      <c r="A56" s="187" t="s">
        <v>225</v>
      </c>
      <c r="B56" s="10">
        <v>6250</v>
      </c>
      <c r="C56" s="20" t="e">
        <f t="shared" ca="1" si="9"/>
        <v>#NAME?</v>
      </c>
      <c r="D56" s="21">
        <f t="shared" si="10"/>
        <v>2.9808244755723953E-2</v>
      </c>
      <c r="E56" s="3"/>
      <c r="F56" s="217">
        <v>0.66709999999999992</v>
      </c>
      <c r="H56" s="226">
        <v>55595</v>
      </c>
      <c r="I56" s="217">
        <v>2.921E-2</v>
      </c>
      <c r="J56" s="225">
        <f t="shared" si="5"/>
        <v>45.640625</v>
      </c>
      <c r="K56" s="225">
        <f t="shared" si="5"/>
        <v>45.640625</v>
      </c>
      <c r="L56" s="225">
        <f t="shared" si="5"/>
        <v>45.640625</v>
      </c>
      <c r="M56" s="225">
        <f t="shared" si="5"/>
        <v>45.640625</v>
      </c>
      <c r="N56" s="225">
        <f t="shared" si="8"/>
        <v>182.5625</v>
      </c>
      <c r="O56" s="225">
        <f t="shared" si="8"/>
        <v>182.5625</v>
      </c>
    </row>
    <row r="57" spans="1:18" outlineLevel="1" x14ac:dyDescent="0.3">
      <c r="A57" s="187" t="s">
        <v>226</v>
      </c>
      <c r="B57" s="10">
        <v>1934.97</v>
      </c>
      <c r="C57" s="20" t="e">
        <f t="shared" ca="1" si="9"/>
        <v>#NAME?</v>
      </c>
      <c r="D57" s="21">
        <f t="shared" si="10"/>
        <v>9.2284894967973076E-3</v>
      </c>
      <c r="E57" s="3"/>
      <c r="F57" s="217">
        <v>0.64269999999999994</v>
      </c>
      <c r="H57" s="226">
        <v>59247</v>
      </c>
      <c r="I57" s="217">
        <v>3.041E-2</v>
      </c>
      <c r="J57" s="225">
        <f t="shared" si="5"/>
        <v>14.710609424999999</v>
      </c>
      <c r="K57" s="225">
        <f t="shared" si="5"/>
        <v>14.710609424999999</v>
      </c>
      <c r="L57" s="225">
        <f t="shared" si="5"/>
        <v>14.710609424999999</v>
      </c>
      <c r="M57" s="225">
        <f t="shared" si="5"/>
        <v>14.710609424999999</v>
      </c>
      <c r="N57" s="225">
        <f t="shared" si="8"/>
        <v>58.842437699999998</v>
      </c>
      <c r="O57" s="225">
        <f t="shared" si="8"/>
        <v>58.842437699999998</v>
      </c>
    </row>
    <row r="58" spans="1:18" outlineLevel="1" x14ac:dyDescent="0.3">
      <c r="A58" s="187" t="s">
        <v>227</v>
      </c>
      <c r="B58" s="10">
        <v>520.26</v>
      </c>
      <c r="C58" s="20" t="e">
        <f t="shared" ca="1" si="9"/>
        <v>#NAME?</v>
      </c>
      <c r="D58" s="21">
        <f t="shared" si="10"/>
        <v>2.481285986658071E-3</v>
      </c>
      <c r="E58" s="3"/>
      <c r="F58" s="217">
        <v>1.0384</v>
      </c>
      <c r="H58" s="226">
        <v>50922</v>
      </c>
      <c r="I58" s="217">
        <v>5.2000000000000005E-2</v>
      </c>
      <c r="J58" s="225">
        <f t="shared" si="5"/>
        <v>6.7633800000000006</v>
      </c>
      <c r="K58" s="225">
        <f t="shared" si="5"/>
        <v>6.7633800000000006</v>
      </c>
      <c r="L58" s="225">
        <f t="shared" si="5"/>
        <v>6.7633800000000006</v>
      </c>
      <c r="M58" s="225">
        <f t="shared" si="5"/>
        <v>6.7633800000000006</v>
      </c>
      <c r="N58" s="225">
        <f t="shared" si="8"/>
        <v>27.053520000000002</v>
      </c>
      <c r="O58" s="225">
        <f t="shared" si="8"/>
        <v>27.053520000000002</v>
      </c>
    </row>
    <row r="59" spans="1:18" outlineLevel="1" x14ac:dyDescent="0.3">
      <c r="A59" s="187" t="s">
        <v>219</v>
      </c>
      <c r="B59" s="10">
        <v>485.64</v>
      </c>
      <c r="C59" s="20" t="e">
        <f t="shared" ca="1" si="9"/>
        <v>#NAME?</v>
      </c>
      <c r="D59" s="21">
        <f t="shared" si="10"/>
        <v>2.3161721573071647E-3</v>
      </c>
      <c r="E59" s="3"/>
      <c r="F59" s="217">
        <v>0.95450000000000002</v>
      </c>
      <c r="H59" s="226">
        <v>51410</v>
      </c>
      <c r="I59" s="217">
        <v>4.4999999999999998E-2</v>
      </c>
      <c r="J59" s="225">
        <f t="shared" si="5"/>
        <v>5.4634499999999999</v>
      </c>
      <c r="K59" s="225">
        <f t="shared" si="5"/>
        <v>5.4634499999999999</v>
      </c>
      <c r="L59" s="225">
        <f t="shared" si="5"/>
        <v>5.4634499999999999</v>
      </c>
      <c r="M59" s="225">
        <f t="shared" si="5"/>
        <v>5.4634499999999999</v>
      </c>
      <c r="N59" s="225">
        <f t="shared" si="8"/>
        <v>21.8538</v>
      </c>
      <c r="O59" s="225">
        <f t="shared" si="8"/>
        <v>21.8538</v>
      </c>
    </row>
    <row r="60" spans="1:18" outlineLevel="1" x14ac:dyDescent="0.3">
      <c r="A60" s="187" t="s">
        <v>228</v>
      </c>
      <c r="B60" s="10">
        <v>718.02</v>
      </c>
      <c r="C60" s="20" t="e">
        <f t="shared" ca="1" si="9"/>
        <v>#NAME?</v>
      </c>
      <c r="D60" s="21">
        <f t="shared" si="10"/>
        <v>3.4244665439207857E-3</v>
      </c>
      <c r="E60" s="3"/>
      <c r="F60" s="217">
        <v>1.0265</v>
      </c>
      <c r="H60" s="226">
        <v>51540</v>
      </c>
      <c r="I60" s="217">
        <v>5.2999999999999999E-2</v>
      </c>
      <c r="J60" s="225">
        <f t="shared" si="5"/>
        <v>9.5137649999999994</v>
      </c>
      <c r="K60" s="225">
        <f t="shared" si="5"/>
        <v>9.5137649999999994</v>
      </c>
      <c r="L60" s="225">
        <f t="shared" si="5"/>
        <v>9.5137649999999994</v>
      </c>
      <c r="M60" s="225">
        <f t="shared" si="5"/>
        <v>9.5137649999999994</v>
      </c>
      <c r="N60" s="225">
        <f t="shared" si="8"/>
        <v>38.055059999999997</v>
      </c>
      <c r="O60" s="225">
        <f t="shared" si="8"/>
        <v>38.055059999999997</v>
      </c>
    </row>
    <row r="61" spans="1:18" outlineLevel="1" x14ac:dyDescent="0.3">
      <c r="A61" s="187" t="s">
        <v>229</v>
      </c>
      <c r="B61" s="10">
        <v>454.1</v>
      </c>
      <c r="C61" s="20" t="e">
        <f t="shared" ca="1" si="9"/>
        <v>#NAME?</v>
      </c>
      <c r="D61" s="21">
        <f>IF(B61/$C$29&gt;=0,B61/$C$29,"NM ")</f>
        <v>2.1657478309718794E-3</v>
      </c>
      <c r="E61" s="3"/>
      <c r="F61" s="217">
        <v>0.80310000000000004</v>
      </c>
      <c r="H61" s="226">
        <v>52185</v>
      </c>
      <c r="I61" s="217">
        <v>3.5000000000000003E-2</v>
      </c>
      <c r="J61" s="225">
        <f t="shared" si="5"/>
        <v>3.9733750000000008</v>
      </c>
      <c r="K61" s="225">
        <f t="shared" si="5"/>
        <v>3.9733750000000008</v>
      </c>
      <c r="L61" s="225">
        <f t="shared" si="5"/>
        <v>3.9733750000000008</v>
      </c>
      <c r="M61" s="225">
        <f t="shared" si="5"/>
        <v>3.9733750000000008</v>
      </c>
      <c r="N61" s="225">
        <f t="shared" si="8"/>
        <v>15.893500000000003</v>
      </c>
      <c r="O61" s="225">
        <f t="shared" si="8"/>
        <v>15.893500000000003</v>
      </c>
      <c r="R61" s="209"/>
    </row>
    <row r="62" spans="1:18" outlineLevel="1" x14ac:dyDescent="0.3">
      <c r="A62" s="187" t="s">
        <v>230</v>
      </c>
      <c r="B62" s="10">
        <v>628.27</v>
      </c>
      <c r="C62" s="20" t="e">
        <f t="shared" ca="1" si="9"/>
        <v>#NAME?</v>
      </c>
      <c r="D62" s="21">
        <f t="shared" si="10"/>
        <v>2.9964201492285901E-3</v>
      </c>
      <c r="E62" s="3"/>
      <c r="F62" s="217">
        <v>0.98540000000000005</v>
      </c>
      <c r="H62" s="226">
        <v>48701</v>
      </c>
      <c r="I62" s="217">
        <v>2.6249999999999999E-2</v>
      </c>
      <c r="J62" s="225">
        <f t="shared" si="5"/>
        <v>4.1230218750000001</v>
      </c>
      <c r="K62" s="225">
        <f t="shared" si="5"/>
        <v>4.1230218750000001</v>
      </c>
      <c r="L62" s="225">
        <f t="shared" si="5"/>
        <v>4.1230218750000001</v>
      </c>
      <c r="M62" s="225">
        <f t="shared" si="5"/>
        <v>4.1230218750000001</v>
      </c>
      <c r="N62" s="225">
        <f t="shared" si="8"/>
        <v>16.4920875</v>
      </c>
      <c r="O62" s="225">
        <f t="shared" si="8"/>
        <v>16.4920875</v>
      </c>
    </row>
    <row r="63" spans="1:18" outlineLevel="1" x14ac:dyDescent="0.3">
      <c r="A63" s="187" t="s">
        <v>231</v>
      </c>
      <c r="B63" s="10">
        <v>168.12</v>
      </c>
      <c r="C63" s="20" t="e">
        <f t="shared" ca="1" si="9"/>
        <v>#NAME?</v>
      </c>
      <c r="D63" s="21">
        <f t="shared" si="10"/>
        <v>8.0181793733316976E-4</v>
      </c>
      <c r="E63" s="3"/>
      <c r="F63" s="217">
        <v>0.83290000000000008</v>
      </c>
      <c r="H63" s="226">
        <v>52352</v>
      </c>
      <c r="I63" s="217">
        <v>3.7499999999999999E-2</v>
      </c>
      <c r="J63" s="225">
        <f t="shared" si="5"/>
        <v>1.576125</v>
      </c>
      <c r="K63" s="225">
        <f t="shared" si="5"/>
        <v>1.576125</v>
      </c>
      <c r="L63" s="225">
        <f t="shared" si="5"/>
        <v>1.576125</v>
      </c>
      <c r="M63" s="225">
        <f t="shared" si="5"/>
        <v>1.576125</v>
      </c>
      <c r="N63" s="225">
        <f t="shared" si="8"/>
        <v>6.3045</v>
      </c>
      <c r="O63" s="225">
        <f t="shared" si="8"/>
        <v>6.3045</v>
      </c>
    </row>
    <row r="64" spans="1:18" outlineLevel="1" x14ac:dyDescent="0.3">
      <c r="A64" s="187" t="s">
        <v>232</v>
      </c>
      <c r="B64" s="10">
        <v>1999.03</v>
      </c>
      <c r="C64" s="20" t="e">
        <f t="shared" ca="1" si="9"/>
        <v>#NAME?</v>
      </c>
      <c r="D64" s="21">
        <f t="shared" si="10"/>
        <v>9.5340120822455764E-3</v>
      </c>
      <c r="E64" s="3"/>
      <c r="F64" s="217">
        <v>1.0241</v>
      </c>
      <c r="H64" s="226">
        <v>47093</v>
      </c>
      <c r="I64" s="217">
        <v>3.125E-2</v>
      </c>
      <c r="J64" s="225">
        <f t="shared" si="5"/>
        <v>15.617421875</v>
      </c>
      <c r="K64" s="225">
        <f t="shared" si="5"/>
        <v>15.617421875</v>
      </c>
      <c r="L64" s="225">
        <f t="shared" si="5"/>
        <v>15.617421875</v>
      </c>
      <c r="M64" s="225">
        <f t="shared" si="5"/>
        <v>15.617421875</v>
      </c>
      <c r="N64" s="225">
        <f t="shared" si="8"/>
        <v>62.469687499999999</v>
      </c>
      <c r="O64" s="225">
        <f>$B64*$I64*5.25/12</f>
        <v>27.330488281249998</v>
      </c>
    </row>
    <row r="65" spans="1:15" outlineLevel="1" x14ac:dyDescent="0.3">
      <c r="A65" s="187" t="s">
        <v>233</v>
      </c>
      <c r="B65" s="10">
        <v>146.13999999999999</v>
      </c>
      <c r="C65" s="20" t="e">
        <f t="shared" ca="1" si="9"/>
        <v>#NAME?</v>
      </c>
      <c r="D65" s="21">
        <f t="shared" si="10"/>
        <v>6.9698830217623971E-4</v>
      </c>
      <c r="E65" s="3"/>
      <c r="F65" s="217">
        <v>0.98380000000000001</v>
      </c>
      <c r="H65" s="226">
        <v>52580</v>
      </c>
      <c r="I65" s="217">
        <v>4.8750000000000002E-2</v>
      </c>
      <c r="J65" s="225">
        <f t="shared" si="5"/>
        <v>1.7810812499999999</v>
      </c>
      <c r="K65" s="225">
        <f t="shared" si="5"/>
        <v>1.7810812499999999</v>
      </c>
      <c r="L65" s="225">
        <f t="shared" si="5"/>
        <v>1.7810812499999999</v>
      </c>
      <c r="M65" s="225">
        <f t="shared" si="5"/>
        <v>1.7810812499999999</v>
      </c>
      <c r="N65" s="225">
        <f t="shared" si="8"/>
        <v>7.1243249999999998</v>
      </c>
      <c r="O65" s="225">
        <f t="shared" si="8"/>
        <v>7.1243249999999998</v>
      </c>
    </row>
    <row r="66" spans="1:15" outlineLevel="1" x14ac:dyDescent="0.3">
      <c r="A66" s="187" t="s">
        <v>229</v>
      </c>
      <c r="B66" s="10">
        <v>1500</v>
      </c>
      <c r="C66" s="20" t="e">
        <f t="shared" ca="1" si="9"/>
        <v>#NAME?</v>
      </c>
      <c r="D66" s="21">
        <f t="shared" si="10"/>
        <v>7.1539787413737481E-3</v>
      </c>
      <c r="E66" s="3"/>
      <c r="F66" s="217">
        <v>0.93849999999999989</v>
      </c>
      <c r="H66" s="226">
        <v>49352</v>
      </c>
      <c r="I66" s="217">
        <v>3.5000000000000003E-2</v>
      </c>
      <c r="J66" s="225">
        <f t="shared" si="5"/>
        <v>13.125000000000002</v>
      </c>
      <c r="K66" s="225">
        <f t="shared" si="5"/>
        <v>13.125000000000002</v>
      </c>
      <c r="L66" s="225">
        <f t="shared" si="5"/>
        <v>13.125000000000002</v>
      </c>
      <c r="M66" s="225">
        <f t="shared" si="5"/>
        <v>13.125000000000002</v>
      </c>
      <c r="N66" s="225">
        <f t="shared" si="8"/>
        <v>52.500000000000007</v>
      </c>
      <c r="O66" s="225">
        <f t="shared" si="8"/>
        <v>52.500000000000007</v>
      </c>
    </row>
    <row r="67" spans="1:15" outlineLevel="1" x14ac:dyDescent="0.3">
      <c r="A67" s="187" t="s">
        <v>231</v>
      </c>
      <c r="B67" s="10">
        <v>498.66</v>
      </c>
      <c r="C67" s="20" t="e">
        <f t="shared" ca="1" si="9"/>
        <v>#NAME?</v>
      </c>
      <c r="D67" s="21">
        <f t="shared" si="10"/>
        <v>2.3782686927822892E-3</v>
      </c>
      <c r="E67" s="3"/>
      <c r="F67" s="217">
        <v>0.83829999999999993</v>
      </c>
      <c r="H67" s="226">
        <v>53005</v>
      </c>
      <c r="I67" s="217">
        <v>3.7499999999999999E-2</v>
      </c>
      <c r="J67" s="225">
        <f t="shared" si="5"/>
        <v>4.6749375000000004</v>
      </c>
      <c r="K67" s="225">
        <f t="shared" si="5"/>
        <v>4.6749375000000004</v>
      </c>
      <c r="L67" s="225">
        <f t="shared" si="5"/>
        <v>4.6749375000000004</v>
      </c>
      <c r="M67" s="225">
        <f t="shared" si="5"/>
        <v>4.6749375000000004</v>
      </c>
      <c r="N67" s="225">
        <f t="shared" si="8"/>
        <v>18.699750000000002</v>
      </c>
      <c r="O67" s="225">
        <f t="shared" si="8"/>
        <v>18.699750000000002</v>
      </c>
    </row>
    <row r="68" spans="1:15" outlineLevel="1" x14ac:dyDescent="0.3">
      <c r="A68" s="187" t="s">
        <v>234</v>
      </c>
      <c r="B68" s="10">
        <v>540.5</v>
      </c>
      <c r="C68" s="20" t="e">
        <f t="shared" ca="1" si="9"/>
        <v>#NAME?</v>
      </c>
      <c r="D68" s="21">
        <f t="shared" si="10"/>
        <v>2.5778170064750072E-3</v>
      </c>
      <c r="E68" s="3"/>
      <c r="F68" s="217">
        <v>0.81430000000000002</v>
      </c>
      <c r="H68" s="226">
        <v>56657</v>
      </c>
      <c r="I68" s="217">
        <v>0.04</v>
      </c>
      <c r="J68" s="225">
        <f t="shared" si="5"/>
        <v>5.4050000000000002</v>
      </c>
      <c r="K68" s="225">
        <f t="shared" si="5"/>
        <v>5.4050000000000002</v>
      </c>
      <c r="L68" s="225">
        <f t="shared" si="5"/>
        <v>5.4050000000000002</v>
      </c>
      <c r="M68" s="225">
        <f t="shared" si="5"/>
        <v>5.4050000000000002</v>
      </c>
      <c r="N68" s="225">
        <f t="shared" si="8"/>
        <v>21.62</v>
      </c>
      <c r="O68" s="225">
        <f t="shared" si="8"/>
        <v>21.62</v>
      </c>
    </row>
    <row r="69" spans="1:15" outlineLevel="1" x14ac:dyDescent="0.3">
      <c r="A69" s="187" t="s">
        <v>232</v>
      </c>
      <c r="B69" s="10">
        <v>3000</v>
      </c>
      <c r="C69" s="20" t="e">
        <f t="shared" ca="1" si="9"/>
        <v>#NAME?</v>
      </c>
      <c r="D69" s="21">
        <f>IF(B69/$C$29&gt;=0,B69/$C$29,"NM ")</f>
        <v>1.4307957482747496E-2</v>
      </c>
      <c r="E69" s="3"/>
      <c r="F69" s="217">
        <v>0.99680000000000002</v>
      </c>
      <c r="H69" s="226">
        <v>45964</v>
      </c>
      <c r="I69" s="217">
        <v>3.125E-2</v>
      </c>
      <c r="J69" s="225">
        <f t="shared" si="5"/>
        <v>23.4375</v>
      </c>
      <c r="K69" s="225">
        <f>$B69*$I69/4*(1/3)</f>
        <v>7.8125</v>
      </c>
      <c r="L69" s="225">
        <v>0</v>
      </c>
      <c r="M69" s="225">
        <v>0</v>
      </c>
      <c r="N69" s="225">
        <v>0</v>
      </c>
      <c r="O69" s="225">
        <v>0</v>
      </c>
    </row>
    <row r="70" spans="1:15" outlineLevel="1" x14ac:dyDescent="0.3">
      <c r="A70" s="187" t="s">
        <v>235</v>
      </c>
      <c r="B70" s="10">
        <v>723.88</v>
      </c>
      <c r="C70" s="20" t="e">
        <f t="shared" ca="1" si="9"/>
        <v>#NAME?</v>
      </c>
      <c r="D70" s="21">
        <f t="shared" si="10"/>
        <v>3.4524147542037528E-3</v>
      </c>
      <c r="E70" s="3"/>
      <c r="F70" s="217">
        <v>0.99400000000000011</v>
      </c>
      <c r="H70" s="226">
        <v>49616</v>
      </c>
      <c r="I70" s="217">
        <v>4.2000000000000003E-2</v>
      </c>
      <c r="J70" s="225">
        <f t="shared" si="5"/>
        <v>7.6007400000000001</v>
      </c>
      <c r="K70" s="225">
        <f t="shared" si="5"/>
        <v>7.6007400000000001</v>
      </c>
      <c r="L70" s="225">
        <f t="shared" si="5"/>
        <v>7.6007400000000001</v>
      </c>
      <c r="M70" s="225">
        <f t="shared" si="5"/>
        <v>7.6007400000000001</v>
      </c>
      <c r="N70" s="225">
        <f t="shared" si="8"/>
        <v>30.40296</v>
      </c>
      <c r="O70" s="225">
        <f t="shared" si="8"/>
        <v>30.40296</v>
      </c>
    </row>
    <row r="71" spans="1:15" outlineLevel="1" x14ac:dyDescent="0.3">
      <c r="A71" s="187" t="s">
        <v>236</v>
      </c>
      <c r="B71" s="10">
        <v>996.44</v>
      </c>
      <c r="C71" s="20" t="e">
        <f t="shared" ca="1" si="9"/>
        <v>#NAME?</v>
      </c>
      <c r="D71" s="21">
        <f t="shared" ref="D71" si="11">IF(B71/$C$29&gt;=0,B71/$C$29,"NM ")</f>
        <v>4.7523403847029725E-3</v>
      </c>
      <c r="E71" s="3"/>
      <c r="F71" s="217">
        <v>0.91760000000000008</v>
      </c>
      <c r="H71" s="226">
        <v>53269</v>
      </c>
      <c r="I71" s="217">
        <v>4.4500000000000005E-2</v>
      </c>
      <c r="J71" s="225">
        <f t="shared" si="5"/>
        <v>11.085395000000002</v>
      </c>
      <c r="K71" s="225">
        <f t="shared" si="5"/>
        <v>11.085395000000002</v>
      </c>
      <c r="L71" s="225">
        <f t="shared" si="5"/>
        <v>11.085395000000002</v>
      </c>
      <c r="M71" s="225">
        <f t="shared" si="5"/>
        <v>11.085395000000002</v>
      </c>
      <c r="N71" s="225">
        <f t="shared" si="8"/>
        <v>44.341580000000008</v>
      </c>
      <c r="O71" s="225">
        <f t="shared" si="8"/>
        <v>44.341580000000008</v>
      </c>
    </row>
    <row r="72" spans="1:15" outlineLevel="1" x14ac:dyDescent="0.3">
      <c r="A72" s="187" t="s">
        <v>237</v>
      </c>
      <c r="B72" s="10">
        <v>295.24</v>
      </c>
      <c r="C72" s="20" t="e">
        <f t="shared" ca="1" si="9"/>
        <v>#NAME?</v>
      </c>
      <c r="D72" s="21">
        <f t="shared" ref="D72:D73" si="12">IF(B72/$C$29&gt;=0,B72/$C$29,"NM ")</f>
        <v>1.4080937890687904E-3</v>
      </c>
      <c r="E72" s="3"/>
      <c r="F72" s="217">
        <v>0.91810000000000003</v>
      </c>
      <c r="H72" s="226">
        <v>56921</v>
      </c>
      <c r="I72" s="217">
        <v>4.7500000000000001E-2</v>
      </c>
      <c r="J72" s="225">
        <f t="shared" si="5"/>
        <v>3.5059750000000003</v>
      </c>
      <c r="K72" s="225">
        <f t="shared" si="5"/>
        <v>3.5059750000000003</v>
      </c>
      <c r="L72" s="225">
        <f t="shared" si="5"/>
        <v>3.5059750000000003</v>
      </c>
      <c r="M72" s="225">
        <f t="shared" si="5"/>
        <v>3.5059750000000003</v>
      </c>
      <c r="N72" s="225">
        <f t="shared" si="8"/>
        <v>14.023900000000001</v>
      </c>
      <c r="O72" s="225">
        <f t="shared" si="8"/>
        <v>14.023900000000001</v>
      </c>
    </row>
    <row r="73" spans="1:15" outlineLevel="1" x14ac:dyDescent="0.3">
      <c r="A73" s="187" t="s">
        <v>238</v>
      </c>
      <c r="B73" s="10">
        <v>4000</v>
      </c>
      <c r="C73" s="20" t="e">
        <f t="shared" ca="1" si="9"/>
        <v>#NAME?</v>
      </c>
      <c r="D73" s="21">
        <f t="shared" si="12"/>
        <v>1.9077276643663328E-2</v>
      </c>
      <c r="E73" s="3"/>
      <c r="F73" s="217">
        <v>0.98360000000000003</v>
      </c>
      <c r="H73" s="226">
        <v>46242</v>
      </c>
      <c r="I73" s="217">
        <v>2.4E-2</v>
      </c>
      <c r="J73" s="225">
        <f t="shared" si="5"/>
        <v>24</v>
      </c>
      <c r="K73" s="225">
        <f t="shared" si="5"/>
        <v>24</v>
      </c>
      <c r="L73" s="225">
        <f t="shared" si="5"/>
        <v>24</v>
      </c>
      <c r="M73" s="225">
        <f t="shared" si="5"/>
        <v>24</v>
      </c>
      <c r="N73" s="225">
        <f>$B73*$I73*1.25/12</f>
        <v>10</v>
      </c>
      <c r="O73" s="225">
        <v>0</v>
      </c>
    </row>
    <row r="74" spans="1:15" outlineLevel="1" x14ac:dyDescent="0.3">
      <c r="A74" s="187" t="s">
        <v>239</v>
      </c>
      <c r="B74" s="10">
        <v>1749.33</v>
      </c>
      <c r="C74" s="20" t="e">
        <f t="shared" ca="1" si="9"/>
        <v>#NAME?</v>
      </c>
      <c r="D74" s="21">
        <f t="shared" ref="D74:D86" si="13">IF(B74/$C$29&gt;=0,B74/$C$29,"NM ")</f>
        <v>8.3431130877648918E-3</v>
      </c>
      <c r="E74" s="3"/>
      <c r="F74" s="217">
        <v>0.90400000000000003</v>
      </c>
      <c r="H74" s="226">
        <v>49895</v>
      </c>
      <c r="I74" s="217">
        <v>3.4500000000000003E-2</v>
      </c>
      <c r="J74" s="225">
        <f t="shared" si="5"/>
        <v>15.087971250000001</v>
      </c>
      <c r="K74" s="225">
        <f t="shared" si="5"/>
        <v>15.087971250000001</v>
      </c>
      <c r="L74" s="225">
        <f t="shared" si="5"/>
        <v>15.087971250000001</v>
      </c>
      <c r="M74" s="225">
        <f t="shared" si="5"/>
        <v>15.087971250000001</v>
      </c>
      <c r="N74" s="225">
        <f t="shared" si="8"/>
        <v>60.351885000000003</v>
      </c>
      <c r="O74" s="225">
        <f t="shared" si="8"/>
        <v>60.351885000000003</v>
      </c>
    </row>
    <row r="75" spans="1:15" outlineLevel="1" x14ac:dyDescent="0.3">
      <c r="A75" s="187" t="s">
        <v>240</v>
      </c>
      <c r="B75" s="10">
        <v>1747.28</v>
      </c>
      <c r="C75" s="20" t="e">
        <f t="shared" ca="1" si="9"/>
        <v>#NAME?</v>
      </c>
      <c r="D75" s="21">
        <f t="shared" si="13"/>
        <v>8.3333359834850147E-3</v>
      </c>
      <c r="E75" s="3"/>
      <c r="F75" s="217">
        <v>0.81370000000000009</v>
      </c>
      <c r="H75" s="226">
        <v>53547</v>
      </c>
      <c r="I75" s="217">
        <v>3.7000000000000005E-2</v>
      </c>
      <c r="J75" s="225">
        <f t="shared" si="5"/>
        <v>16.16234</v>
      </c>
      <c r="K75" s="225">
        <f t="shared" si="5"/>
        <v>16.16234</v>
      </c>
      <c r="L75" s="225">
        <f t="shared" si="5"/>
        <v>16.16234</v>
      </c>
      <c r="M75" s="225">
        <f t="shared" si="5"/>
        <v>16.16234</v>
      </c>
      <c r="N75" s="225">
        <f t="shared" si="8"/>
        <v>64.649360000000001</v>
      </c>
      <c r="O75" s="225">
        <f t="shared" si="8"/>
        <v>64.649360000000001</v>
      </c>
    </row>
    <row r="76" spans="1:15" outlineLevel="1" x14ac:dyDescent="0.3">
      <c r="A76" s="187" t="s">
        <v>241</v>
      </c>
      <c r="B76" s="10">
        <v>433.25</v>
      </c>
      <c r="C76" s="20" t="e">
        <f t="shared" ca="1" si="9"/>
        <v>#NAME?</v>
      </c>
      <c r="D76" s="21">
        <f t="shared" si="13"/>
        <v>2.0663075264667845E-3</v>
      </c>
      <c r="E76" s="3"/>
      <c r="F76" s="217">
        <v>0.79549999999999998</v>
      </c>
      <c r="H76" s="226">
        <v>57200</v>
      </c>
      <c r="I76" s="217">
        <v>3.95E-2</v>
      </c>
      <c r="J76" s="225">
        <f t="shared" si="5"/>
        <v>4.2783437500000003</v>
      </c>
      <c r="K76" s="225">
        <f t="shared" si="5"/>
        <v>4.2783437500000003</v>
      </c>
      <c r="L76" s="225">
        <f t="shared" si="5"/>
        <v>4.2783437500000003</v>
      </c>
      <c r="M76" s="225">
        <f t="shared" si="5"/>
        <v>4.2783437500000003</v>
      </c>
      <c r="N76" s="225">
        <f t="shared" si="8"/>
        <v>17.113375000000001</v>
      </c>
      <c r="O76" s="225">
        <f t="shared" si="8"/>
        <v>17.113375000000001</v>
      </c>
    </row>
    <row r="77" spans="1:15" outlineLevel="1" x14ac:dyDescent="0.3">
      <c r="A77" s="187" t="s">
        <v>220</v>
      </c>
      <c r="B77" s="10">
        <v>726.77</v>
      </c>
      <c r="C77" s="20" t="e">
        <f t="shared" ca="1" si="9"/>
        <v>#NAME?</v>
      </c>
      <c r="D77" s="21">
        <f t="shared" si="13"/>
        <v>3.4661980865787994E-3</v>
      </c>
      <c r="E77" s="3"/>
      <c r="F77" s="217">
        <v>0.99439999999999995</v>
      </c>
      <c r="H77" s="226">
        <v>46280</v>
      </c>
      <c r="I77" s="217">
        <v>3.4000000000000002E-2</v>
      </c>
      <c r="J77" s="225">
        <f t="shared" si="5"/>
        <v>6.1775450000000003</v>
      </c>
      <c r="K77" s="225">
        <f t="shared" si="5"/>
        <v>6.1775450000000003</v>
      </c>
      <c r="L77" s="225">
        <f t="shared" si="5"/>
        <v>6.1775450000000003</v>
      </c>
      <c r="M77" s="225">
        <f t="shared" si="5"/>
        <v>6.1775450000000003</v>
      </c>
      <c r="N77" s="225">
        <f>$B77*$I77*2.5/12</f>
        <v>5.1479541666666675</v>
      </c>
      <c r="O77" s="225">
        <v>0</v>
      </c>
    </row>
    <row r="78" spans="1:15" outlineLevel="1" x14ac:dyDescent="0.3">
      <c r="A78" s="187" t="s">
        <v>220</v>
      </c>
      <c r="B78" s="10">
        <v>353.6</v>
      </c>
      <c r="C78" s="20" t="e">
        <f t="shared" ca="1" si="9"/>
        <v>#NAME?</v>
      </c>
      <c r="D78" s="21">
        <f t="shared" si="13"/>
        <v>1.6864312552998383E-3</v>
      </c>
      <c r="E78" s="3"/>
      <c r="F78" s="217">
        <v>0.99760000000000004</v>
      </c>
      <c r="H78" s="226">
        <v>46553</v>
      </c>
      <c r="I78" s="217">
        <v>3.4000000000000002E-2</v>
      </c>
      <c r="J78" s="225">
        <f t="shared" si="5"/>
        <v>3.0056000000000003</v>
      </c>
      <c r="K78" s="225">
        <f t="shared" si="5"/>
        <v>3.0056000000000003</v>
      </c>
      <c r="L78" s="225">
        <f t="shared" si="5"/>
        <v>3.0056000000000003</v>
      </c>
      <c r="M78" s="225">
        <f t="shared" si="5"/>
        <v>3.0056000000000003</v>
      </c>
      <c r="N78" s="225">
        <f>$B78*$I78*11.5/12</f>
        <v>11.521466666666669</v>
      </c>
      <c r="O78" s="225">
        <v>0</v>
      </c>
    </row>
    <row r="79" spans="1:15" outlineLevel="1" x14ac:dyDescent="0.3">
      <c r="A79" s="187" t="s">
        <v>223</v>
      </c>
      <c r="B79" s="10">
        <v>440.5</v>
      </c>
      <c r="C79" s="20" t="e">
        <f t="shared" ca="1" si="9"/>
        <v>#NAME?</v>
      </c>
      <c r="D79" s="21">
        <f t="shared" si="13"/>
        <v>2.1008850903834241E-3</v>
      </c>
      <c r="E79" s="3"/>
      <c r="F79" s="217">
        <v>0.8831</v>
      </c>
      <c r="H79" s="226">
        <v>47741</v>
      </c>
      <c r="I79" s="217">
        <v>1.3500000000000002E-2</v>
      </c>
      <c r="J79" s="225">
        <f t="shared" si="5"/>
        <v>1.4866875000000002</v>
      </c>
      <c r="K79" s="225">
        <f t="shared" si="5"/>
        <v>1.4866875000000002</v>
      </c>
      <c r="L79" s="225">
        <f t="shared" si="5"/>
        <v>1.4866875000000002</v>
      </c>
      <c r="M79" s="225">
        <f t="shared" si="5"/>
        <v>1.4866875000000002</v>
      </c>
      <c r="N79" s="225">
        <f t="shared" si="8"/>
        <v>5.9467500000000006</v>
      </c>
      <c r="O79" s="225">
        <f t="shared" si="8"/>
        <v>5.9467500000000006</v>
      </c>
    </row>
    <row r="80" spans="1:15" outlineLevel="1" x14ac:dyDescent="0.3">
      <c r="A80" s="187" t="s">
        <v>219</v>
      </c>
      <c r="B80" s="10">
        <v>391.52</v>
      </c>
      <c r="C80" s="20" t="e">
        <f t="shared" ca="1" si="9"/>
        <v>#NAME?</v>
      </c>
      <c r="D80" s="21">
        <f t="shared" si="13"/>
        <v>1.8672838378817665E-3</v>
      </c>
      <c r="E80" s="3"/>
      <c r="F80" s="217">
        <v>0.91090000000000004</v>
      </c>
      <c r="H80" s="226">
        <v>53858</v>
      </c>
      <c r="I80" s="217">
        <v>4.4999999999999998E-2</v>
      </c>
      <c r="J80" s="225">
        <f t="shared" si="5"/>
        <v>4.4045999999999994</v>
      </c>
      <c r="K80" s="225">
        <f t="shared" si="5"/>
        <v>4.4045999999999994</v>
      </c>
      <c r="L80" s="225">
        <f t="shared" si="5"/>
        <v>4.4045999999999994</v>
      </c>
      <c r="M80" s="225">
        <f t="shared" si="5"/>
        <v>4.4045999999999994</v>
      </c>
      <c r="N80" s="225">
        <f t="shared" si="8"/>
        <v>17.618399999999998</v>
      </c>
      <c r="O80" s="225">
        <f t="shared" si="8"/>
        <v>17.618399999999998</v>
      </c>
    </row>
    <row r="81" spans="1:15" outlineLevel="1" x14ac:dyDescent="0.3">
      <c r="A81" s="187" t="s">
        <v>224</v>
      </c>
      <c r="B81" s="10">
        <v>1431.88</v>
      </c>
      <c r="C81" s="20" t="e">
        <f t="shared" ca="1" si="9"/>
        <v>#NAME?</v>
      </c>
      <c r="D81" s="21">
        <f t="shared" si="13"/>
        <v>6.8290927201321624E-3</v>
      </c>
      <c r="E81" s="3"/>
      <c r="F81" s="217">
        <v>0.61480000000000001</v>
      </c>
      <c r="H81" s="226">
        <v>55046</v>
      </c>
      <c r="I81" s="217">
        <v>2.5000000000000001E-2</v>
      </c>
      <c r="J81" s="225">
        <f t="shared" si="5"/>
        <v>8.949250000000001</v>
      </c>
      <c r="K81" s="225">
        <f t="shared" si="5"/>
        <v>8.949250000000001</v>
      </c>
      <c r="L81" s="225">
        <f t="shared" si="5"/>
        <v>8.949250000000001</v>
      </c>
      <c r="M81" s="225">
        <f t="shared" si="5"/>
        <v>8.949250000000001</v>
      </c>
      <c r="N81" s="225">
        <f t="shared" si="8"/>
        <v>35.797000000000004</v>
      </c>
      <c r="O81" s="225">
        <f t="shared" si="8"/>
        <v>35.797000000000004</v>
      </c>
    </row>
    <row r="82" spans="1:15" outlineLevel="1" x14ac:dyDescent="0.3">
      <c r="A82" s="187" t="s">
        <v>220</v>
      </c>
      <c r="B82" s="10">
        <v>35.9</v>
      </c>
      <c r="C82" s="20" t="e">
        <f t="shared" ca="1" si="9"/>
        <v>#NAME?</v>
      </c>
      <c r="D82" s="21">
        <f t="shared" si="13"/>
        <v>1.7121855787687837E-4</v>
      </c>
      <c r="E82" s="3"/>
      <c r="F82" s="217">
        <v>0.99439999999999995</v>
      </c>
      <c r="H82" s="226">
        <v>46280</v>
      </c>
      <c r="I82" s="217">
        <v>3.4000000000000002E-2</v>
      </c>
      <c r="J82" s="225">
        <f t="shared" si="5"/>
        <v>0.30515000000000003</v>
      </c>
      <c r="K82" s="225">
        <f t="shared" si="5"/>
        <v>0.30515000000000003</v>
      </c>
      <c r="L82" s="225">
        <f t="shared" si="5"/>
        <v>0.30515000000000003</v>
      </c>
      <c r="M82" s="225">
        <f t="shared" si="5"/>
        <v>0.30515000000000003</v>
      </c>
      <c r="N82" s="225">
        <f>$B82*$I82*2.5/12</f>
        <v>0.25429166666666669</v>
      </c>
      <c r="O82" s="225">
        <v>0</v>
      </c>
    </row>
    <row r="83" spans="1:15" outlineLevel="1" x14ac:dyDescent="0.3">
      <c r="A83" s="187" t="s">
        <v>220</v>
      </c>
      <c r="B83" s="10">
        <v>1.19</v>
      </c>
      <c r="C83" s="20" t="e">
        <f t="shared" ca="1" si="9"/>
        <v>#NAME?</v>
      </c>
      <c r="D83" s="21">
        <f t="shared" si="13"/>
        <v>5.6754898014898399E-6</v>
      </c>
      <c r="E83" s="3"/>
      <c r="F83" s="217">
        <v>0.99760000000000004</v>
      </c>
      <c r="H83" s="226">
        <v>46553</v>
      </c>
      <c r="I83" s="217">
        <v>3.4000000000000002E-2</v>
      </c>
      <c r="J83" s="225">
        <f t="shared" si="5"/>
        <v>1.0115000000000001E-2</v>
      </c>
      <c r="K83" s="225">
        <f t="shared" si="5"/>
        <v>1.0115000000000001E-2</v>
      </c>
      <c r="L83" s="225">
        <f t="shared" si="5"/>
        <v>1.0115000000000001E-2</v>
      </c>
      <c r="M83" s="225">
        <f t="shared" si="5"/>
        <v>1.0115000000000001E-2</v>
      </c>
      <c r="N83" s="225">
        <f>$B83*$I83*11.5/12</f>
        <v>3.8774166666666672E-2</v>
      </c>
      <c r="O83" s="225">
        <v>0</v>
      </c>
    </row>
    <row r="84" spans="1:15" outlineLevel="1" x14ac:dyDescent="0.3">
      <c r="A84" s="187" t="s">
        <v>223</v>
      </c>
      <c r="B84" s="10">
        <v>8.08</v>
      </c>
      <c r="C84" s="20" t="e">
        <f t="shared" ca="1" si="9"/>
        <v>#NAME?</v>
      </c>
      <c r="D84" s="21">
        <f t="shared" si="13"/>
        <v>3.8536098820199926E-5</v>
      </c>
      <c r="E84" s="3"/>
      <c r="F84" s="217">
        <v>0.8831</v>
      </c>
      <c r="H84" s="226">
        <v>47741</v>
      </c>
      <c r="I84" s="217">
        <v>1.3500000000000002E-2</v>
      </c>
      <c r="J84" s="225">
        <f t="shared" si="5"/>
        <v>2.7270000000000003E-2</v>
      </c>
      <c r="K84" s="225">
        <f t="shared" si="5"/>
        <v>2.7270000000000003E-2</v>
      </c>
      <c r="L84" s="225">
        <f t="shared" si="5"/>
        <v>2.7270000000000003E-2</v>
      </c>
      <c r="M84" s="225">
        <f t="shared" si="5"/>
        <v>2.7270000000000003E-2</v>
      </c>
      <c r="N84" s="225">
        <f t="shared" si="8"/>
        <v>0.10908000000000001</v>
      </c>
      <c r="O84" s="225">
        <f t="shared" si="8"/>
        <v>0.10908000000000001</v>
      </c>
    </row>
    <row r="85" spans="1:15" outlineLevel="1" x14ac:dyDescent="0.3">
      <c r="A85" s="187" t="s">
        <v>219</v>
      </c>
      <c r="B85" s="10">
        <v>2.74</v>
      </c>
      <c r="C85" s="20" t="e">
        <f t="shared" ca="1" si="9"/>
        <v>#NAME?</v>
      </c>
      <c r="D85" s="21">
        <f t="shared" si="13"/>
        <v>1.3067934500909381E-5</v>
      </c>
      <c r="E85" s="3"/>
      <c r="F85" s="217">
        <v>0.91090000000000004</v>
      </c>
      <c r="H85" s="226">
        <v>53858</v>
      </c>
      <c r="I85" s="217">
        <v>4.4999999999999998E-2</v>
      </c>
      <c r="J85" s="225">
        <f t="shared" si="5"/>
        <v>3.0825000000000002E-2</v>
      </c>
      <c r="K85" s="225">
        <f t="shared" si="5"/>
        <v>3.0825000000000002E-2</v>
      </c>
      <c r="L85" s="225">
        <f t="shared" si="5"/>
        <v>3.0825000000000002E-2</v>
      </c>
      <c r="M85" s="225">
        <f t="shared" si="5"/>
        <v>3.0825000000000002E-2</v>
      </c>
      <c r="N85" s="225">
        <f t="shared" si="8"/>
        <v>0.12330000000000001</v>
      </c>
      <c r="O85" s="225">
        <f t="shared" si="8"/>
        <v>0.12330000000000001</v>
      </c>
    </row>
    <row r="86" spans="1:15" outlineLevel="1" x14ac:dyDescent="0.3">
      <c r="A86" s="187" t="s">
        <v>224</v>
      </c>
      <c r="B86" s="10">
        <v>8.51</v>
      </c>
      <c r="C86" s="20" t="e">
        <f t="shared" ca="1" si="9"/>
        <v>#NAME?</v>
      </c>
      <c r="D86" s="21">
        <f t="shared" si="13"/>
        <v>4.0586906059393732E-5</v>
      </c>
      <c r="E86" s="3"/>
      <c r="F86" s="217">
        <v>0.61480000000000001</v>
      </c>
      <c r="H86" s="226">
        <v>55046</v>
      </c>
      <c r="I86" s="217">
        <v>2.5000000000000001E-2</v>
      </c>
      <c r="J86" s="225">
        <f t="shared" si="5"/>
        <v>5.3187499999999999E-2</v>
      </c>
      <c r="K86" s="225">
        <f t="shared" si="5"/>
        <v>5.3187499999999999E-2</v>
      </c>
      <c r="L86" s="225">
        <f t="shared" si="5"/>
        <v>5.3187499999999999E-2</v>
      </c>
      <c r="M86" s="225">
        <f t="shared" si="5"/>
        <v>5.3187499999999999E-2</v>
      </c>
      <c r="N86" s="225">
        <f t="shared" si="8"/>
        <v>0.21274999999999999</v>
      </c>
      <c r="O86" s="225">
        <f t="shared" si="8"/>
        <v>0.21274999999999999</v>
      </c>
    </row>
    <row r="87" spans="1:15" ht="12.75" customHeight="1" x14ac:dyDescent="0.3">
      <c r="A87" s="1" t="s">
        <v>37</v>
      </c>
      <c r="B87" s="41">
        <f>B41+SUM(B45:B86)</f>
        <v>95305.68</v>
      </c>
      <c r="C87" s="82" t="e">
        <f t="shared" ca="1" si="9"/>
        <v>#NAME?</v>
      </c>
      <c r="D87" s="83">
        <f t="shared" ref="D87" si="14">IF(B87/$C$29&gt;=0,B87/$C$29,"NM ")</f>
        <v>0.4545432057681128</v>
      </c>
      <c r="E87" s="18"/>
      <c r="G87" s="21">
        <f>IFERROR(D41+(D44*F44),"NM")</f>
        <v>0.41292620505356598</v>
      </c>
      <c r="H87" s="79"/>
      <c r="J87" s="188">
        <f>SUM(J40:J86)</f>
        <v>874.83465567500025</v>
      </c>
      <c r="K87" s="188">
        <f>SUM(K40:K86)</f>
        <v>859.20965567500025</v>
      </c>
      <c r="L87" s="188">
        <f>SUM(L40:L86)</f>
        <v>851.39715567500025</v>
      </c>
      <c r="M87" s="188">
        <f>SUM(M40:M86)</f>
        <v>851.39715567500025</v>
      </c>
      <c r="N87" s="188">
        <f t="shared" ref="N87:O87" si="15">SUM(N40:N86)</f>
        <v>3243.8928743666679</v>
      </c>
      <c r="O87" s="188">
        <f t="shared" si="15"/>
        <v>3099.9514634812508</v>
      </c>
    </row>
    <row r="88" spans="1:15" x14ac:dyDescent="0.3">
      <c r="B88" s="11"/>
      <c r="C88" s="20"/>
      <c r="D88" s="21"/>
      <c r="E88" s="11"/>
    </row>
    <row r="89" spans="1:15" x14ac:dyDescent="0.3">
      <c r="A89" s="1" t="s">
        <v>66</v>
      </c>
      <c r="B89" s="15" t="e">
        <f ca="1">+O27*O28</f>
        <v>#NAME?</v>
      </c>
      <c r="C89" s="23" t="e">
        <f ca="1">B89/$B$90</f>
        <v>#NAME?</v>
      </c>
      <c r="D89" s="24" t="e">
        <f t="shared" ref="D89:D90" ca="1" si="16">IF(B89/$C$29&gt;=0,B89/$C$29,"NM ")</f>
        <v>#NAME?</v>
      </c>
      <c r="E89" s="15"/>
      <c r="G89" s="11"/>
      <c r="J89" s="213"/>
      <c r="K89" s="209"/>
      <c r="L89" s="209"/>
    </row>
    <row r="90" spans="1:15" x14ac:dyDescent="0.3">
      <c r="A90" s="1" t="s">
        <v>36</v>
      </c>
      <c r="B90" s="76" t="e">
        <f ca="1">SUM(B87:B89)</f>
        <v>#NAME?</v>
      </c>
      <c r="C90" s="40" t="e">
        <f ca="1">B90/$B$90</f>
        <v>#NAME?</v>
      </c>
      <c r="D90" s="21" t="e">
        <f t="shared" ca="1" si="16"/>
        <v>#NAME?</v>
      </c>
      <c r="E90" s="22"/>
      <c r="J90" s="158"/>
      <c r="K90" s="158"/>
      <c r="L90" s="158"/>
      <c r="M90" s="158"/>
    </row>
    <row r="91" spans="1:15" x14ac:dyDescent="0.3">
      <c r="A91" s="16"/>
      <c r="B91" s="150"/>
      <c r="C91" s="47"/>
      <c r="D91" s="43"/>
      <c r="J91" s="160"/>
      <c r="K91" s="160"/>
      <c r="L91" s="160"/>
      <c r="M91" s="160"/>
    </row>
    <row r="92" spans="1:15" ht="12.75" customHeight="1" x14ac:dyDescent="0.3">
      <c r="A92" s="236" t="s">
        <v>20</v>
      </c>
      <c r="B92" s="237"/>
      <c r="C92" s="237"/>
      <c r="D92" s="237"/>
      <c r="E92" s="237"/>
      <c r="F92" s="237"/>
      <c r="G92" s="237"/>
      <c r="H92" s="237"/>
      <c r="I92" s="238"/>
      <c r="J92" s="122"/>
      <c r="K92" s="122"/>
      <c r="L92" s="122"/>
      <c r="M92" s="122"/>
    </row>
    <row r="93" spans="1:15" x14ac:dyDescent="0.3">
      <c r="A93" s="1" t="str">
        <f>A29</f>
        <v>LTM EBITDA</v>
      </c>
      <c r="C93" s="77">
        <f>C29</f>
        <v>209673.53331999996</v>
      </c>
      <c r="E93" s="19"/>
      <c r="F93" s="1" t="s">
        <v>44</v>
      </c>
      <c r="I93" s="133" t="str">
        <f>IF((B41-B36-B37)/C93&gt;=0,(B41-B36-B37)/C93,"NM")</f>
        <v>NM</v>
      </c>
      <c r="J93" s="13"/>
      <c r="K93"/>
      <c r="L93" s="13"/>
      <c r="M93" s="13"/>
    </row>
    <row r="94" spans="1:15" x14ac:dyDescent="0.3">
      <c r="A94" s="1" t="s">
        <v>11</v>
      </c>
      <c r="C94" s="11">
        <f>-SUM(Model!AB75:AE75)</f>
        <v>64551</v>
      </c>
      <c r="E94" s="19"/>
      <c r="F94" s="1" t="s">
        <v>45</v>
      </c>
      <c r="I94" s="133">
        <f>IF((B87-B36-B37)/C93&gt;=0,(B87-B36-B37)/C93,"NM")</f>
        <v>3.5325393161071052E-3</v>
      </c>
      <c r="J94" s="13"/>
      <c r="K94" s="13"/>
      <c r="L94" s="210"/>
      <c r="M94" s="13"/>
    </row>
    <row r="95" spans="1:15" x14ac:dyDescent="0.3">
      <c r="A95" s="1" t="s">
        <v>26</v>
      </c>
      <c r="C95" s="11">
        <f>SUM(J87:M87)</f>
        <v>3436.838622700001</v>
      </c>
      <c r="E95" s="19"/>
      <c r="F95" s="1" t="s">
        <v>49</v>
      </c>
      <c r="I95" s="85" t="s">
        <v>137</v>
      </c>
      <c r="J95" s="85"/>
      <c r="K95" s="85"/>
      <c r="L95" s="85"/>
      <c r="M95" s="85"/>
    </row>
    <row r="96" spans="1:15" x14ac:dyDescent="0.3">
      <c r="C96" s="42"/>
      <c r="E96" s="13"/>
      <c r="I96" s="13"/>
      <c r="J96" s="13"/>
      <c r="K96" s="13"/>
      <c r="L96" s="13"/>
      <c r="M96" s="13"/>
    </row>
    <row r="97" spans="1:13" ht="12.75" customHeight="1" x14ac:dyDescent="0.3">
      <c r="A97" s="63"/>
      <c r="B97" s="4"/>
      <c r="C97" s="4"/>
      <c r="D97" s="4"/>
      <c r="E97" s="4"/>
      <c r="F97" s="4"/>
      <c r="G97" s="4"/>
      <c r="H97" s="4"/>
      <c r="I97" s="4"/>
    </row>
    <row r="98" spans="1:13" x14ac:dyDescent="0.3">
      <c r="A98" s="233" t="s">
        <v>23</v>
      </c>
      <c r="B98" s="234"/>
      <c r="C98" s="234"/>
      <c r="D98" s="234"/>
      <c r="E98" s="234"/>
      <c r="F98" s="234"/>
      <c r="G98" s="234"/>
      <c r="H98" s="234"/>
      <c r="I98" s="235"/>
      <c r="J98" s="122"/>
      <c r="K98" s="122"/>
      <c r="L98" s="122"/>
      <c r="M98" s="122"/>
    </row>
    <row r="99" spans="1:13" x14ac:dyDescent="0.3">
      <c r="A99" s="90" t="s">
        <v>16</v>
      </c>
      <c r="B99" s="27"/>
      <c r="C99" s="27"/>
      <c r="D99" s="27"/>
      <c r="E99" s="27"/>
      <c r="F99" s="27"/>
      <c r="G99" s="27"/>
      <c r="H99" s="27"/>
      <c r="I99" s="27"/>
    </row>
    <row r="100" spans="1:13" x14ac:dyDescent="0.3">
      <c r="A100" s="89"/>
      <c r="B100" s="94"/>
      <c r="C100" s="94"/>
      <c r="D100" s="94"/>
      <c r="E100" s="94"/>
      <c r="F100" s="94"/>
      <c r="G100" s="94"/>
      <c r="H100" s="94"/>
      <c r="I100" s="95"/>
      <c r="J100" s="51"/>
      <c r="K100" s="51"/>
      <c r="L100" s="51"/>
      <c r="M100" s="51"/>
    </row>
    <row r="101" spans="1:13" x14ac:dyDescent="0.3">
      <c r="A101" s="102" t="s">
        <v>194</v>
      </c>
      <c r="B101" s="51"/>
      <c r="C101" s="51"/>
      <c r="D101" s="51"/>
      <c r="E101" s="51"/>
      <c r="F101" s="51"/>
      <c r="G101" s="51"/>
      <c r="H101" s="51"/>
      <c r="I101" s="58"/>
      <c r="J101" s="51"/>
      <c r="K101" s="51"/>
      <c r="L101" s="51"/>
      <c r="M101" s="51"/>
    </row>
    <row r="102" spans="1:13" x14ac:dyDescent="0.3">
      <c r="A102" s="102" t="s">
        <v>193</v>
      </c>
      <c r="B102" s="51"/>
      <c r="C102" s="51"/>
      <c r="D102" s="51"/>
      <c r="E102" s="51"/>
      <c r="F102" s="51"/>
      <c r="G102" s="51"/>
      <c r="H102" s="51"/>
      <c r="I102" s="58"/>
      <c r="J102" s="51"/>
      <c r="K102" s="51"/>
      <c r="L102" s="51"/>
      <c r="M102" s="51"/>
    </row>
    <row r="103" spans="1:13" x14ac:dyDescent="0.3">
      <c r="A103" s="102"/>
      <c r="B103" s="51"/>
      <c r="C103" s="51"/>
      <c r="D103" s="51"/>
      <c r="E103" s="51"/>
      <c r="F103" s="51"/>
      <c r="G103" s="51"/>
      <c r="H103" s="51"/>
      <c r="I103" s="58"/>
      <c r="J103" s="51"/>
      <c r="K103" s="51"/>
      <c r="L103" s="51"/>
      <c r="M103" s="51"/>
    </row>
    <row r="104" spans="1:13" x14ac:dyDescent="0.3">
      <c r="A104" s="89" t="s">
        <v>243</v>
      </c>
      <c r="B104" s="51"/>
      <c r="C104" s="51"/>
      <c r="D104" s="51"/>
      <c r="E104" s="51"/>
      <c r="F104" s="51"/>
      <c r="G104" s="51"/>
      <c r="H104" s="51"/>
      <c r="I104" s="58"/>
      <c r="J104" s="51"/>
      <c r="K104" s="51"/>
      <c r="L104" s="51"/>
      <c r="M104" s="51"/>
    </row>
    <row r="105" spans="1:13" x14ac:dyDescent="0.3">
      <c r="A105" s="102"/>
      <c r="B105" s="51"/>
      <c r="C105" s="51"/>
      <c r="D105" s="51"/>
      <c r="E105" s="51"/>
      <c r="F105" s="51"/>
      <c r="G105" s="51"/>
      <c r="H105" s="51"/>
      <c r="I105" s="58"/>
      <c r="J105" s="51"/>
      <c r="K105" s="51"/>
      <c r="L105" s="51"/>
      <c r="M105" s="51"/>
    </row>
    <row r="106" spans="1:13" x14ac:dyDescent="0.3">
      <c r="A106" s="102" t="s">
        <v>248</v>
      </c>
      <c r="B106" s="51"/>
      <c r="C106" s="51"/>
      <c r="D106" s="51"/>
      <c r="E106" s="51"/>
      <c r="F106" s="51"/>
      <c r="G106" s="51"/>
      <c r="H106" s="51"/>
      <c r="I106" s="58"/>
      <c r="J106" s="51"/>
      <c r="K106" s="51"/>
      <c r="L106" s="51"/>
      <c r="M106" s="51"/>
    </row>
    <row r="107" spans="1:13" x14ac:dyDescent="0.3">
      <c r="A107" s="184"/>
      <c r="B107" s="51"/>
      <c r="C107" s="51"/>
      <c r="D107" s="51"/>
      <c r="E107" s="51"/>
      <c r="F107" s="51"/>
      <c r="G107" s="51"/>
      <c r="H107" s="51"/>
      <c r="I107" s="58"/>
      <c r="J107" s="51"/>
      <c r="K107" s="51"/>
      <c r="L107" s="51"/>
      <c r="M107" s="51"/>
    </row>
    <row r="108" spans="1:13" x14ac:dyDescent="0.3">
      <c r="A108" s="227" t="s">
        <v>247</v>
      </c>
      <c r="B108" s="51"/>
      <c r="C108" s="51"/>
      <c r="D108" s="51"/>
      <c r="E108" s="51"/>
      <c r="F108" s="51"/>
      <c r="G108" s="51"/>
      <c r="H108" s="51"/>
      <c r="I108" s="58"/>
      <c r="J108" s="51"/>
      <c r="K108" s="51"/>
      <c r="L108" s="51"/>
      <c r="M108" s="51"/>
    </row>
    <row r="109" spans="1:13" x14ac:dyDescent="0.3">
      <c r="A109" s="227" t="s">
        <v>244</v>
      </c>
      <c r="B109" s="51"/>
      <c r="C109" s="51"/>
      <c r="D109" s="51"/>
      <c r="E109" s="51"/>
      <c r="F109" s="51"/>
      <c r="G109" s="51"/>
      <c r="H109" s="51"/>
      <c r="I109" s="58"/>
      <c r="J109" s="51"/>
      <c r="K109" s="51"/>
      <c r="L109" s="51"/>
      <c r="M109" s="51"/>
    </row>
    <row r="110" spans="1:13" x14ac:dyDescent="0.3">
      <c r="A110" s="89"/>
      <c r="B110" s="51"/>
      <c r="C110" s="51"/>
      <c r="D110" s="51"/>
      <c r="E110" s="51"/>
      <c r="F110" s="51"/>
      <c r="G110" s="51"/>
      <c r="H110" s="51"/>
      <c r="I110" s="58"/>
      <c r="J110" s="51"/>
      <c r="K110" s="51"/>
      <c r="L110" s="51"/>
      <c r="M110" s="51"/>
    </row>
    <row r="111" spans="1:13" x14ac:dyDescent="0.3">
      <c r="A111" s="89" t="s">
        <v>246</v>
      </c>
      <c r="B111" s="51"/>
      <c r="C111" s="51"/>
      <c r="D111" s="51"/>
      <c r="E111" s="51"/>
      <c r="F111" s="51"/>
      <c r="G111" s="51"/>
      <c r="H111" s="51"/>
      <c r="I111" s="58"/>
      <c r="J111" s="51"/>
      <c r="K111" s="51"/>
      <c r="L111" s="51"/>
      <c r="M111" s="51"/>
    </row>
    <row r="112" spans="1:13" x14ac:dyDescent="0.3">
      <c r="A112" s="89"/>
      <c r="B112" s="51"/>
      <c r="C112" s="51"/>
      <c r="D112" s="51"/>
      <c r="E112" s="51"/>
      <c r="F112" s="51"/>
      <c r="G112" s="51"/>
      <c r="H112" s="51"/>
      <c r="I112" s="58"/>
      <c r="J112" s="51"/>
      <c r="K112" s="51"/>
      <c r="L112" s="51"/>
      <c r="M112" s="51"/>
    </row>
    <row r="113" spans="1:13" x14ac:dyDescent="0.3">
      <c r="A113" s="89" t="s">
        <v>245</v>
      </c>
      <c r="B113" s="51"/>
      <c r="C113" s="51"/>
      <c r="D113" s="51"/>
      <c r="E113" s="51"/>
      <c r="F113" s="51"/>
      <c r="G113" s="51"/>
      <c r="H113" s="51"/>
      <c r="I113" s="58"/>
      <c r="J113" s="51"/>
      <c r="K113" s="51"/>
      <c r="L113" s="51"/>
      <c r="M113" s="51"/>
    </row>
    <row r="114" spans="1:13" x14ac:dyDescent="0.3">
      <c r="A114" s="89"/>
      <c r="B114" s="51"/>
      <c r="C114" s="51"/>
      <c r="D114" s="51"/>
      <c r="E114" s="51"/>
      <c r="F114" s="51"/>
      <c r="G114" s="51"/>
      <c r="H114" s="51"/>
      <c r="I114" s="58"/>
      <c r="J114" s="51"/>
      <c r="K114" s="51"/>
      <c r="L114" s="51"/>
      <c r="M114" s="51"/>
    </row>
    <row r="115" spans="1:13" x14ac:dyDescent="0.3">
      <c r="A115" s="89" t="s">
        <v>252</v>
      </c>
      <c r="B115" s="51"/>
      <c r="C115" s="51"/>
      <c r="D115" s="51"/>
      <c r="E115" s="51"/>
      <c r="F115" s="51"/>
      <c r="G115" s="51"/>
      <c r="H115" s="51"/>
      <c r="I115" s="58"/>
      <c r="J115" s="51"/>
      <c r="K115" s="51"/>
      <c r="L115" s="51"/>
      <c r="M115" s="51"/>
    </row>
    <row r="116" spans="1:13" x14ac:dyDescent="0.3">
      <c r="A116" s="89"/>
      <c r="B116" s="51"/>
      <c r="C116" s="51"/>
      <c r="D116" s="51"/>
      <c r="E116" s="51"/>
      <c r="F116" s="51"/>
      <c r="G116" s="51"/>
      <c r="H116" s="51"/>
      <c r="I116" s="58"/>
      <c r="J116" s="51"/>
      <c r="K116" s="51"/>
      <c r="L116" s="51"/>
      <c r="M116" s="51"/>
    </row>
    <row r="117" spans="1:13" x14ac:dyDescent="0.3">
      <c r="A117" s="89" t="s">
        <v>253</v>
      </c>
      <c r="B117" s="51"/>
      <c r="C117" s="51"/>
      <c r="D117" s="51"/>
      <c r="E117" s="51"/>
      <c r="F117" s="51"/>
      <c r="G117" s="51"/>
      <c r="H117" s="51"/>
      <c r="I117" s="58"/>
      <c r="J117" s="51"/>
      <c r="K117" s="51"/>
      <c r="L117" s="51"/>
      <c r="M117" s="51"/>
    </row>
    <row r="118" spans="1:13" x14ac:dyDescent="0.3">
      <c r="A118" s="89" t="s">
        <v>249</v>
      </c>
      <c r="B118" s="51"/>
      <c r="C118" s="51"/>
      <c r="D118" s="51"/>
      <c r="E118" s="51"/>
      <c r="F118" s="51"/>
      <c r="G118" s="51"/>
      <c r="H118" s="51"/>
      <c r="I118" s="58"/>
      <c r="J118" s="51"/>
      <c r="K118" s="51"/>
      <c r="L118" s="51"/>
      <c r="M118" s="51"/>
    </row>
    <row r="119" spans="1:13" x14ac:dyDescent="0.3">
      <c r="A119" s="89"/>
      <c r="B119" s="51"/>
      <c r="C119" s="51"/>
      <c r="D119" s="51"/>
      <c r="E119" s="51"/>
      <c r="F119" s="51"/>
      <c r="G119" s="51"/>
      <c r="H119" s="51"/>
      <c r="I119" s="58"/>
      <c r="J119" s="51"/>
      <c r="K119" s="51"/>
      <c r="L119" s="51"/>
      <c r="M119" s="51"/>
    </row>
    <row r="120" spans="1:13" x14ac:dyDescent="0.3">
      <c r="A120" s="89" t="s">
        <v>254</v>
      </c>
      <c r="B120" s="51"/>
      <c r="C120" s="51"/>
      <c r="D120" s="51"/>
      <c r="E120" s="51"/>
      <c r="F120" s="51"/>
      <c r="G120" s="51"/>
      <c r="H120" s="51"/>
      <c r="I120" s="58"/>
      <c r="J120" s="51"/>
      <c r="K120" s="51"/>
      <c r="L120" s="51"/>
      <c r="M120" s="51"/>
    </row>
    <row r="121" spans="1:13" x14ac:dyDescent="0.3">
      <c r="A121" s="89" t="s">
        <v>250</v>
      </c>
      <c r="B121" s="51"/>
      <c r="C121" s="51"/>
      <c r="D121" s="51"/>
      <c r="E121" s="51"/>
      <c r="F121" s="51"/>
      <c r="G121" s="51"/>
      <c r="H121" s="51"/>
      <c r="I121" s="58"/>
      <c r="J121" s="51"/>
      <c r="K121" s="51"/>
      <c r="L121" s="51"/>
      <c r="M121" s="51"/>
    </row>
    <row r="122" spans="1:13" x14ac:dyDescent="0.3">
      <c r="A122" s="89"/>
      <c r="B122" s="51"/>
      <c r="C122" s="51"/>
      <c r="D122" s="51"/>
      <c r="E122" s="51"/>
      <c r="F122" s="51"/>
      <c r="G122" s="51"/>
      <c r="H122" s="51"/>
      <c r="I122" s="58"/>
      <c r="J122" s="51"/>
      <c r="K122" s="51"/>
      <c r="L122" s="51"/>
      <c r="M122" s="51"/>
    </row>
    <row r="123" spans="1:13" x14ac:dyDescent="0.3">
      <c r="A123" s="89" t="s">
        <v>255</v>
      </c>
      <c r="B123" s="51"/>
      <c r="C123" s="51"/>
      <c r="D123" s="51"/>
      <c r="E123" s="51"/>
      <c r="F123" s="51"/>
      <c r="G123" s="51"/>
      <c r="H123" s="51"/>
      <c r="I123" s="58"/>
      <c r="J123" s="51"/>
      <c r="K123" s="51"/>
      <c r="L123" s="51"/>
      <c r="M123" s="51"/>
    </row>
    <row r="124" spans="1:13" x14ac:dyDescent="0.3">
      <c r="A124" s="89" t="s">
        <v>196</v>
      </c>
      <c r="B124" s="51"/>
      <c r="C124" s="51"/>
      <c r="D124" s="51"/>
      <c r="E124" s="51"/>
      <c r="F124" s="51"/>
      <c r="G124" s="51"/>
      <c r="H124" s="51"/>
      <c r="I124" s="58"/>
      <c r="J124" s="51"/>
      <c r="K124" s="51"/>
      <c r="L124" s="51"/>
      <c r="M124" s="51"/>
    </row>
    <row r="125" spans="1:13" x14ac:dyDescent="0.3">
      <c r="A125" s="89"/>
      <c r="B125" s="51"/>
      <c r="C125" s="51"/>
      <c r="D125" s="51"/>
      <c r="E125" s="51"/>
      <c r="F125" s="51"/>
      <c r="G125" s="51"/>
      <c r="H125" s="51"/>
      <c r="I125" s="58"/>
      <c r="J125" s="51"/>
      <c r="K125" s="51"/>
      <c r="L125" s="51"/>
      <c r="M125" s="51"/>
    </row>
    <row r="126" spans="1:13" x14ac:dyDescent="0.3">
      <c r="A126" s="89" t="s">
        <v>256</v>
      </c>
      <c r="B126" s="51"/>
      <c r="C126" s="51"/>
      <c r="D126" s="51"/>
      <c r="E126" s="51"/>
      <c r="F126" s="51"/>
      <c r="G126" s="51"/>
      <c r="H126" s="51"/>
      <c r="I126" s="58"/>
      <c r="J126" s="51"/>
      <c r="K126" s="51"/>
      <c r="L126" s="51"/>
      <c r="M126" s="51"/>
    </row>
    <row r="127" spans="1:13" x14ac:dyDescent="0.3">
      <c r="A127" s="89" t="s">
        <v>155</v>
      </c>
      <c r="B127" s="51"/>
      <c r="C127" s="51"/>
      <c r="D127" s="51"/>
      <c r="E127" s="51"/>
      <c r="F127" s="51"/>
      <c r="G127" s="51"/>
      <c r="H127" s="51"/>
      <c r="I127" s="58"/>
      <c r="J127" s="51"/>
      <c r="K127" s="51"/>
      <c r="L127" s="51"/>
      <c r="M127" s="51"/>
    </row>
    <row r="128" spans="1:13" x14ac:dyDescent="0.3">
      <c r="A128" s="89" t="s">
        <v>154</v>
      </c>
      <c r="B128" s="51"/>
      <c r="C128" s="51"/>
      <c r="D128" s="51"/>
      <c r="E128" s="51"/>
      <c r="F128" s="51"/>
      <c r="G128" s="51"/>
      <c r="H128" s="51"/>
      <c r="I128" s="58"/>
      <c r="J128" s="51"/>
      <c r="K128"/>
      <c r="L128" s="51"/>
      <c r="M128" s="51"/>
    </row>
    <row r="129" spans="1:16" x14ac:dyDescent="0.3">
      <c r="A129" s="89"/>
      <c r="B129" s="51"/>
      <c r="C129" s="51"/>
      <c r="D129" s="51"/>
      <c r="E129" s="51"/>
      <c r="F129" s="51"/>
      <c r="G129" s="51"/>
      <c r="H129" s="51"/>
      <c r="I129" s="58"/>
      <c r="J129" s="51"/>
      <c r="K129"/>
      <c r="L129" s="51"/>
      <c r="M129" s="51"/>
    </row>
    <row r="130" spans="1:16" x14ac:dyDescent="0.3">
      <c r="A130" s="89" t="s">
        <v>257</v>
      </c>
      <c r="B130" s="51"/>
      <c r="C130" s="51"/>
      <c r="D130" s="51"/>
      <c r="E130" s="51"/>
      <c r="F130" s="51"/>
      <c r="G130" s="51"/>
      <c r="H130" s="51"/>
      <c r="I130" s="58"/>
      <c r="J130" s="51"/>
      <c r="K130" s="51"/>
      <c r="L130" s="51"/>
      <c r="M130" s="51"/>
    </row>
    <row r="131" spans="1:16" x14ac:dyDescent="0.3">
      <c r="A131" s="89" t="s">
        <v>251</v>
      </c>
      <c r="B131" s="51"/>
      <c r="C131" s="51"/>
      <c r="D131" s="51"/>
      <c r="E131" s="51"/>
      <c r="F131" s="51"/>
      <c r="G131" s="51"/>
      <c r="H131" s="51"/>
      <c r="I131" s="58"/>
      <c r="J131" s="51"/>
      <c r="K131" s="51"/>
      <c r="L131" s="51"/>
      <c r="M131" s="51"/>
    </row>
    <row r="132" spans="1:16" x14ac:dyDescent="0.3">
      <c r="A132" s="111"/>
      <c r="B132" s="109"/>
      <c r="C132" s="109"/>
      <c r="D132" s="109"/>
      <c r="E132" s="109"/>
      <c r="F132" s="109"/>
      <c r="G132" s="109"/>
      <c r="H132" s="109"/>
      <c r="I132" s="109"/>
      <c r="J132" s="101"/>
      <c r="K132" s="101"/>
      <c r="L132" s="101"/>
      <c r="M132" s="101"/>
    </row>
    <row r="133" spans="1:16" x14ac:dyDescent="0.3">
      <c r="A133" s="132" t="s">
        <v>25</v>
      </c>
      <c r="B133" s="4"/>
      <c r="C133" s="4"/>
      <c r="D133" s="4"/>
      <c r="E133" s="4"/>
      <c r="F133" s="4"/>
      <c r="G133" s="4"/>
      <c r="H133" s="4"/>
      <c r="I133" s="4"/>
    </row>
    <row r="134" spans="1:16" x14ac:dyDescent="0.3">
      <c r="A134" s="102"/>
      <c r="B134" s="51"/>
      <c r="C134" s="51"/>
      <c r="D134" s="51"/>
      <c r="E134" s="51"/>
      <c r="F134" s="51"/>
      <c r="G134" s="51"/>
      <c r="H134" s="51"/>
      <c r="I134" s="58"/>
      <c r="J134" s="51"/>
      <c r="K134" s="51"/>
      <c r="L134" s="51"/>
      <c r="M134" s="51"/>
      <c r="O134" s="45"/>
      <c r="P134" s="45"/>
    </row>
    <row r="135" spans="1:16" x14ac:dyDescent="0.3">
      <c r="A135" s="57" t="s">
        <v>170</v>
      </c>
      <c r="B135" s="51"/>
      <c r="C135" s="51"/>
      <c r="D135" s="51"/>
      <c r="E135" s="51"/>
      <c r="F135" s="51"/>
      <c r="G135" s="51"/>
      <c r="H135" s="51"/>
      <c r="I135" s="58"/>
      <c r="J135" s="51"/>
      <c r="K135" s="51"/>
      <c r="L135" s="51"/>
      <c r="M135" s="51"/>
      <c r="O135" s="45"/>
      <c r="P135" s="45"/>
    </row>
    <row r="136" spans="1:16" x14ac:dyDescent="0.3">
      <c r="A136" s="57"/>
      <c r="B136" s="51"/>
      <c r="C136" s="51"/>
      <c r="D136" s="51"/>
      <c r="E136" s="51"/>
      <c r="F136" s="51"/>
      <c r="G136" s="51"/>
      <c r="H136" s="51"/>
      <c r="I136" s="58"/>
      <c r="J136" s="51"/>
      <c r="K136" s="51"/>
      <c r="L136" s="51"/>
      <c r="M136" s="51"/>
      <c r="O136" s="45"/>
      <c r="P136" s="45"/>
    </row>
    <row r="137" spans="1:16" x14ac:dyDescent="0.3">
      <c r="A137" s="57" t="s">
        <v>258</v>
      </c>
      <c r="B137" s="51"/>
      <c r="C137" s="51"/>
      <c r="D137" s="51"/>
      <c r="E137" s="51"/>
      <c r="F137" s="51"/>
      <c r="G137" s="51"/>
      <c r="H137" s="51"/>
      <c r="I137" s="58"/>
      <c r="J137" s="51"/>
      <c r="K137" s="51"/>
      <c r="L137" s="51"/>
      <c r="M137" s="51"/>
      <c r="O137" s="45"/>
      <c r="P137" s="45"/>
    </row>
    <row r="138" spans="1:16" x14ac:dyDescent="0.3">
      <c r="A138" s="51" t="s">
        <v>259</v>
      </c>
      <c r="B138" s="51"/>
      <c r="C138" s="51"/>
      <c r="D138" s="51"/>
      <c r="E138" s="51"/>
      <c r="F138" s="51"/>
      <c r="G138" s="51"/>
      <c r="H138" s="51"/>
      <c r="I138" s="58"/>
      <c r="J138" s="51"/>
      <c r="K138" s="51"/>
      <c r="L138" s="51"/>
      <c r="M138" s="51"/>
      <c r="O138" s="45"/>
      <c r="P138" s="45"/>
    </row>
    <row r="139" spans="1:16" x14ac:dyDescent="0.3">
      <c r="A139" s="51" t="s">
        <v>260</v>
      </c>
      <c r="B139" s="51"/>
      <c r="C139" s="51"/>
      <c r="D139" s="51"/>
      <c r="E139" s="51"/>
      <c r="F139" s="51"/>
      <c r="G139" s="51"/>
      <c r="H139" s="51"/>
      <c r="I139" s="58"/>
      <c r="J139" s="51"/>
      <c r="K139" s="51"/>
      <c r="L139" s="51"/>
      <c r="M139" s="51"/>
      <c r="O139" s="45"/>
      <c r="P139" s="45"/>
    </row>
    <row r="140" spans="1:16" x14ac:dyDescent="0.3">
      <c r="A140" s="96"/>
      <c r="B140" s="103"/>
      <c r="C140" s="103"/>
      <c r="D140" s="103"/>
      <c r="E140" s="103"/>
      <c r="F140" s="103"/>
      <c r="G140" s="103"/>
      <c r="H140" s="103"/>
      <c r="I140" s="104"/>
      <c r="J140" s="62"/>
      <c r="K140" s="62"/>
      <c r="L140" s="62"/>
      <c r="M140" s="62"/>
      <c r="P140" s="48"/>
    </row>
    <row r="141" spans="1:16" x14ac:dyDescent="0.3">
      <c r="A141" s="96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P141" s="48"/>
    </row>
    <row r="142" spans="1:16" x14ac:dyDescent="0.3">
      <c r="A142" s="233" t="s">
        <v>27</v>
      </c>
      <c r="B142" s="234"/>
      <c r="C142" s="234"/>
      <c r="D142" s="234"/>
      <c r="E142" s="234"/>
      <c r="F142" s="234"/>
      <c r="G142" s="234"/>
      <c r="H142" s="234"/>
      <c r="I142" s="235"/>
      <c r="J142" s="122"/>
      <c r="K142" s="122"/>
      <c r="L142" s="122"/>
      <c r="M142" s="122"/>
      <c r="P142" s="48"/>
    </row>
    <row r="143" spans="1:16" x14ac:dyDescent="0.3">
      <c r="P143" s="48"/>
    </row>
    <row r="144" spans="1:16" x14ac:dyDescent="0.3">
      <c r="D144" s="219">
        <v>45838</v>
      </c>
      <c r="E144" s="27"/>
      <c r="F144" s="6" t="s">
        <v>6</v>
      </c>
      <c r="G144" s="6" t="s">
        <v>5</v>
      </c>
      <c r="H144" s="6" t="s">
        <v>6</v>
      </c>
      <c r="I144" s="6" t="s">
        <v>5</v>
      </c>
      <c r="J144" s="3"/>
      <c r="K144" s="3"/>
      <c r="L144" s="3"/>
      <c r="M144" s="3"/>
      <c r="P144" s="48"/>
    </row>
    <row r="145" spans="1:16" x14ac:dyDescent="0.3">
      <c r="A145" s="1" t="s">
        <v>12</v>
      </c>
      <c r="D145" s="10">
        <v>69905</v>
      </c>
      <c r="F145" s="70">
        <v>0.85</v>
      </c>
      <c r="G145" s="11">
        <f>D145*F145</f>
        <v>59419.25</v>
      </c>
      <c r="H145" s="70">
        <v>0.75</v>
      </c>
      <c r="I145" s="11">
        <f>D145*H145</f>
        <v>52428.75</v>
      </c>
      <c r="J145" s="11"/>
      <c r="K145" s="11"/>
      <c r="L145" s="11"/>
      <c r="M145" s="11"/>
      <c r="P145" s="48"/>
    </row>
    <row r="146" spans="1:16" x14ac:dyDescent="0.3">
      <c r="A146" s="1" t="s">
        <v>13</v>
      </c>
      <c r="D146" s="10">
        <v>938</v>
      </c>
      <c r="F146" s="70">
        <v>0.75</v>
      </c>
      <c r="G146" s="11">
        <f>D146*F146</f>
        <v>703.5</v>
      </c>
      <c r="H146" s="70">
        <v>0.75</v>
      </c>
      <c r="I146" s="11">
        <f>D146*H146</f>
        <v>703.5</v>
      </c>
      <c r="J146" s="11"/>
      <c r="K146" s="11"/>
      <c r="L146" s="11"/>
      <c r="M146" s="11"/>
      <c r="P146" s="48"/>
    </row>
    <row r="147" spans="1:16" x14ac:dyDescent="0.3">
      <c r="A147" s="1" t="s">
        <v>14</v>
      </c>
      <c r="D147" s="14">
        <v>204966</v>
      </c>
      <c r="F147" s="70">
        <v>0.75</v>
      </c>
      <c r="G147" s="15">
        <f>D147*F147</f>
        <v>153724.5</v>
      </c>
      <c r="H147" s="70">
        <v>0.5</v>
      </c>
      <c r="I147" s="15">
        <f>D147*H147</f>
        <v>102483</v>
      </c>
      <c r="J147" s="11"/>
      <c r="K147" s="11"/>
      <c r="L147" s="11"/>
      <c r="M147" s="11"/>
      <c r="P147" s="48"/>
    </row>
    <row r="148" spans="1:16" x14ac:dyDescent="0.3">
      <c r="A148" s="1" t="s">
        <v>7</v>
      </c>
      <c r="D148" s="77">
        <f>SUM(D145:D147)</f>
        <v>275809</v>
      </c>
      <c r="E148" s="65"/>
      <c r="F148" s="65"/>
      <c r="G148" s="77">
        <f>SUM(G145:G147)</f>
        <v>213847.25</v>
      </c>
      <c r="H148" s="65"/>
      <c r="I148" s="77">
        <f>SUM(I145:I147)</f>
        <v>155615.25</v>
      </c>
      <c r="J148" s="77"/>
      <c r="K148" s="77"/>
      <c r="L148" s="77"/>
      <c r="M148" s="77"/>
      <c r="P148" s="48"/>
    </row>
    <row r="149" spans="1:16" x14ac:dyDescent="0.3">
      <c r="P149" s="48"/>
    </row>
    <row r="150" spans="1:16" x14ac:dyDescent="0.3">
      <c r="A150" s="1" t="s">
        <v>56</v>
      </c>
      <c r="G150" s="78">
        <f>B87</f>
        <v>95305.68</v>
      </c>
      <c r="H150" s="65"/>
      <c r="I150" s="77">
        <f>$G150</f>
        <v>95305.68</v>
      </c>
      <c r="J150" s="77"/>
      <c r="K150" s="77"/>
      <c r="L150" s="77"/>
      <c r="M150" s="77"/>
      <c r="P150" s="48"/>
    </row>
    <row r="151" spans="1:16" x14ac:dyDescent="0.3">
      <c r="A151" s="1" t="s">
        <v>15</v>
      </c>
      <c r="G151" s="13">
        <f>G148/G150</f>
        <v>2.2438038320486253</v>
      </c>
      <c r="I151" s="13">
        <f>I148/I150</f>
        <v>1.6328014237976163</v>
      </c>
      <c r="J151" s="13"/>
      <c r="K151" s="13"/>
      <c r="L151" s="13"/>
      <c r="M151" s="13"/>
      <c r="P151" s="48"/>
    </row>
    <row r="152" spans="1:16" x14ac:dyDescent="0.3">
      <c r="G152" s="13"/>
      <c r="I152" s="13"/>
      <c r="J152" s="13"/>
      <c r="K152" s="13"/>
      <c r="L152" s="13"/>
      <c r="M152" s="13"/>
      <c r="P152" s="48"/>
    </row>
    <row r="153" spans="1:16" x14ac:dyDescent="0.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P153" s="48"/>
    </row>
    <row r="154" spans="1:16" x14ac:dyDescent="0.3">
      <c r="A154" s="230" t="s">
        <v>29</v>
      </c>
      <c r="B154" s="231"/>
      <c r="C154" s="231"/>
      <c r="D154" s="231"/>
      <c r="E154" s="231"/>
      <c r="F154" s="231"/>
      <c r="G154" s="231"/>
      <c r="H154" s="231"/>
      <c r="I154" s="232"/>
      <c r="J154" s="122"/>
      <c r="K154" s="122"/>
      <c r="L154" s="122"/>
      <c r="M154" s="122"/>
      <c r="P154" s="48"/>
    </row>
    <row r="155" spans="1:16" x14ac:dyDescent="0.3">
      <c r="A155" s="149"/>
      <c r="B155" s="52"/>
      <c r="C155" s="52"/>
      <c r="D155" s="52"/>
      <c r="E155" s="52"/>
      <c r="F155" s="52"/>
      <c r="G155" s="52"/>
      <c r="H155" s="52"/>
      <c r="I155" s="53"/>
      <c r="J155" s="50"/>
      <c r="K155" s="50"/>
      <c r="L155" s="50"/>
      <c r="M155" s="50"/>
      <c r="P155" s="48"/>
    </row>
    <row r="156" spans="1:16" x14ac:dyDescent="0.3">
      <c r="A156" s="57" t="s">
        <v>141</v>
      </c>
      <c r="B156" s="50"/>
      <c r="C156" s="50"/>
      <c r="D156" s="50"/>
      <c r="E156" s="50"/>
      <c r="F156" s="50"/>
      <c r="G156" s="50"/>
      <c r="H156" s="50"/>
      <c r="I156" s="54"/>
      <c r="J156" s="50"/>
      <c r="K156" s="50"/>
      <c r="L156" s="50"/>
      <c r="M156" s="50"/>
      <c r="P156" s="48"/>
    </row>
    <row r="157" spans="1:16" x14ac:dyDescent="0.3">
      <c r="A157" s="57"/>
      <c r="B157" s="50"/>
      <c r="C157" s="50"/>
      <c r="D157" s="50"/>
      <c r="E157" s="50"/>
      <c r="F157" s="50"/>
      <c r="G157" s="50"/>
      <c r="H157" s="50"/>
      <c r="I157" s="54"/>
      <c r="J157" s="50"/>
      <c r="K157" s="50"/>
      <c r="L157" s="50"/>
      <c r="M157" s="50"/>
      <c r="P157" s="48"/>
    </row>
    <row r="158" spans="1:16" x14ac:dyDescent="0.3">
      <c r="A158" s="57" t="s">
        <v>142</v>
      </c>
      <c r="B158" s="50"/>
      <c r="C158" s="50"/>
      <c r="D158" s="50"/>
      <c r="E158" s="50"/>
      <c r="F158" s="50"/>
      <c r="G158" s="50"/>
      <c r="H158" s="50"/>
      <c r="I158" s="54"/>
      <c r="J158" s="50"/>
      <c r="K158" s="50"/>
      <c r="L158" s="50"/>
      <c r="M158" s="50"/>
      <c r="P158" s="48"/>
    </row>
    <row r="159" spans="1:16" x14ac:dyDescent="0.3">
      <c r="A159" s="184" t="s">
        <v>143</v>
      </c>
      <c r="B159" s="50"/>
      <c r="C159" s="50"/>
      <c r="D159" s="50"/>
      <c r="E159" s="50"/>
      <c r="F159" s="50"/>
      <c r="G159" s="50"/>
      <c r="H159" s="50"/>
      <c r="I159" s="54"/>
      <c r="J159" s="50"/>
      <c r="K159" s="50"/>
      <c r="L159" s="50"/>
      <c r="M159" s="50"/>
      <c r="P159" s="48"/>
    </row>
    <row r="160" spans="1:16" x14ac:dyDescent="0.3">
      <c r="A160" s="96"/>
      <c r="B160" s="4"/>
      <c r="C160" s="4"/>
      <c r="D160" s="4"/>
      <c r="E160" s="4"/>
      <c r="F160" s="4"/>
      <c r="G160" s="4"/>
      <c r="H160" s="4"/>
      <c r="I160" s="55"/>
      <c r="P160" s="48"/>
    </row>
    <row r="161" spans="1:16" x14ac:dyDescent="0.3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P161" s="48"/>
    </row>
    <row r="162" spans="1:16" x14ac:dyDescent="0.3">
      <c r="A162" s="230" t="s">
        <v>28</v>
      </c>
      <c r="B162" s="231"/>
      <c r="C162" s="231"/>
      <c r="D162" s="231"/>
      <c r="E162" s="231"/>
      <c r="F162" s="231"/>
      <c r="G162" s="231"/>
      <c r="H162" s="231"/>
      <c r="I162" s="232"/>
      <c r="J162" s="122"/>
      <c r="K162" s="122"/>
      <c r="L162" s="122"/>
      <c r="M162" s="122"/>
    </row>
    <row r="163" spans="1:16" x14ac:dyDescent="0.3">
      <c r="A163" s="59"/>
      <c r="B163" s="60"/>
      <c r="C163" s="60"/>
      <c r="D163" s="60"/>
      <c r="E163" s="60"/>
      <c r="F163" s="60"/>
      <c r="G163" s="60"/>
      <c r="H163" s="60"/>
      <c r="I163" s="61"/>
      <c r="P163" s="48"/>
    </row>
    <row r="164" spans="1:16" x14ac:dyDescent="0.3">
      <c r="A164" s="64"/>
      <c r="B164" s="50"/>
      <c r="C164" s="50"/>
      <c r="D164" s="50"/>
      <c r="E164" s="50"/>
      <c r="F164" s="50"/>
      <c r="G164" s="50"/>
      <c r="H164" s="50"/>
      <c r="I164" s="54"/>
      <c r="J164" s="50"/>
      <c r="K164" s="50"/>
      <c r="L164" s="50"/>
      <c r="M164" s="50"/>
    </row>
    <row r="165" spans="1:16" x14ac:dyDescent="0.3">
      <c r="A165" s="64"/>
      <c r="B165" s="50"/>
      <c r="C165" s="50"/>
      <c r="D165" s="50"/>
      <c r="E165" s="50"/>
      <c r="F165" s="50"/>
      <c r="G165" s="50"/>
      <c r="H165" s="50"/>
      <c r="I165" s="54"/>
      <c r="J165" s="50"/>
      <c r="K165" s="50"/>
      <c r="L165" s="50"/>
      <c r="M165" s="50"/>
    </row>
    <row r="166" spans="1:16" x14ac:dyDescent="0.3">
      <c r="A166" s="59"/>
      <c r="B166" s="50"/>
      <c r="C166" s="50"/>
      <c r="D166" s="50"/>
      <c r="E166" s="50"/>
      <c r="F166" s="50"/>
      <c r="G166" s="50"/>
      <c r="H166" s="50"/>
      <c r="I166" s="54"/>
      <c r="J166" s="50"/>
      <c r="K166" s="50"/>
      <c r="L166" s="50"/>
      <c r="M166" s="50"/>
    </row>
    <row r="167" spans="1:16" x14ac:dyDescent="0.3">
      <c r="A167" s="59"/>
      <c r="B167" s="50"/>
      <c r="C167" s="50"/>
      <c r="D167" s="50"/>
      <c r="E167" s="50"/>
      <c r="F167" s="50"/>
      <c r="G167" s="50"/>
      <c r="H167" s="50"/>
      <c r="I167" s="54"/>
      <c r="J167" s="50"/>
      <c r="K167" s="50"/>
      <c r="L167" s="50"/>
      <c r="M167" s="50"/>
    </row>
    <row r="168" spans="1:16" x14ac:dyDescent="0.3">
      <c r="A168" s="59"/>
      <c r="I168" s="56"/>
      <c r="P168" s="48"/>
    </row>
    <row r="169" spans="1:16" x14ac:dyDescent="0.3">
      <c r="A169" s="59"/>
      <c r="I169" s="56"/>
      <c r="P169" s="48"/>
    </row>
    <row r="170" spans="1:16" x14ac:dyDescent="0.3">
      <c r="A170" s="59"/>
      <c r="I170" s="56"/>
      <c r="P170" s="48"/>
    </row>
    <row r="171" spans="1:16" x14ac:dyDescent="0.3">
      <c r="A171" s="59"/>
      <c r="I171" s="56"/>
      <c r="P171" s="48"/>
    </row>
    <row r="172" spans="1:16" x14ac:dyDescent="0.3">
      <c r="A172" s="59"/>
      <c r="I172" s="56"/>
      <c r="P172" s="48"/>
    </row>
    <row r="173" spans="1:16" x14ac:dyDescent="0.3">
      <c r="A173" s="59"/>
      <c r="I173" s="56"/>
      <c r="P173" s="48"/>
    </row>
    <row r="174" spans="1:16" x14ac:dyDescent="0.3">
      <c r="A174" s="59"/>
      <c r="I174" s="56"/>
      <c r="P174" s="48"/>
    </row>
    <row r="175" spans="1:16" x14ac:dyDescent="0.3">
      <c r="A175" s="59"/>
      <c r="I175" s="56"/>
      <c r="P175" s="48"/>
    </row>
    <row r="176" spans="1:16" x14ac:dyDescent="0.3">
      <c r="A176" s="26"/>
      <c r="I176" s="56"/>
      <c r="P176" s="48"/>
    </row>
    <row r="177" spans="1:16" x14ac:dyDescent="0.3">
      <c r="A177" s="26"/>
      <c r="I177" s="56"/>
      <c r="P177" s="48"/>
    </row>
    <row r="178" spans="1:16" x14ac:dyDescent="0.3">
      <c r="A178" s="26"/>
      <c r="I178" s="56"/>
      <c r="P178" s="48"/>
    </row>
    <row r="179" spans="1:16" x14ac:dyDescent="0.3">
      <c r="A179" s="26"/>
      <c r="I179" s="56"/>
      <c r="P179" s="48"/>
    </row>
    <row r="180" spans="1:16" x14ac:dyDescent="0.3">
      <c r="A180" s="26"/>
      <c r="I180" s="56"/>
      <c r="P180" s="48"/>
    </row>
    <row r="181" spans="1:16" x14ac:dyDescent="0.3">
      <c r="A181" s="26"/>
      <c r="I181" s="56"/>
      <c r="P181" s="48"/>
    </row>
    <row r="182" spans="1:16" x14ac:dyDescent="0.3">
      <c r="A182" s="26"/>
      <c r="I182" s="56"/>
      <c r="P182" s="48"/>
    </row>
    <row r="183" spans="1:16" x14ac:dyDescent="0.3">
      <c r="A183" s="26"/>
      <c r="I183" s="56"/>
    </row>
    <row r="184" spans="1:16" x14ac:dyDescent="0.3">
      <c r="A184" s="26"/>
      <c r="I184" s="56"/>
    </row>
    <row r="185" spans="1:16" x14ac:dyDescent="0.3">
      <c r="A185" s="26"/>
      <c r="I185" s="56"/>
    </row>
    <row r="186" spans="1:16" x14ac:dyDescent="0.3">
      <c r="A186" s="26"/>
      <c r="I186" s="56"/>
    </row>
    <row r="187" spans="1:16" x14ac:dyDescent="0.3">
      <c r="A187" s="17"/>
      <c r="B187" s="4"/>
      <c r="C187" s="4"/>
      <c r="D187" s="4"/>
      <c r="E187" s="4"/>
      <c r="F187" s="4"/>
      <c r="G187" s="4"/>
      <c r="H187" s="4"/>
      <c r="I187" s="55"/>
    </row>
  </sheetData>
  <mergeCells count="10">
    <mergeCell ref="H2:I2"/>
    <mergeCell ref="A27:C27"/>
    <mergeCell ref="A33:I33"/>
    <mergeCell ref="F27:I27"/>
    <mergeCell ref="A6:I6"/>
    <mergeCell ref="A154:I154"/>
    <mergeCell ref="A162:I162"/>
    <mergeCell ref="A98:I98"/>
    <mergeCell ref="A92:I92"/>
    <mergeCell ref="A142:I142"/>
  </mergeCells>
  <phoneticPr fontId="0" type="noConversion"/>
  <printOptions horizontalCentered="1"/>
  <pageMargins left="0.5" right="0.5" top="0.5" bottom="0.25" header="0.5" footer="0.1"/>
  <pageSetup scale="59" orientation="portrait" r:id="rId1"/>
  <headerFooter alignWithMargins="0">
    <oddFooter>&amp;C&amp;"Times New Roman,Regular"&amp;9Page &amp;P of &amp;N</oddFooter>
  </headerFooter>
  <rowBreaks count="4" manualBreakCount="4">
    <brk id="91" max="8" man="1"/>
    <brk id="92" max="8" man="1"/>
    <brk id="97" max="8" man="1"/>
    <brk id="141" min="1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Z105"/>
  <sheetViews>
    <sheetView showGridLines="0" view="pageBreakPreview" zoomScaleNormal="100" zoomScaleSheetLayoutView="100" workbookViewId="0">
      <pane xSplit="1" ySplit="4" topLeftCell="Y32" activePane="bottomRight" state="frozen"/>
      <selection pane="topRight" activeCell="B1" sqref="B1"/>
      <selection pane="bottomLeft" activeCell="A5" sqref="A5"/>
      <selection pane="bottomRight" activeCell="AG41" sqref="AG41"/>
    </sheetView>
  </sheetViews>
  <sheetFormatPr defaultRowHeight="12.5" outlineLevelRow="1" outlineLevelCol="1" x14ac:dyDescent="0.25"/>
  <cols>
    <col min="1" max="1" width="55.36328125" customWidth="1"/>
    <col min="2" max="5" width="11.6328125" customWidth="1"/>
    <col min="6" max="6" width="2.6328125" customWidth="1" outlineLevel="1"/>
    <col min="7" max="10" width="10.6328125" customWidth="1" outlineLevel="1"/>
    <col min="11" max="11" width="2.6328125" customWidth="1" outlineLevel="1"/>
    <col min="12" max="12" width="11.6328125" customWidth="1"/>
    <col min="13" max="13" width="2.6328125" customWidth="1" outlineLevel="1"/>
    <col min="14" max="17" width="11.6328125" customWidth="1" outlineLevel="1"/>
    <col min="18" max="18" width="2.6328125" customWidth="1" outlineLevel="1"/>
    <col min="19" max="19" width="12.453125" bestFit="1" customWidth="1"/>
    <col min="20" max="20" width="2.6328125" customWidth="1" outlineLevel="1"/>
    <col min="21" max="24" width="11.6328125" customWidth="1" outlineLevel="1"/>
    <col min="25" max="25" width="2.6328125" customWidth="1" outlineLevel="1"/>
    <col min="26" max="26" width="12.453125" bestFit="1" customWidth="1"/>
    <col min="27" max="27" width="2.6328125" customWidth="1" outlineLevel="1"/>
    <col min="28" max="31" width="11.6328125" customWidth="1" outlineLevel="1"/>
    <col min="32" max="32" width="2.6328125" customWidth="1" outlineLevel="1"/>
    <col min="33" max="33" width="12.453125" bestFit="1" customWidth="1"/>
    <col min="34" max="34" width="2.6328125" customWidth="1" outlineLevel="1"/>
    <col min="35" max="38" width="12.453125" customWidth="1" outlineLevel="1"/>
    <col min="39" max="39" width="2.6328125" customWidth="1" outlineLevel="1"/>
    <col min="40" max="41" width="12.453125" bestFit="1" customWidth="1"/>
    <col min="42" max="45" width="12.453125" customWidth="1"/>
    <col min="46" max="49" width="11.6328125" customWidth="1"/>
    <col min="50" max="50" width="9.36328125" bestFit="1" customWidth="1"/>
    <col min="51" max="51" width="10.36328125" bestFit="1" customWidth="1"/>
    <col min="52" max="52" width="15.36328125" bestFit="1" customWidth="1"/>
  </cols>
  <sheetData>
    <row r="1" spans="1:49" ht="18" thickBot="1" x14ac:dyDescent="0.4">
      <c r="A1" s="99" t="s">
        <v>34</v>
      </c>
      <c r="B1" s="9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1"/>
      <c r="AR1" s="1"/>
      <c r="AS1" s="1"/>
      <c r="AT1" s="1"/>
    </row>
    <row r="2" spans="1:49" ht="13.5" x14ac:dyDescent="0.35">
      <c r="A2" s="92"/>
      <c r="B2" s="9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8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9" ht="13.5" x14ac:dyDescent="0.35">
      <c r="A3" s="92" t="s">
        <v>115</v>
      </c>
      <c r="B3" s="92"/>
      <c r="C3" s="66"/>
      <c r="D3" s="66"/>
      <c r="E3" s="66"/>
      <c r="F3" s="66"/>
      <c r="G3" s="86" t="s">
        <v>104</v>
      </c>
      <c r="H3" s="66"/>
      <c r="I3" s="66"/>
      <c r="J3" s="66"/>
      <c r="K3" s="1"/>
      <c r="L3" s="66"/>
      <c r="M3" s="66"/>
      <c r="N3" s="86" t="s">
        <v>110</v>
      </c>
      <c r="O3" s="66"/>
      <c r="P3" s="66"/>
      <c r="Q3" s="66"/>
      <c r="R3" s="1"/>
      <c r="S3" s="66"/>
      <c r="T3" s="1"/>
      <c r="U3" s="86" t="s">
        <v>169</v>
      </c>
      <c r="V3" s="66"/>
      <c r="W3" s="66"/>
      <c r="X3" s="66"/>
      <c r="Y3" s="1"/>
      <c r="Z3" s="66"/>
      <c r="AA3" s="1"/>
      <c r="AB3" s="86" t="s">
        <v>183</v>
      </c>
      <c r="AC3" s="66"/>
      <c r="AD3" s="66"/>
      <c r="AE3" s="66"/>
      <c r="AF3" s="1"/>
      <c r="AG3" s="66"/>
      <c r="AH3" s="66"/>
      <c r="AJ3" s="2" t="s">
        <v>199</v>
      </c>
      <c r="AK3" s="66"/>
      <c r="AL3" s="66"/>
      <c r="AM3" s="66"/>
      <c r="AN3" s="66"/>
    </row>
    <row r="4" spans="1:49" ht="13.5" x14ac:dyDescent="0.35">
      <c r="A4" s="92" t="s">
        <v>92</v>
      </c>
      <c r="B4" s="35">
        <v>2018</v>
      </c>
      <c r="C4" s="35">
        <v>2019</v>
      </c>
      <c r="D4" s="35">
        <v>2020</v>
      </c>
      <c r="E4" s="35">
        <f>D4+1</f>
        <v>2021</v>
      </c>
      <c r="F4" s="81"/>
      <c r="G4" s="35" t="s">
        <v>68</v>
      </c>
      <c r="H4" s="35" t="s">
        <v>52</v>
      </c>
      <c r="I4" s="35" t="s">
        <v>50</v>
      </c>
      <c r="J4" s="35" t="s">
        <v>51</v>
      </c>
      <c r="K4" s="1"/>
      <c r="L4" s="35">
        <v>2022</v>
      </c>
      <c r="M4" s="81"/>
      <c r="N4" s="35" t="s">
        <v>68</v>
      </c>
      <c r="O4" s="35" t="s">
        <v>52</v>
      </c>
      <c r="P4" s="35" t="s">
        <v>50</v>
      </c>
      <c r="Q4" s="35" t="s">
        <v>51</v>
      </c>
      <c r="R4" s="1"/>
      <c r="S4" s="35">
        <v>2023</v>
      </c>
      <c r="T4" s="1"/>
      <c r="U4" s="35" t="s">
        <v>68</v>
      </c>
      <c r="V4" s="35" t="s">
        <v>52</v>
      </c>
      <c r="W4" s="35" t="s">
        <v>50</v>
      </c>
      <c r="X4" s="35" t="s">
        <v>51</v>
      </c>
      <c r="Y4" s="1"/>
      <c r="Z4" s="35">
        <v>2024</v>
      </c>
      <c r="AA4" s="1"/>
      <c r="AB4" s="35" t="s">
        <v>68</v>
      </c>
      <c r="AC4" s="35" t="s">
        <v>52</v>
      </c>
      <c r="AD4" s="35" t="s">
        <v>50</v>
      </c>
      <c r="AE4" s="35" t="s">
        <v>51</v>
      </c>
      <c r="AF4" s="1"/>
      <c r="AG4" s="35">
        <v>2025</v>
      </c>
      <c r="AH4" s="81"/>
      <c r="AI4" s="35" t="s">
        <v>68</v>
      </c>
      <c r="AJ4" s="35" t="s">
        <v>52</v>
      </c>
      <c r="AK4" s="35" t="s">
        <v>50</v>
      </c>
      <c r="AL4" s="35" t="s">
        <v>51</v>
      </c>
      <c r="AM4" s="81"/>
      <c r="AN4" s="35" t="s">
        <v>147</v>
      </c>
      <c r="AO4" s="35" t="s">
        <v>184</v>
      </c>
      <c r="AP4" s="35" t="s">
        <v>214</v>
      </c>
      <c r="AQ4" s="81" t="s">
        <v>200</v>
      </c>
      <c r="AR4" s="81" t="s">
        <v>201</v>
      </c>
      <c r="AS4" s="81" t="s">
        <v>202</v>
      </c>
      <c r="AT4" s="81" t="s">
        <v>203</v>
      </c>
      <c r="AU4" s="81" t="s">
        <v>190</v>
      </c>
      <c r="AV4" s="81" t="s">
        <v>204</v>
      </c>
      <c r="AW4" s="81"/>
    </row>
    <row r="5" spans="1:49" ht="13.5" x14ac:dyDescent="0.35">
      <c r="A5" s="92"/>
      <c r="B5" s="81"/>
      <c r="C5" s="81"/>
      <c r="D5" s="81"/>
      <c r="E5" s="81"/>
      <c r="F5" s="81"/>
      <c r="G5" s="81"/>
      <c r="H5" s="81"/>
      <c r="I5" s="81"/>
      <c r="J5" s="81"/>
      <c r="K5" s="1"/>
      <c r="L5" s="81"/>
      <c r="M5" s="81"/>
      <c r="N5" s="81"/>
      <c r="O5" s="81"/>
      <c r="P5" s="175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M5" s="81"/>
    </row>
    <row r="6" spans="1:49" s="120" customFormat="1" ht="13.5" x14ac:dyDescent="0.35">
      <c r="A6" s="120" t="s">
        <v>150</v>
      </c>
    </row>
    <row r="7" spans="1:49" s="48" customFormat="1" ht="13" outlineLevel="1" x14ac:dyDescent="0.3">
      <c r="A7" s="1" t="s">
        <v>151</v>
      </c>
      <c r="B7" s="73"/>
      <c r="C7" s="73"/>
      <c r="D7" s="73"/>
      <c r="E7" s="73"/>
      <c r="F7" s="73"/>
      <c r="G7" s="201">
        <v>0.11</v>
      </c>
      <c r="H7" s="201">
        <v>0.32</v>
      </c>
      <c r="I7" s="201">
        <v>0.28000000000000003</v>
      </c>
      <c r="J7" s="201">
        <v>0.25</v>
      </c>
      <c r="K7" s="200"/>
      <c r="L7" s="200"/>
      <c r="M7" s="200"/>
      <c r="N7" s="200">
        <v>-0.03</v>
      </c>
      <c r="O7" s="201">
        <v>7.0000000000000007E-2</v>
      </c>
      <c r="P7" s="201">
        <v>0.11</v>
      </c>
      <c r="Q7" s="200">
        <v>-0.02</v>
      </c>
      <c r="R7" s="200"/>
      <c r="S7" s="201">
        <v>0.03</v>
      </c>
      <c r="T7" s="200"/>
      <c r="U7" s="201">
        <v>0.14000000000000001</v>
      </c>
      <c r="V7" s="201">
        <v>0.17</v>
      </c>
      <c r="W7" s="201">
        <v>0.28999999999999998</v>
      </c>
      <c r="X7" s="201">
        <v>0.17</v>
      </c>
      <c r="Y7" s="200"/>
      <c r="Z7" s="201">
        <v>0.2</v>
      </c>
      <c r="AA7" s="200"/>
      <c r="AB7" s="201">
        <v>0.3</v>
      </c>
      <c r="AC7" s="201">
        <v>0.67</v>
      </c>
      <c r="AD7" s="201">
        <v>0.18</v>
      </c>
      <c r="AE7" s="201">
        <v>0.37</v>
      </c>
      <c r="AF7" s="200"/>
      <c r="AG7" s="201">
        <v>0.38</v>
      </c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</row>
    <row r="8" spans="1:49" s="48" customFormat="1" ht="13" outlineLevel="1" x14ac:dyDescent="0.3">
      <c r="A8" s="1"/>
      <c r="B8" s="73"/>
      <c r="C8" s="73"/>
      <c r="D8" s="73"/>
      <c r="E8" s="73"/>
      <c r="F8" s="73"/>
      <c r="G8" s="201"/>
      <c r="H8" s="201"/>
      <c r="I8" s="201"/>
      <c r="J8" s="201"/>
      <c r="K8" s="200"/>
      <c r="L8" s="200"/>
      <c r="M8" s="200"/>
      <c r="N8" s="200"/>
      <c r="O8" s="201"/>
      <c r="P8" s="201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</row>
    <row r="9" spans="1:49" s="48" customFormat="1" ht="13" outlineLevel="1" x14ac:dyDescent="0.3">
      <c r="A9" s="1" t="s">
        <v>152</v>
      </c>
      <c r="B9" s="73"/>
      <c r="C9" s="73"/>
      <c r="D9" s="73"/>
      <c r="E9" s="73"/>
      <c r="F9" s="73"/>
      <c r="G9" s="201">
        <v>0.11</v>
      </c>
      <c r="H9" s="201">
        <v>0.32</v>
      </c>
      <c r="I9" s="201">
        <v>0.28000000000000003</v>
      </c>
      <c r="J9" s="201">
        <v>0.25</v>
      </c>
      <c r="K9" s="200"/>
      <c r="L9" s="200"/>
      <c r="M9" s="200"/>
      <c r="N9" s="201">
        <v>0.14000000000000001</v>
      </c>
      <c r="O9" s="201">
        <v>0.12</v>
      </c>
      <c r="P9" s="201">
        <v>0.11</v>
      </c>
      <c r="Q9" s="201">
        <v>0.11</v>
      </c>
      <c r="R9" s="201"/>
      <c r="S9" s="201">
        <v>0.11</v>
      </c>
      <c r="T9" s="201"/>
      <c r="U9" s="201">
        <v>0.1</v>
      </c>
      <c r="V9" s="201">
        <v>0.09</v>
      </c>
      <c r="W9" s="201">
        <v>0.08</v>
      </c>
      <c r="X9" s="201">
        <v>7.0000000000000007E-2</v>
      </c>
      <c r="Y9" s="200"/>
      <c r="Z9" s="201">
        <v>7.0000000000000007E-2</v>
      </c>
      <c r="AA9" s="201"/>
      <c r="AB9" s="201">
        <v>0.08</v>
      </c>
      <c r="AC9" s="201">
        <v>7.0000000000000007E-2</v>
      </c>
      <c r="AD9" s="201">
        <v>7.0000000000000007E-2</v>
      </c>
      <c r="AE9" s="201">
        <v>0.06</v>
      </c>
      <c r="AF9" s="200"/>
      <c r="AG9" s="201">
        <v>0.06</v>
      </c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</row>
    <row r="10" spans="1:49" s="48" customFormat="1" ht="13" outlineLevel="1" x14ac:dyDescent="0.3">
      <c r="A10" s="1"/>
      <c r="B10" s="73"/>
      <c r="C10" s="73"/>
      <c r="D10" s="73"/>
      <c r="E10" s="73"/>
      <c r="F10" s="73"/>
      <c r="G10" s="201"/>
      <c r="H10" s="201"/>
      <c r="I10" s="201"/>
      <c r="J10" s="201"/>
      <c r="K10" s="200"/>
      <c r="L10" s="200"/>
      <c r="M10" s="200"/>
      <c r="N10" s="200"/>
      <c r="O10" s="201"/>
      <c r="P10" s="201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</row>
    <row r="11" spans="1:49" ht="13" outlineLevel="1" x14ac:dyDescent="0.3">
      <c r="A11" s="1" t="s">
        <v>153</v>
      </c>
      <c r="B11" s="10"/>
      <c r="C11" s="10"/>
      <c r="D11" s="10"/>
      <c r="E11" s="10"/>
      <c r="F11" s="10"/>
      <c r="G11" s="10">
        <v>54.1</v>
      </c>
      <c r="H11" s="10">
        <v>56.4</v>
      </c>
      <c r="I11" s="10">
        <v>58.4</v>
      </c>
      <c r="J11" s="10">
        <v>59.7</v>
      </c>
      <c r="K11" s="10"/>
      <c r="L11" s="11">
        <f>+J11</f>
        <v>59.7</v>
      </c>
      <c r="M11" s="10"/>
      <c r="N11" s="10">
        <v>65.099999999999994</v>
      </c>
      <c r="O11" s="10">
        <v>67.7</v>
      </c>
      <c r="P11" s="10">
        <v>70.8</v>
      </c>
      <c r="Q11" s="10">
        <v>74.900000000000006</v>
      </c>
      <c r="R11" s="10"/>
      <c r="S11" s="11">
        <f>+Q11</f>
        <v>74.900000000000006</v>
      </c>
      <c r="T11" s="10"/>
      <c r="U11" s="130">
        <v>76.7</v>
      </c>
      <c r="V11" s="130">
        <v>78.400000000000006</v>
      </c>
      <c r="W11" s="130">
        <v>80.8</v>
      </c>
      <c r="X11" s="10">
        <v>82.5</v>
      </c>
      <c r="Y11" s="10"/>
      <c r="Z11" s="11">
        <f>+X11</f>
        <v>82.5</v>
      </c>
      <c r="AA11" s="10"/>
      <c r="AB11" s="10">
        <v>84.4</v>
      </c>
      <c r="AC11" s="10">
        <v>86.3</v>
      </c>
      <c r="AD11" s="130">
        <v>87.7</v>
      </c>
      <c r="AE11" s="10">
        <v>89</v>
      </c>
      <c r="AF11" s="10"/>
      <c r="AG11" s="11">
        <f>AE11</f>
        <v>89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9" ht="13" outlineLevel="1" x14ac:dyDescent="0.3">
      <c r="A12" s="67" t="s">
        <v>31</v>
      </c>
      <c r="B12" s="10"/>
      <c r="C12" s="10"/>
      <c r="D12" s="10"/>
      <c r="E12" s="10"/>
      <c r="F12" s="10"/>
      <c r="G12" s="73">
        <f>G11/43.5-1</f>
        <v>0.2436781609195402</v>
      </c>
      <c r="H12" s="73">
        <f>H11/47.5-1</f>
        <v>0.18736842105263163</v>
      </c>
      <c r="I12" s="73">
        <f>I11/50.2-1</f>
        <v>0.16334661354581659</v>
      </c>
      <c r="J12" s="73">
        <f>J11/51.9-1</f>
        <v>0.1502890173410405</v>
      </c>
      <c r="K12" s="10"/>
      <c r="L12" s="73">
        <f>L11/51.9-1</f>
        <v>0.1502890173410405</v>
      </c>
      <c r="M12" s="10"/>
      <c r="N12" s="73">
        <f t="shared" ref="N12:Q12" si="0">N11/G11-1</f>
        <v>0.20332717190388161</v>
      </c>
      <c r="O12" s="73">
        <f t="shared" si="0"/>
        <v>0.20035460992907805</v>
      </c>
      <c r="P12" s="73">
        <f t="shared" si="0"/>
        <v>0.21232876712328763</v>
      </c>
      <c r="Q12" s="73">
        <f t="shared" si="0"/>
        <v>0.25460636515912904</v>
      </c>
      <c r="R12" s="10"/>
      <c r="S12" s="73">
        <f>S11/L11-1</f>
        <v>0.25460636515912904</v>
      </c>
      <c r="T12" s="10"/>
      <c r="U12" s="73">
        <f>U11/N11-1</f>
        <v>0.1781874039938558</v>
      </c>
      <c r="V12" s="73">
        <f>V11/O11-1</f>
        <v>0.15805022156573112</v>
      </c>
      <c r="W12" s="73">
        <f>W11/P11-1</f>
        <v>0.14124293785310726</v>
      </c>
      <c r="X12" s="73">
        <f>X11/Q11-1</f>
        <v>0.1014686248331107</v>
      </c>
      <c r="Y12" s="10"/>
      <c r="Z12" s="73">
        <f>Z11/S11-1</f>
        <v>0.1014686248331107</v>
      </c>
      <c r="AA12" s="10"/>
      <c r="AB12" s="73">
        <f>AB11/U11-1</f>
        <v>0.10039113428943947</v>
      </c>
      <c r="AC12" s="73">
        <f>AC11/V11-1</f>
        <v>0.10076530612244894</v>
      </c>
      <c r="AD12" s="73">
        <f>AD11/W11-1</f>
        <v>8.5396039603960361E-2</v>
      </c>
      <c r="AE12" s="73">
        <f>AE11/X11-1</f>
        <v>7.8787878787878851E-2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9" ht="13" outlineLevel="1" x14ac:dyDescent="0.3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9" ht="13" outlineLevel="1" x14ac:dyDescent="0.3">
      <c r="A14" s="1" t="s">
        <v>182</v>
      </c>
      <c r="B14" s="10"/>
      <c r="C14" s="10"/>
      <c r="D14" s="10"/>
      <c r="E14" s="10"/>
      <c r="F14" s="10"/>
      <c r="G14" s="10">
        <v>20.71</v>
      </c>
      <c r="H14" s="10">
        <v>22.1</v>
      </c>
      <c r="I14" s="10">
        <v>23.4</v>
      </c>
      <c r="J14" s="10">
        <v>25.1</v>
      </c>
      <c r="K14" s="10"/>
      <c r="L14" s="11">
        <f>SUM(G14:J14)</f>
        <v>91.31</v>
      </c>
      <c r="M14" s="10"/>
      <c r="N14" s="10">
        <v>25.7</v>
      </c>
      <c r="O14" s="10">
        <v>27.1</v>
      </c>
      <c r="P14" s="10">
        <v>28.5</v>
      </c>
      <c r="Q14" s="10">
        <v>30.3</v>
      </c>
      <c r="R14" s="10"/>
      <c r="S14" s="11">
        <f>SUM(N14:Q14)</f>
        <v>111.6</v>
      </c>
      <c r="T14" s="10"/>
      <c r="U14" s="130">
        <v>31.8</v>
      </c>
      <c r="V14" s="130">
        <v>33.700000000000003</v>
      </c>
      <c r="W14" s="130">
        <v>35.1</v>
      </c>
      <c r="X14" s="10">
        <v>36.799999999999997</v>
      </c>
      <c r="Y14" s="10"/>
      <c r="Z14" s="11">
        <f>SUM(U14:X14)</f>
        <v>137.39999999999998</v>
      </c>
      <c r="AA14" s="10"/>
      <c r="AB14" s="10">
        <v>38.9</v>
      </c>
      <c r="AC14" s="10">
        <v>40.9</v>
      </c>
      <c r="AD14" s="130">
        <v>42.4</v>
      </c>
      <c r="AE14" s="10">
        <f>168.9-SUM(AB14:AD14)</f>
        <v>46.700000000000017</v>
      </c>
      <c r="AF14" s="10"/>
      <c r="AG14" s="11">
        <f>SUM(AB14:AE14)</f>
        <v>168.9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9" outlineLevel="1" x14ac:dyDescent="0.25">
      <c r="A15" s="67" t="s">
        <v>31</v>
      </c>
      <c r="B15" s="73"/>
      <c r="C15" s="73"/>
      <c r="D15" s="73"/>
      <c r="E15" s="73"/>
      <c r="F15" s="73"/>
      <c r="G15" s="73">
        <f>G14/15.2-1</f>
        <v>0.36250000000000004</v>
      </c>
      <c r="H15" s="73">
        <f>H14/16.7-1</f>
        <v>0.32335329341317376</v>
      </c>
      <c r="I15" s="73">
        <f>I14/17.7-1</f>
        <v>0.32203389830508478</v>
      </c>
      <c r="J15" s="73">
        <f>J14/19.5-1</f>
        <v>0.28717948717948727</v>
      </c>
      <c r="K15" s="73"/>
      <c r="L15" s="73">
        <f>L14/(SUM(15.2,16.7,17.7,19.5))-1</f>
        <v>0.32141823444283668</v>
      </c>
      <c r="M15" s="73"/>
      <c r="N15" s="73">
        <f>N14/G14-1</f>
        <v>0.24094640270400758</v>
      </c>
      <c r="O15" s="73">
        <f>O14/H14-1</f>
        <v>0.2262443438914028</v>
      </c>
      <c r="P15" s="73">
        <f>P14/I14-1</f>
        <v>0.21794871794871806</v>
      </c>
      <c r="Q15" s="73">
        <f>Q14/J14-1</f>
        <v>0.20717131474103589</v>
      </c>
      <c r="R15" s="73"/>
      <c r="S15" s="73">
        <f>S14/L14-1</f>
        <v>0.22221005366334445</v>
      </c>
      <c r="T15" s="73"/>
      <c r="U15" s="73">
        <f>U14/N14-1</f>
        <v>0.23735408560311289</v>
      </c>
      <c r="V15" s="73">
        <f>V14/O14-1</f>
        <v>0.24354243542435428</v>
      </c>
      <c r="W15" s="73">
        <f>W14/P14-1</f>
        <v>0.23157894736842111</v>
      </c>
      <c r="X15" s="73">
        <f>X14/Q14-1</f>
        <v>0.21452145214521434</v>
      </c>
      <c r="Y15" s="73"/>
      <c r="Z15" s="73">
        <f>Z14/S14-1</f>
        <v>0.23118279569892453</v>
      </c>
      <c r="AA15" s="73"/>
      <c r="AB15" s="73">
        <f>AB14/U14-1</f>
        <v>0.22327044025157217</v>
      </c>
      <c r="AC15" s="73">
        <f>AC14/V14-1</f>
        <v>0.21364985163204731</v>
      </c>
      <c r="AD15" s="73">
        <f>AD14/W14-1</f>
        <v>0.20797720797720798</v>
      </c>
      <c r="AE15" s="73">
        <f t="shared" ref="AE15:AG15" si="1">AE14/X14-1</f>
        <v>0.26902173913043526</v>
      </c>
      <c r="AF15" s="73"/>
      <c r="AG15" s="73">
        <f t="shared" si="1"/>
        <v>0.22925764192139764</v>
      </c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</row>
    <row r="16" spans="1:49" ht="13" outlineLevel="1" x14ac:dyDescent="0.3">
      <c r="A16" s="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6" ht="13" outlineLevel="1" x14ac:dyDescent="0.3">
      <c r="A17" s="1" t="s">
        <v>157</v>
      </c>
      <c r="B17" s="201"/>
      <c r="C17" s="201"/>
      <c r="D17" s="201"/>
      <c r="E17" s="201"/>
      <c r="F17" s="201"/>
      <c r="G17" s="201">
        <v>0.18</v>
      </c>
      <c r="H17" s="201">
        <v>0.14000000000000001</v>
      </c>
      <c r="I17" s="201">
        <v>0.12</v>
      </c>
      <c r="J17" s="201">
        <v>0.09</v>
      </c>
      <c r="K17" s="201"/>
      <c r="L17" s="201"/>
      <c r="M17" s="201"/>
      <c r="N17" s="201">
        <v>7.0000000000000007E-2</v>
      </c>
      <c r="O17" s="201">
        <v>7.0000000000000007E-2</v>
      </c>
      <c r="P17" s="201">
        <v>0.13</v>
      </c>
      <c r="Q17" s="201">
        <v>0.12</v>
      </c>
      <c r="R17" s="201"/>
      <c r="S17" s="201">
        <v>0.1</v>
      </c>
      <c r="T17" s="201"/>
      <c r="U17" s="201">
        <v>0.15</v>
      </c>
      <c r="V17" s="201">
        <v>0.15</v>
      </c>
      <c r="W17" s="201">
        <v>0.13</v>
      </c>
      <c r="X17" s="201">
        <v>0.12</v>
      </c>
      <c r="Y17" s="201"/>
      <c r="Z17" s="201">
        <v>0.14000000000000001</v>
      </c>
      <c r="AA17" s="201"/>
      <c r="AB17" s="201">
        <v>0.15</v>
      </c>
      <c r="AC17" s="201">
        <v>0.15</v>
      </c>
      <c r="AD17" s="201">
        <v>0.11</v>
      </c>
      <c r="AE17" s="201">
        <v>0.16</v>
      </c>
      <c r="AF17" s="201"/>
      <c r="AG17" s="201">
        <v>0.11</v>
      </c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</row>
    <row r="18" spans="1:46" ht="13" outlineLevel="1" x14ac:dyDescent="0.3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6" ht="13" outlineLevel="1" x14ac:dyDescent="0.3">
      <c r="A19" s="1" t="s">
        <v>158</v>
      </c>
      <c r="B19" s="201"/>
      <c r="C19" s="201"/>
      <c r="D19" s="201"/>
      <c r="E19" s="201"/>
      <c r="F19" s="201"/>
      <c r="G19" s="201">
        <v>0.1</v>
      </c>
      <c r="H19" s="201">
        <v>0.15</v>
      </c>
      <c r="I19" s="201">
        <v>0.11</v>
      </c>
      <c r="J19" s="201">
        <v>0.09</v>
      </c>
      <c r="K19" s="201"/>
      <c r="L19" s="201"/>
      <c r="M19" s="201"/>
      <c r="N19" s="201">
        <v>7.0000000000000007E-2</v>
      </c>
      <c r="O19" s="201">
        <v>-0.02</v>
      </c>
      <c r="P19" s="201">
        <v>0.01</v>
      </c>
      <c r="Q19" s="201">
        <v>0.03</v>
      </c>
      <c r="R19" s="201"/>
      <c r="S19" s="201">
        <v>0.02</v>
      </c>
      <c r="T19" s="201"/>
      <c r="U19" s="201">
        <v>0.03</v>
      </c>
      <c r="V19" s="201">
        <v>0.05</v>
      </c>
      <c r="W19" s="201">
        <v>0.04</v>
      </c>
      <c r="X19" s="201">
        <v>0.03</v>
      </c>
      <c r="Y19" s="201"/>
      <c r="Z19" s="201">
        <v>0.04</v>
      </c>
      <c r="AA19" s="201"/>
      <c r="AB19" s="201">
        <v>0.06</v>
      </c>
      <c r="AC19" s="201">
        <v>0.08</v>
      </c>
      <c r="AD19" s="201">
        <v>0.1</v>
      </c>
      <c r="AE19" s="201">
        <v>0.21</v>
      </c>
      <c r="AF19" s="201"/>
      <c r="AG19" s="201">
        <v>0.11</v>
      </c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</row>
    <row r="20" spans="1:46" ht="13" outlineLevel="1" x14ac:dyDescent="0.3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6" ht="13" outlineLevel="1" x14ac:dyDescent="0.3">
      <c r="A21" s="1" t="s">
        <v>160</v>
      </c>
      <c r="B21" s="201"/>
      <c r="C21" s="201"/>
      <c r="D21" s="201"/>
      <c r="E21" s="201"/>
      <c r="F21" s="201"/>
      <c r="G21" s="201">
        <v>0.31</v>
      </c>
      <c r="H21" s="201">
        <v>0.28999999999999998</v>
      </c>
      <c r="I21" s="201">
        <v>0.22</v>
      </c>
      <c r="J21" s="201">
        <v>0.19</v>
      </c>
      <c r="K21" s="201"/>
      <c r="L21" s="201"/>
      <c r="M21" s="201"/>
      <c r="N21" s="201">
        <v>0.15</v>
      </c>
      <c r="O21" s="201">
        <v>0.13</v>
      </c>
      <c r="P21" s="201">
        <v>0.17</v>
      </c>
      <c r="Q21" s="201">
        <v>0.19</v>
      </c>
      <c r="R21" s="201"/>
      <c r="S21" s="201">
        <v>0.16</v>
      </c>
      <c r="T21" s="201"/>
      <c r="U21" s="201">
        <v>0.22</v>
      </c>
      <c r="V21" s="201">
        <v>0.21</v>
      </c>
      <c r="W21" s="201">
        <v>0.19</v>
      </c>
      <c r="X21" s="201">
        <v>0.16</v>
      </c>
      <c r="Y21" s="201"/>
      <c r="Z21" s="201">
        <v>0.19</v>
      </c>
      <c r="AA21" s="201"/>
      <c r="AB21" s="201">
        <v>0.18</v>
      </c>
      <c r="AC21" s="201">
        <v>0.15</v>
      </c>
      <c r="AD21" s="201">
        <v>0.11</v>
      </c>
      <c r="AE21" s="201">
        <v>0.18</v>
      </c>
      <c r="AF21" s="201"/>
      <c r="AG21" s="201">
        <v>0.15</v>
      </c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</row>
    <row r="22" spans="1:46" ht="13" outlineLevel="1" x14ac:dyDescent="0.3">
      <c r="A22" s="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</row>
    <row r="23" spans="1:46" ht="13" outlineLevel="1" x14ac:dyDescent="0.3">
      <c r="A23" s="1" t="s">
        <v>159</v>
      </c>
      <c r="B23" s="201"/>
      <c r="C23" s="201"/>
      <c r="D23" s="201"/>
      <c r="E23" s="201"/>
      <c r="F23" s="201"/>
      <c r="G23" s="201">
        <v>0.35</v>
      </c>
      <c r="H23" s="201">
        <v>0.28999999999999998</v>
      </c>
      <c r="I23" s="201">
        <v>0.28999999999999998</v>
      </c>
      <c r="J23" s="201">
        <v>0.22</v>
      </c>
      <c r="K23" s="201"/>
      <c r="L23" s="201"/>
      <c r="M23" s="201"/>
      <c r="N23" s="201">
        <v>0.22</v>
      </c>
      <c r="O23" s="201">
        <v>0.2</v>
      </c>
      <c r="P23" s="201">
        <v>0.17</v>
      </c>
      <c r="Q23" s="201">
        <v>0.17</v>
      </c>
      <c r="R23" s="201"/>
      <c r="S23" s="201">
        <v>0.19</v>
      </c>
      <c r="T23" s="201"/>
      <c r="U23" s="201">
        <v>0.21</v>
      </c>
      <c r="V23" s="201">
        <v>0.22</v>
      </c>
      <c r="W23" s="201">
        <v>0.24</v>
      </c>
      <c r="X23" s="201">
        <v>0.21</v>
      </c>
      <c r="Y23" s="201"/>
      <c r="Z23" s="201">
        <v>0.22</v>
      </c>
      <c r="AA23" s="201"/>
      <c r="AB23" s="201">
        <v>0.21</v>
      </c>
      <c r="AC23" s="201">
        <v>0.21</v>
      </c>
      <c r="AD23" s="201">
        <v>0.22</v>
      </c>
      <c r="AE23" s="201">
        <v>0.27</v>
      </c>
      <c r="AF23" s="201"/>
      <c r="AG23" s="201">
        <v>0.23</v>
      </c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</row>
    <row r="24" spans="1:46" ht="13" outlineLevel="1" x14ac:dyDescent="0.3">
      <c r="A24" s="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</row>
    <row r="25" spans="1:46" ht="13" outlineLevel="1" x14ac:dyDescent="0.3">
      <c r="A25" s="1" t="s">
        <v>161</v>
      </c>
      <c r="B25" s="201"/>
      <c r="C25" s="201"/>
      <c r="D25" s="201"/>
      <c r="E25" s="201"/>
      <c r="F25" s="201"/>
      <c r="G25" s="201">
        <v>0.1</v>
      </c>
      <c r="H25" s="201">
        <v>0.25</v>
      </c>
      <c r="I25" s="201">
        <v>0.11</v>
      </c>
      <c r="J25" s="201">
        <v>-0.02</v>
      </c>
      <c r="K25" s="201"/>
      <c r="L25" s="201"/>
      <c r="M25" s="201"/>
      <c r="N25" s="201">
        <v>-0.15</v>
      </c>
      <c r="O25" s="201">
        <v>-0.39</v>
      </c>
      <c r="P25" s="201">
        <v>-0.28000000000000003</v>
      </c>
      <c r="Q25" s="201">
        <v>-0.12</v>
      </c>
      <c r="R25" s="201"/>
      <c r="S25" s="201">
        <v>-0.25</v>
      </c>
      <c r="T25" s="201"/>
      <c r="U25" s="201">
        <v>0.04</v>
      </c>
      <c r="V25" s="201">
        <v>0.04</v>
      </c>
      <c r="W25" s="201">
        <v>0.02</v>
      </c>
      <c r="X25" s="201">
        <v>-0.01</v>
      </c>
      <c r="Y25" s="201"/>
      <c r="Z25" s="201">
        <v>0</v>
      </c>
      <c r="AA25" s="201"/>
      <c r="AB25" s="201">
        <v>0.02</v>
      </c>
      <c r="AC25" s="201">
        <v>0.04</v>
      </c>
      <c r="AD25" s="201">
        <v>0.03</v>
      </c>
      <c r="AE25" s="224">
        <v>0.03</v>
      </c>
      <c r="AF25" s="201"/>
      <c r="AG25" s="201">
        <v>0.03</v>
      </c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</row>
    <row r="26" spans="1:46" ht="13" outlineLevel="1" x14ac:dyDescent="0.3">
      <c r="A26" s="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</row>
    <row r="27" spans="1:46" ht="13" outlineLevel="1" x14ac:dyDescent="0.3">
      <c r="A27" s="1" t="s">
        <v>162</v>
      </c>
      <c r="B27" s="201"/>
      <c r="C27" s="201"/>
      <c r="D27" s="201"/>
      <c r="E27" s="201"/>
      <c r="F27" s="201"/>
      <c r="G27" s="201">
        <v>0.12</v>
      </c>
      <c r="H27" s="201">
        <v>0.13</v>
      </c>
      <c r="I27" s="201">
        <v>0.14000000000000001</v>
      </c>
      <c r="J27" s="201">
        <v>0.06</v>
      </c>
      <c r="K27" s="201"/>
      <c r="L27" s="201"/>
      <c r="M27" s="201"/>
      <c r="N27" s="201">
        <v>0.08</v>
      </c>
      <c r="O27" s="201">
        <v>-0.03</v>
      </c>
      <c r="P27" s="201">
        <v>0.14000000000000001</v>
      </c>
      <c r="Q27" s="201">
        <v>0.02</v>
      </c>
      <c r="R27" s="201"/>
      <c r="S27" s="201">
        <v>0.05</v>
      </c>
      <c r="T27" s="201"/>
      <c r="U27" s="201">
        <v>0.08</v>
      </c>
      <c r="V27" s="201">
        <v>0.09</v>
      </c>
      <c r="W27" s="201">
        <v>0.13</v>
      </c>
      <c r="X27" s="201">
        <v>0.11</v>
      </c>
      <c r="Y27" s="201"/>
      <c r="Z27" s="201">
        <v>0.11</v>
      </c>
      <c r="AA27" s="201"/>
      <c r="AB27" s="201">
        <v>0.18</v>
      </c>
      <c r="AC27" s="201">
        <v>0.21</v>
      </c>
      <c r="AD27" s="201">
        <v>0.2</v>
      </c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</row>
    <row r="28" spans="1:46" ht="13" outlineLevel="1" x14ac:dyDescent="0.3">
      <c r="A28" s="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</row>
    <row r="29" spans="1:46" ht="13" outlineLevel="1" x14ac:dyDescent="0.3">
      <c r="A29" s="1" t="s">
        <v>163</v>
      </c>
      <c r="B29" s="201"/>
      <c r="C29" s="201"/>
      <c r="D29" s="201"/>
      <c r="E29" s="201"/>
      <c r="F29" s="201"/>
      <c r="G29" s="201">
        <v>0.02</v>
      </c>
      <c r="H29" s="201">
        <v>0.1</v>
      </c>
      <c r="I29" s="201">
        <v>0.04</v>
      </c>
      <c r="J29" s="201">
        <v>-0.06</v>
      </c>
      <c r="K29" s="201"/>
      <c r="L29" s="201"/>
      <c r="M29" s="201"/>
      <c r="N29" s="201">
        <v>-0.03</v>
      </c>
      <c r="O29" s="201">
        <v>-0.12</v>
      </c>
      <c r="P29" s="201">
        <v>0.03</v>
      </c>
      <c r="Q29" s="201">
        <v>0.05</v>
      </c>
      <c r="R29" s="201"/>
      <c r="S29" s="201">
        <v>-0.03</v>
      </c>
      <c r="T29" s="201"/>
      <c r="U29" s="201">
        <v>0.13</v>
      </c>
      <c r="V29" s="201">
        <v>0.61</v>
      </c>
      <c r="W29" s="201">
        <v>0.62</v>
      </c>
      <c r="X29" s="201">
        <v>0.61</v>
      </c>
      <c r="Y29" s="201"/>
      <c r="Z29" s="201">
        <v>0.5</v>
      </c>
      <c r="AA29" s="201"/>
      <c r="AB29" s="201">
        <v>0.61</v>
      </c>
      <c r="AC29" s="201">
        <v>0.02</v>
      </c>
      <c r="AD29" s="201">
        <v>0.08</v>
      </c>
      <c r="AE29" s="224">
        <v>0.13</v>
      </c>
      <c r="AF29" s="201"/>
      <c r="AG29" s="201">
        <v>0.16</v>
      </c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</row>
    <row r="30" spans="1:46" ht="13" x14ac:dyDescent="0.3">
      <c r="A30" s="1"/>
      <c r="B30" s="81"/>
      <c r="C30" s="81"/>
      <c r="D30" s="81"/>
      <c r="E30" s="81"/>
      <c r="F30" s="81"/>
      <c r="G30" s="81"/>
      <c r="H30" s="81"/>
      <c r="I30" s="81"/>
      <c r="J30" s="81"/>
      <c r="K30" s="1"/>
      <c r="L30" s="81"/>
      <c r="M30" s="81"/>
      <c r="N30" s="81"/>
      <c r="O30" s="81"/>
      <c r="P30" s="175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216"/>
      <c r="AE30" s="81"/>
      <c r="AF30" s="81"/>
      <c r="AG30" s="81"/>
      <c r="AH30" s="81"/>
      <c r="AM30" s="81"/>
    </row>
    <row r="31" spans="1:46" ht="13.5" x14ac:dyDescent="0.35">
      <c r="A31" s="120" t="s">
        <v>149</v>
      </c>
      <c r="B31" s="81"/>
      <c r="C31" s="81"/>
      <c r="D31" s="81"/>
      <c r="E31" s="81"/>
      <c r="F31" s="81"/>
      <c r="G31" s="81"/>
      <c r="H31" s="81"/>
      <c r="I31" s="81"/>
      <c r="J31" s="81"/>
      <c r="K31" s="1"/>
      <c r="L31" s="81"/>
      <c r="M31" s="81"/>
      <c r="N31" s="81"/>
      <c r="O31" s="81"/>
      <c r="P31" s="175"/>
      <c r="Q31" s="81"/>
      <c r="R31" s="81"/>
      <c r="S31" s="202"/>
      <c r="T31" s="81"/>
      <c r="U31" s="81"/>
      <c r="V31" s="81"/>
      <c r="W31" s="81"/>
      <c r="X31" s="81"/>
      <c r="Y31" s="81"/>
      <c r="Z31" s="159"/>
      <c r="AA31" s="81"/>
      <c r="AB31" s="215"/>
      <c r="AC31" s="214"/>
      <c r="AD31" s="81"/>
      <c r="AE31" s="81"/>
      <c r="AF31" s="81"/>
      <c r="AG31" s="81"/>
      <c r="AH31" s="81"/>
      <c r="AM31" s="81"/>
    </row>
    <row r="32" spans="1:46" ht="13" outlineLevel="1" x14ac:dyDescent="0.3">
      <c r="A32" s="1" t="s">
        <v>112</v>
      </c>
      <c r="B32" s="10">
        <v>35865</v>
      </c>
      <c r="C32" s="10">
        <v>41160</v>
      </c>
      <c r="D32" s="10">
        <v>46398</v>
      </c>
      <c r="E32" s="10">
        <v>53915</v>
      </c>
      <c r="F32" s="156"/>
      <c r="G32" s="10">
        <v>15039</v>
      </c>
      <c r="H32" s="10">
        <v>15936</v>
      </c>
      <c r="I32" s="10">
        <v>15789</v>
      </c>
      <c r="J32" s="10">
        <f>63364-SUM(G32:I32)</f>
        <v>16600</v>
      </c>
      <c r="K32" s="1"/>
      <c r="L32" s="136">
        <f>+SUM(G32:J32)</f>
        <v>63364</v>
      </c>
      <c r="M32" s="136"/>
      <c r="N32" s="10">
        <v>16465</v>
      </c>
      <c r="O32" s="10">
        <v>17002</v>
      </c>
      <c r="P32" s="10">
        <v>17516</v>
      </c>
      <c r="Q32" s="10">
        <f>69274-SUM(N32:P32)</f>
        <v>18291</v>
      </c>
      <c r="R32" s="136"/>
      <c r="S32" s="11">
        <f>+SUM(N32:Q32)</f>
        <v>69274</v>
      </c>
      <c r="T32" s="136"/>
      <c r="U32" s="130">
        <v>18592</v>
      </c>
      <c r="V32" s="10">
        <v>19249</v>
      </c>
      <c r="W32" s="130">
        <v>19570</v>
      </c>
      <c r="X32" s="130">
        <v>20317</v>
      </c>
      <c r="Y32" s="136"/>
      <c r="Z32" s="11">
        <f>SUM(U32:X32)</f>
        <v>77728</v>
      </c>
      <c r="AA32" s="136"/>
      <c r="AB32" s="130">
        <v>28317</v>
      </c>
      <c r="AC32" s="130">
        <v>29437</v>
      </c>
      <c r="AD32" s="130">
        <v>29944</v>
      </c>
      <c r="AE32" s="130">
        <f>120810-SUM(AB32:AD32)</f>
        <v>33112</v>
      </c>
      <c r="AF32" s="136"/>
      <c r="AG32" s="11">
        <f>SUM(AB32:AE32)</f>
        <v>120810</v>
      </c>
      <c r="AH32" s="11"/>
      <c r="AI32" s="11">
        <f>AB32*(1+AI33)</f>
        <v>32564.55</v>
      </c>
      <c r="AJ32" s="11">
        <f t="shared" ref="AJ32:AL32" si="2">AC32*(1+AJ33)</f>
        <v>34146.92</v>
      </c>
      <c r="AK32" s="11">
        <f t="shared" si="2"/>
        <v>35034.479999999996</v>
      </c>
      <c r="AL32" s="11">
        <f t="shared" si="2"/>
        <v>39072.159999999996</v>
      </c>
      <c r="AM32" s="11"/>
      <c r="AN32" s="11">
        <f>SUM(AI32:AL32)</f>
        <v>140818.10999999999</v>
      </c>
      <c r="AO32" s="11">
        <f>+AN32*(1+AO33)</f>
        <v>173206.27529999998</v>
      </c>
      <c r="AP32" s="11">
        <f>+AO32*(1+AP33)</f>
        <v>214775.78137199997</v>
      </c>
      <c r="AQ32" s="11"/>
      <c r="AR32" s="11"/>
      <c r="AS32" s="11"/>
      <c r="AT32" s="11"/>
    </row>
    <row r="33" spans="1:48" ht="13" outlineLevel="1" x14ac:dyDescent="0.3">
      <c r="A33" s="67" t="s">
        <v>31</v>
      </c>
      <c r="B33" s="1"/>
      <c r="C33" s="73">
        <f>+C32/B32-1</f>
        <v>0.14763697197825176</v>
      </c>
      <c r="D33" s="73">
        <f>+D32/C32-1</f>
        <v>0.12725947521865888</v>
      </c>
      <c r="E33" s="73">
        <f>+E32/D32-1</f>
        <v>0.16201129359024091</v>
      </c>
      <c r="F33" s="124"/>
      <c r="G33" s="73">
        <f>+G32/12319-1</f>
        <v>0.22079714262521311</v>
      </c>
      <c r="H33" s="73">
        <f>+H32/13353-1</f>
        <v>0.19343967647719618</v>
      </c>
      <c r="I33" s="73">
        <f>+I32/13552-1</f>
        <v>0.16506788665879579</v>
      </c>
      <c r="J33" s="73">
        <f>+J32/(E32-39224)-1</f>
        <v>0.12994350282485878</v>
      </c>
      <c r="K33" s="1"/>
      <c r="L33" s="73">
        <f>+L32/E32-1</f>
        <v>0.17525734953167027</v>
      </c>
      <c r="M33" s="73"/>
      <c r="N33" s="73">
        <f>+N32/G32-1</f>
        <v>9.4820134317441296E-2</v>
      </c>
      <c r="O33" s="73">
        <f t="shared" ref="O33:P33" si="3">+O32/H32-1</f>
        <v>6.6892570281124497E-2</v>
      </c>
      <c r="P33" s="73">
        <f t="shared" si="3"/>
        <v>0.10937994806510853</v>
      </c>
      <c r="Q33" s="73">
        <f>+Q32/J32-1</f>
        <v>0.10186746987951811</v>
      </c>
      <c r="R33" s="73"/>
      <c r="S33" s="73">
        <f>+S32/L32-1</f>
        <v>9.3270626854365268E-2</v>
      </c>
      <c r="T33" s="73"/>
      <c r="U33" s="73">
        <f>+U32/N32-1</f>
        <v>0.12918311569996965</v>
      </c>
      <c r="V33" s="73">
        <f t="shared" ref="V33:X33" si="4">+V32/O32-1</f>
        <v>0.13216092224444176</v>
      </c>
      <c r="W33" s="73">
        <f t="shared" si="4"/>
        <v>0.11726421557433198</v>
      </c>
      <c r="X33" s="73">
        <f t="shared" si="4"/>
        <v>0.1107648570335138</v>
      </c>
      <c r="Y33" s="73"/>
      <c r="Z33" s="73">
        <f>Z32/S32-1</f>
        <v>0.12203712792678356</v>
      </c>
      <c r="AA33" s="73"/>
      <c r="AB33" s="73">
        <f>+AB32/U32-1</f>
        <v>0.52307444061962127</v>
      </c>
      <c r="AC33" s="73">
        <f>+AC32/V32-1</f>
        <v>0.52927424801288381</v>
      </c>
      <c r="AD33" s="73">
        <f>+AD32/W32-1</f>
        <v>0.53009708737864081</v>
      </c>
      <c r="AE33" s="73">
        <f>+AE32/X32-1</f>
        <v>0.62976817443520194</v>
      </c>
      <c r="AF33" s="73"/>
      <c r="AG33" s="73">
        <f>AG32/Z32-1</f>
        <v>0.55426615891313302</v>
      </c>
      <c r="AH33" s="73"/>
      <c r="AI33" s="108">
        <v>0.15</v>
      </c>
      <c r="AJ33" s="108">
        <v>0.16</v>
      </c>
      <c r="AK33" s="108">
        <v>0.17</v>
      </c>
      <c r="AL33" s="108">
        <v>0.18</v>
      </c>
      <c r="AM33" s="73"/>
      <c r="AN33" s="73">
        <f>AN32/AG32-1</f>
        <v>0.16561633970697787</v>
      </c>
      <c r="AO33" s="108">
        <v>0.23</v>
      </c>
      <c r="AP33" s="108">
        <v>0.24</v>
      </c>
      <c r="AQ33" s="108"/>
      <c r="AR33" s="108"/>
      <c r="AS33" s="108"/>
      <c r="AT33" s="11"/>
    </row>
    <row r="34" spans="1:48" ht="13" outlineLevel="1" x14ac:dyDescent="0.3">
      <c r="A34" s="1"/>
      <c r="B34" s="1"/>
      <c r="C34" s="1"/>
      <c r="D34" s="1"/>
      <c r="E34" s="1"/>
      <c r="F34" s="10"/>
      <c r="G34" s="1"/>
      <c r="H34" s="1"/>
      <c r="I34" s="158"/>
      <c r="J34" s="119"/>
      <c r="K34" s="1"/>
      <c r="L34" s="73"/>
      <c r="M34" s="73"/>
      <c r="N34" s="1"/>
      <c r="O34" s="1"/>
      <c r="P34" s="175"/>
      <c r="Q34" s="175"/>
      <c r="R34" s="73"/>
      <c r="S34" s="202"/>
      <c r="T34" s="73"/>
      <c r="U34" s="119"/>
      <c r="V34" s="1"/>
      <c r="W34" s="119"/>
      <c r="X34" s="119"/>
      <c r="Y34" s="73"/>
      <c r="Z34" s="212"/>
      <c r="AA34" s="73"/>
      <c r="AB34" s="215"/>
      <c r="AC34" s="214"/>
      <c r="AD34" s="119"/>
      <c r="AE34" s="119"/>
      <c r="AF34" s="73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"/>
    </row>
    <row r="35" spans="1:48" ht="13" outlineLevel="1" x14ac:dyDescent="0.3">
      <c r="A35" s="1" t="s">
        <v>113</v>
      </c>
      <c r="B35" s="10">
        <v>32219</v>
      </c>
      <c r="C35" s="10">
        <v>38985</v>
      </c>
      <c r="D35" s="10">
        <v>48366</v>
      </c>
      <c r="E35" s="10">
        <v>59728</v>
      </c>
      <c r="F35" s="156"/>
      <c r="G35" s="10">
        <v>16912</v>
      </c>
      <c r="H35" s="10">
        <v>18262</v>
      </c>
      <c r="I35" s="10">
        <v>18987</v>
      </c>
      <c r="J35" s="10">
        <f>74965-SUM(G35:I35)</f>
        <v>20804</v>
      </c>
      <c r="K35" s="1"/>
      <c r="L35" s="136">
        <f>+SUM(G35:J35)</f>
        <v>74965</v>
      </c>
      <c r="M35" s="136"/>
      <c r="N35" s="10">
        <v>20325</v>
      </c>
      <c r="O35" s="10">
        <v>21508</v>
      </c>
      <c r="P35" s="10">
        <v>22081</v>
      </c>
      <c r="Q35" s="10">
        <f>87907-SUM(N35:P35)</f>
        <v>23993</v>
      </c>
      <c r="R35" s="136"/>
      <c r="S35" s="11">
        <f>+SUM(N35:Q35)</f>
        <v>87907</v>
      </c>
      <c r="T35" s="136"/>
      <c r="U35" s="130">
        <v>24259</v>
      </c>
      <c r="V35" s="10">
        <v>25880</v>
      </c>
      <c r="W35" s="130">
        <v>26708</v>
      </c>
      <c r="X35" s="130">
        <v>28515</v>
      </c>
      <c r="Y35" s="136"/>
      <c r="Z35" s="11">
        <f>SUM(U35:X35)</f>
        <v>105362</v>
      </c>
      <c r="AA35" s="136"/>
      <c r="AB35" s="130">
        <v>24092</v>
      </c>
      <c r="AC35" s="130">
        <v>25544</v>
      </c>
      <c r="AD35" s="130">
        <v>26751</v>
      </c>
      <c r="AE35" s="130">
        <f>106265-SUM(AB35:AD35)</f>
        <v>29878</v>
      </c>
      <c r="AF35" s="136"/>
      <c r="AG35" s="11">
        <f>SUM(AB35:AE35)</f>
        <v>106265</v>
      </c>
      <c r="AH35" s="11"/>
      <c r="AI35" s="11">
        <f>AB35*(1+AI36)</f>
        <v>30355.920000000002</v>
      </c>
      <c r="AJ35" s="11">
        <f t="shared" ref="AJ35" si="5">AC35*(1+AJ36)</f>
        <v>31674.560000000001</v>
      </c>
      <c r="AK35" s="11">
        <f t="shared" ref="AK35" si="6">AD35*(1+AK36)</f>
        <v>32636.219999999998</v>
      </c>
      <c r="AL35" s="11">
        <f t="shared" ref="AL35" si="7">AE35*(1+AL36)</f>
        <v>35853.599999999999</v>
      </c>
      <c r="AM35" s="11"/>
      <c r="AN35" s="11">
        <f>SUM(AI35:AL35)</f>
        <v>130520.29999999999</v>
      </c>
      <c r="AO35" s="11">
        <f>+AN35*(1+AO36)</f>
        <v>134435.90899999999</v>
      </c>
      <c r="AP35" s="11">
        <f>+AO35*(1+AP36)</f>
        <v>138737.85808799998</v>
      </c>
      <c r="AQ35" s="11"/>
      <c r="AR35" s="11"/>
      <c r="AS35" s="11"/>
      <c r="AT35" s="11"/>
    </row>
    <row r="36" spans="1:48" ht="13" outlineLevel="1" x14ac:dyDescent="0.3">
      <c r="A36" s="67" t="s">
        <v>31</v>
      </c>
      <c r="B36" s="1"/>
      <c r="C36" s="73">
        <f>+C35/B35-1</f>
        <v>0.2100003103758652</v>
      </c>
      <c r="D36" s="73">
        <f>+D35/C35-1</f>
        <v>0.24063101192766445</v>
      </c>
      <c r="E36" s="73">
        <f>+E35/D35-1</f>
        <v>0.23491709051813259</v>
      </c>
      <c r="F36" s="124"/>
      <c r="G36" s="73">
        <f>+G35/12986-1</f>
        <v>0.30232558139534893</v>
      </c>
      <c r="H36" s="73">
        <f>+H35/14601-1</f>
        <v>0.25073625094171637</v>
      </c>
      <c r="I36" s="73">
        <f>+I35/15118-1</f>
        <v>0.25592009525069459</v>
      </c>
      <c r="J36" s="73">
        <f>+J35/(E35-42705)-1</f>
        <v>0.22211126123479996</v>
      </c>
      <c r="K36" s="1"/>
      <c r="L36" s="73">
        <f>+L35/E35-1</f>
        <v>0.25510648272167158</v>
      </c>
      <c r="M36" s="73"/>
      <c r="N36" s="73">
        <f>+N35/G35-1</f>
        <v>0.20180936613055822</v>
      </c>
      <c r="O36" s="73">
        <f t="shared" ref="O36:P36" si="8">+O35/H35-1</f>
        <v>0.1777461395246962</v>
      </c>
      <c r="P36" s="73">
        <f t="shared" si="8"/>
        <v>0.16295359983146374</v>
      </c>
      <c r="Q36" s="73">
        <f>+Q35/J35-1</f>
        <v>0.15328782926360307</v>
      </c>
      <c r="R36" s="73"/>
      <c r="S36" s="73">
        <f>+S35/L35-1</f>
        <v>0.17264056559727869</v>
      </c>
      <c r="T36" s="73"/>
      <c r="U36" s="73">
        <f>+U35/N35-1</f>
        <v>0.19355473554735547</v>
      </c>
      <c r="V36" s="73">
        <f t="shared" ref="V36:X36" si="9">+V35/O35-1</f>
        <v>0.20327320066951837</v>
      </c>
      <c r="W36" s="73">
        <f t="shared" si="9"/>
        <v>0.20954666908201625</v>
      </c>
      <c r="X36" s="73">
        <f t="shared" si="9"/>
        <v>0.1884716375609552</v>
      </c>
      <c r="Y36" s="73"/>
      <c r="Z36" s="73">
        <f>Z35/S35-1</f>
        <v>0.19856211678250868</v>
      </c>
      <c r="AA36" s="73"/>
      <c r="AB36" s="73">
        <f>+AB35/U35-1</f>
        <v>-6.8840430355744386E-3</v>
      </c>
      <c r="AC36" s="73">
        <f>+AC35/V35-1</f>
        <v>-1.2982998454404981E-2</v>
      </c>
      <c r="AD36" s="73">
        <f>+AD35/W35-1</f>
        <v>1.6100044930358326E-3</v>
      </c>
      <c r="AE36" s="73">
        <f>+AE35/X35-1</f>
        <v>4.7799403822549547E-2</v>
      </c>
      <c r="AF36" s="73"/>
      <c r="AG36" s="73">
        <f>AG35/Z35-1</f>
        <v>8.570452345247892E-3</v>
      </c>
      <c r="AH36" s="73"/>
      <c r="AI36" s="108">
        <v>0.26</v>
      </c>
      <c r="AJ36" s="108">
        <v>0.24</v>
      </c>
      <c r="AK36" s="108">
        <v>0.22</v>
      </c>
      <c r="AL36" s="108">
        <v>0.2</v>
      </c>
      <c r="AM36" s="73"/>
      <c r="AN36" s="73">
        <f>AN35/AG35-1</f>
        <v>0.2282529525243493</v>
      </c>
      <c r="AO36" s="108">
        <v>0.03</v>
      </c>
      <c r="AP36" s="108">
        <v>3.2000000000000001E-2</v>
      </c>
      <c r="AQ36" s="108"/>
      <c r="AR36" s="108"/>
      <c r="AS36" s="108"/>
      <c r="AT36" s="11"/>
    </row>
    <row r="37" spans="1:48" ht="13" outlineLevel="1" x14ac:dyDescent="0.3">
      <c r="A37" s="67"/>
      <c r="B37" s="10"/>
      <c r="C37" s="1"/>
      <c r="D37" s="1"/>
      <c r="E37" s="1"/>
      <c r="F37" s="10"/>
      <c r="G37" s="1"/>
      <c r="H37" s="1"/>
      <c r="I37" s="158"/>
      <c r="J37" s="119"/>
      <c r="K37" s="1"/>
      <c r="L37" s="73"/>
      <c r="M37" s="73"/>
      <c r="N37" s="1"/>
      <c r="O37" s="1"/>
      <c r="P37" s="175"/>
      <c r="Q37" s="175"/>
      <c r="R37" s="73"/>
      <c r="S37" s="202"/>
      <c r="T37" s="73"/>
      <c r="U37" s="119"/>
      <c r="V37" s="1"/>
      <c r="W37" s="119"/>
      <c r="X37" s="119"/>
      <c r="Y37" s="73"/>
      <c r="Z37" s="212"/>
      <c r="AA37" s="73"/>
      <c r="AB37" s="215"/>
      <c r="AC37" s="214"/>
      <c r="AD37" s="119"/>
      <c r="AE37" s="119"/>
      <c r="AF37" s="73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"/>
    </row>
    <row r="38" spans="1:48" ht="13" outlineLevel="1" x14ac:dyDescent="0.3">
      <c r="A38" s="1" t="s">
        <v>114</v>
      </c>
      <c r="B38" s="10">
        <v>42276</v>
      </c>
      <c r="C38" s="10">
        <v>45698</v>
      </c>
      <c r="D38" s="10">
        <v>48251</v>
      </c>
      <c r="E38" s="10">
        <v>54445</v>
      </c>
      <c r="F38" s="156"/>
      <c r="G38" s="10">
        <v>13366</v>
      </c>
      <c r="H38" s="10">
        <v>17530</v>
      </c>
      <c r="I38" s="10">
        <v>14584</v>
      </c>
      <c r="J38" s="10">
        <f>59941-SUM(G38:I38)</f>
        <v>14461</v>
      </c>
      <c r="K38" s="1"/>
      <c r="L38" s="136">
        <f>+SUM(G38:J38)</f>
        <v>59941</v>
      </c>
      <c r="M38" s="136"/>
      <c r="N38" s="10">
        <v>13332</v>
      </c>
      <c r="O38" s="10">
        <v>14237</v>
      </c>
      <c r="P38" s="10">
        <v>13260</v>
      </c>
      <c r="Q38" s="10">
        <f>54734-SUM(N38:P38)</f>
        <v>13905</v>
      </c>
      <c r="R38" s="136"/>
      <c r="S38" s="11">
        <f>+SUM(N38:Q38)</f>
        <v>54734</v>
      </c>
      <c r="T38" s="136"/>
      <c r="U38" s="130">
        <v>13666</v>
      </c>
      <c r="V38" s="10">
        <v>16891</v>
      </c>
      <c r="W38" s="130">
        <v>15580</v>
      </c>
      <c r="X38" s="130">
        <v>15895</v>
      </c>
      <c r="Y38" s="136"/>
      <c r="Z38" s="11">
        <f>SUM(U38:X38)</f>
        <v>62032</v>
      </c>
      <c r="AA38" s="136"/>
      <c r="AB38" s="130">
        <v>13176</v>
      </c>
      <c r="AC38" s="130">
        <v>14651</v>
      </c>
      <c r="AD38" s="130">
        <v>13371</v>
      </c>
      <c r="AE38" s="130">
        <f>54649-SUM(AB38:AD38)</f>
        <v>13451</v>
      </c>
      <c r="AF38" s="136"/>
      <c r="AG38" s="11">
        <f>SUM(AB38:AE38)</f>
        <v>54649</v>
      </c>
      <c r="AH38" s="11"/>
      <c r="AI38" s="11">
        <f>AB38*(1+AI39)</f>
        <v>12648.96</v>
      </c>
      <c r="AJ38" s="11">
        <f t="shared" ref="AJ38" si="10">AC38*(1+AJ39)</f>
        <v>14211.47</v>
      </c>
      <c r="AK38" s="11">
        <f t="shared" ref="AK38" si="11">AD38*(1+AK39)</f>
        <v>13103.58</v>
      </c>
      <c r="AL38" s="11">
        <f t="shared" ref="AL38" si="12">AE38*(1+AL39)</f>
        <v>13316.49</v>
      </c>
      <c r="AM38" s="11"/>
      <c r="AN38" s="11">
        <f>SUM(AI38:AL38)</f>
        <v>53280.5</v>
      </c>
      <c r="AO38" s="11">
        <f>+AN38*(1+AO39)</f>
        <v>51948.487499999996</v>
      </c>
      <c r="AP38" s="11">
        <f>+AO38*(1+AP39)</f>
        <v>50649.775312499994</v>
      </c>
      <c r="AQ38" s="11"/>
      <c r="AR38" s="11"/>
      <c r="AS38" s="11"/>
      <c r="AT38" s="11"/>
    </row>
    <row r="39" spans="1:48" ht="13" outlineLevel="1" x14ac:dyDescent="0.3">
      <c r="A39" s="67" t="s">
        <v>31</v>
      </c>
      <c r="B39" s="10"/>
      <c r="C39" s="73">
        <f>+C38/B38-1</f>
        <v>8.0944270981171407E-2</v>
      </c>
      <c r="D39" s="73">
        <f>+D38/C38-1</f>
        <v>5.5866777539498536E-2</v>
      </c>
      <c r="E39" s="73">
        <f>+E38/D38-1</f>
        <v>0.12837039646846704</v>
      </c>
      <c r="F39" s="10"/>
      <c r="G39" s="73">
        <f>+G38/11849-1</f>
        <v>0.12802768166089962</v>
      </c>
      <c r="H39" s="73">
        <f>+H38/15122-1</f>
        <v>0.15923819600581934</v>
      </c>
      <c r="I39" s="73">
        <f>+I38/13036-1</f>
        <v>0.11874808223381406</v>
      </c>
      <c r="J39" s="73">
        <f>+J38/(E38-40007)-1</f>
        <v>1.5930184236043754E-3</v>
      </c>
      <c r="K39" s="1"/>
      <c r="L39" s="73">
        <f>+L38/E38-1</f>
        <v>0.10094590871521714</v>
      </c>
      <c r="M39" s="73"/>
      <c r="N39" s="73">
        <f>+N38/G38-1</f>
        <v>-2.5437677689660321E-3</v>
      </c>
      <c r="O39" s="73">
        <f t="shared" ref="O39:P39" si="13">+O38/H38-1</f>
        <v>-0.18784940102681114</v>
      </c>
      <c r="P39" s="73">
        <f t="shared" si="13"/>
        <v>-9.0784421283598427E-2</v>
      </c>
      <c r="Q39" s="73">
        <f>+Q38/J38-1</f>
        <v>-3.8448240094046016E-2</v>
      </c>
      <c r="R39" s="73"/>
      <c r="S39" s="73">
        <f>+S38/L38-1</f>
        <v>-8.6868754275037152E-2</v>
      </c>
      <c r="T39" s="73"/>
      <c r="U39" s="73">
        <f>+U38/N38-1</f>
        <v>2.5052505250525048E-2</v>
      </c>
      <c r="V39" s="73">
        <f>+V38/O38-1</f>
        <v>0.1864156774601391</v>
      </c>
      <c r="W39" s="73">
        <f>+W38/P38-1</f>
        <v>0.17496229260935148</v>
      </c>
      <c r="X39" s="73">
        <f>+X38/Q38-1</f>
        <v>0.14311398777418205</v>
      </c>
      <c r="Y39" s="73"/>
      <c r="Z39" s="73">
        <f>Z38/S38-1</f>
        <v>0.133335769357255</v>
      </c>
      <c r="AA39" s="73"/>
      <c r="AB39" s="73">
        <f>+AB38/U38-1</f>
        <v>-3.585540758085759E-2</v>
      </c>
      <c r="AC39" s="73">
        <f>+AC38/V38-1</f>
        <v>-0.13261500207210941</v>
      </c>
      <c r="AD39" s="73">
        <f>+AD38/W38-1</f>
        <v>-0.14178433889602049</v>
      </c>
      <c r="AE39" s="73">
        <f>+AE38/X38-1</f>
        <v>-0.1537590437244416</v>
      </c>
      <c r="AF39" s="73"/>
      <c r="AG39" s="73">
        <f>AG38/Z38-1</f>
        <v>-0.11901921588857367</v>
      </c>
      <c r="AH39" s="73"/>
      <c r="AI39" s="108">
        <v>-0.04</v>
      </c>
      <c r="AJ39" s="108">
        <v>-0.03</v>
      </c>
      <c r="AK39" s="108">
        <v>-0.02</v>
      </c>
      <c r="AL39" s="108">
        <v>-0.01</v>
      </c>
      <c r="AM39" s="73"/>
      <c r="AN39" s="73">
        <f>AN38/AG38-1</f>
        <v>-2.5041629307032132E-2</v>
      </c>
      <c r="AO39" s="108">
        <v>-2.5000000000000001E-2</v>
      </c>
      <c r="AP39" s="108">
        <v>-2.5000000000000001E-2</v>
      </c>
      <c r="AQ39" s="108"/>
      <c r="AR39" s="108"/>
      <c r="AS39" s="108"/>
      <c r="AT39" s="11"/>
    </row>
    <row r="40" spans="1:48" ht="13" outlineLevel="1" x14ac:dyDescent="0.3">
      <c r="A40" s="67"/>
      <c r="B40" s="10"/>
      <c r="C40" s="10"/>
      <c r="D40" s="10"/>
      <c r="E40" s="10"/>
      <c r="F40" s="10"/>
      <c r="G40" s="87"/>
      <c r="H40" s="87"/>
      <c r="I40" s="157"/>
      <c r="J40" s="119"/>
      <c r="K40" s="1"/>
      <c r="L40" s="87"/>
      <c r="M40" s="87"/>
      <c r="N40" s="87"/>
      <c r="O40" s="87"/>
      <c r="P40" s="157"/>
      <c r="Q40" s="87"/>
      <c r="R40" s="87"/>
      <c r="S40" s="161"/>
      <c r="T40" s="87"/>
      <c r="U40" s="119"/>
      <c r="V40" s="87"/>
      <c r="W40" s="119"/>
      <c r="X40" s="119"/>
      <c r="Y40" s="87"/>
      <c r="Z40" s="119"/>
      <c r="AA40" s="87"/>
      <c r="AB40" s="119"/>
      <c r="AC40" s="119"/>
      <c r="AD40" s="119"/>
      <c r="AE40" s="119"/>
      <c r="AF40" s="87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"/>
    </row>
    <row r="41" spans="1:48" ht="13" x14ac:dyDescent="0.3">
      <c r="A41" s="2" t="s">
        <v>22</v>
      </c>
      <c r="B41" s="139">
        <f>+B32+B35+B38</f>
        <v>110360</v>
      </c>
      <c r="C41" s="139">
        <f t="shared" ref="C41:P41" si="14">+C32+C35+C38</f>
        <v>125843</v>
      </c>
      <c r="D41" s="139">
        <f t="shared" si="14"/>
        <v>143015</v>
      </c>
      <c r="E41" s="139">
        <f t="shared" si="14"/>
        <v>168088</v>
      </c>
      <c r="F41" s="165"/>
      <c r="G41" s="139">
        <f t="shared" si="14"/>
        <v>45317</v>
      </c>
      <c r="H41" s="139">
        <f t="shared" si="14"/>
        <v>51728</v>
      </c>
      <c r="I41" s="139">
        <f t="shared" si="14"/>
        <v>49360</v>
      </c>
      <c r="J41" s="139">
        <f t="shared" si="14"/>
        <v>51865</v>
      </c>
      <c r="K41" s="115"/>
      <c r="L41" s="139">
        <f t="shared" si="14"/>
        <v>198270</v>
      </c>
      <c r="M41" s="139"/>
      <c r="N41" s="139">
        <f t="shared" si="14"/>
        <v>50122</v>
      </c>
      <c r="O41" s="139">
        <f t="shared" si="14"/>
        <v>52747</v>
      </c>
      <c r="P41" s="139">
        <f t="shared" si="14"/>
        <v>52857</v>
      </c>
      <c r="Q41" s="139">
        <f>+Q32+Q35+Q38</f>
        <v>56189</v>
      </c>
      <c r="R41" s="115"/>
      <c r="S41" s="139">
        <f>+S32+S35+S38</f>
        <v>211915</v>
      </c>
      <c r="T41" s="115"/>
      <c r="U41" s="139">
        <f>+U32+U35+U38</f>
        <v>56517</v>
      </c>
      <c r="V41" s="139">
        <f t="shared" ref="V41" si="15">+V32+V35+V38</f>
        <v>62020</v>
      </c>
      <c r="W41" s="139">
        <f>+W32+W35+W38</f>
        <v>61858</v>
      </c>
      <c r="X41" s="139">
        <f>+X32+X35+X38</f>
        <v>64727</v>
      </c>
      <c r="Y41" s="115"/>
      <c r="Z41" s="139">
        <f>+Z32+Z35+Z38</f>
        <v>245122</v>
      </c>
      <c r="AA41" s="115"/>
      <c r="AB41" s="139">
        <f>+AB32+AB35+AB38</f>
        <v>65585</v>
      </c>
      <c r="AC41" s="139">
        <f>+AC32+AC35+AC38</f>
        <v>69632</v>
      </c>
      <c r="AD41" s="139">
        <f>+AD32+AD35+AD38</f>
        <v>70066</v>
      </c>
      <c r="AE41" s="139">
        <f>+AE32+AE35+AE38</f>
        <v>76441</v>
      </c>
      <c r="AF41" s="115"/>
      <c r="AG41" s="139">
        <f>+AG32+AG35+AG38</f>
        <v>281724</v>
      </c>
      <c r="AH41" s="139"/>
      <c r="AI41" s="139">
        <f t="shared" ref="AI41:AL41" si="16">+AI32+AI35+AI38</f>
        <v>75569.429999999993</v>
      </c>
      <c r="AJ41" s="139">
        <f t="shared" si="16"/>
        <v>80032.95</v>
      </c>
      <c r="AK41" s="139">
        <f t="shared" si="16"/>
        <v>80774.28</v>
      </c>
      <c r="AL41" s="139">
        <f t="shared" si="16"/>
        <v>88242.25</v>
      </c>
      <c r="AM41" s="139"/>
      <c r="AN41" s="139">
        <f>+AN32+AN35+AN38</f>
        <v>324618.90999999997</v>
      </c>
      <c r="AO41" s="139">
        <f>+AO32+AO35+AO38</f>
        <v>359590.67179999995</v>
      </c>
      <c r="AP41" s="139">
        <f>+AP32+AP35+AP38</f>
        <v>404163.41477249999</v>
      </c>
      <c r="AQ41" s="139"/>
      <c r="AR41" s="139"/>
      <c r="AS41" s="139"/>
      <c r="AT41" s="11"/>
    </row>
    <row r="42" spans="1:48" ht="13" x14ac:dyDescent="0.3">
      <c r="A42" s="67" t="s">
        <v>31</v>
      </c>
      <c r="B42" s="117"/>
      <c r="C42" s="73">
        <f>C41/B41-1</f>
        <v>0.14029539688292858</v>
      </c>
      <c r="D42" s="73">
        <f>D41/C41-1</f>
        <v>0.13645574247276371</v>
      </c>
      <c r="E42" s="73">
        <f>+E41/D41-1</f>
        <v>0.17531727441177503</v>
      </c>
      <c r="F42" s="73"/>
      <c r="G42" s="73">
        <f>+G41/37154-1</f>
        <v>0.21970716477364483</v>
      </c>
      <c r="H42" s="73">
        <f>+H41/43076-1</f>
        <v>0.2008543040208004</v>
      </c>
      <c r="I42" s="73">
        <f>+I41/41706-1</f>
        <v>0.18352275451973332</v>
      </c>
      <c r="J42" s="73">
        <f>+J41/(E41-121936)-1</f>
        <v>0.12378661813139202</v>
      </c>
      <c r="K42" s="73"/>
      <c r="L42" s="73">
        <f>+L41/E41-1</f>
        <v>0.17956070629670173</v>
      </c>
      <c r="M42" s="73"/>
      <c r="N42" s="73">
        <f>+N41/G41-1</f>
        <v>0.1060308493501334</v>
      </c>
      <c r="O42" s="73">
        <f>+O41/H41-1</f>
        <v>1.9699195793380753E-2</v>
      </c>
      <c r="P42" s="73">
        <f>+P41/I41-1</f>
        <v>7.0846839546191198E-2</v>
      </c>
      <c r="Q42" s="73">
        <f>+Q41/J41-1</f>
        <v>8.3370288248336921E-2</v>
      </c>
      <c r="R42" s="73"/>
      <c r="S42" s="73">
        <f>+S41/L41-1</f>
        <v>6.8820295556564215E-2</v>
      </c>
      <c r="T42" s="73"/>
      <c r="U42" s="73">
        <f>U41/N41-1</f>
        <v>0.12758868361198683</v>
      </c>
      <c r="V42" s="73">
        <f>+V41/O41-1</f>
        <v>0.17580146738203117</v>
      </c>
      <c r="W42" s="73">
        <f>W41/P41-1</f>
        <v>0.17028964943148495</v>
      </c>
      <c r="X42" s="73">
        <f>X41/Q41-1</f>
        <v>0.15195144957198026</v>
      </c>
      <c r="Y42" s="73"/>
      <c r="Z42" s="73">
        <f>+Z41/S41-1</f>
        <v>0.1566996201307127</v>
      </c>
      <c r="AA42" s="73"/>
      <c r="AB42" s="73">
        <f>AB41/U41-1</f>
        <v>0.16044729904276589</v>
      </c>
      <c r="AC42" s="73">
        <f>AC41/V41-1</f>
        <v>0.12273460174137374</v>
      </c>
      <c r="AD42" s="73">
        <f>AD41/W41-1</f>
        <v>0.13269100197225914</v>
      </c>
      <c r="AE42" s="73">
        <f>AE41/X41-1</f>
        <v>0.18097548163826538</v>
      </c>
      <c r="AF42" s="73"/>
      <c r="AG42" s="73">
        <f>+AG41/Z41-1</f>
        <v>0.14932156232406713</v>
      </c>
      <c r="AH42" s="73"/>
      <c r="AI42" s="73">
        <f>AI41/AB41-1</f>
        <v>0.15223648700160086</v>
      </c>
      <c r="AJ42" s="73">
        <f t="shared" ref="AJ42:AL42" si="17">AJ41/AC41-1</f>
        <v>0.14937026079963234</v>
      </c>
      <c r="AK42" s="73">
        <f t="shared" si="17"/>
        <v>0.15283133045985209</v>
      </c>
      <c r="AL42" s="73">
        <f t="shared" si="17"/>
        <v>0.15438377310605556</v>
      </c>
      <c r="AM42" s="73"/>
      <c r="AN42" s="73">
        <f>+AN41/AG41-1</f>
        <v>0.15225862901279252</v>
      </c>
      <c r="AO42" s="73">
        <f>+AO41/AN41-1</f>
        <v>0.10773174551045095</v>
      </c>
      <c r="AP42" s="73">
        <f>+AP41/AO41-1</f>
        <v>0.12395411357414421</v>
      </c>
      <c r="AQ42" s="73"/>
      <c r="AR42" s="73"/>
      <c r="AS42" s="73"/>
      <c r="AT42" s="11"/>
    </row>
    <row r="43" spans="1:48" x14ac:dyDescent="0.25">
      <c r="A43" s="116"/>
      <c r="B43" s="117"/>
      <c r="C43" s="117"/>
      <c r="D43" s="117"/>
      <c r="E43" s="117"/>
      <c r="F43" s="176"/>
      <c r="G43" s="117"/>
      <c r="H43" s="117"/>
      <c r="I43" s="117"/>
      <c r="J43" s="117"/>
      <c r="K43" s="176"/>
      <c r="L43" s="117"/>
      <c r="M43" s="177"/>
      <c r="N43" s="117"/>
      <c r="O43" s="117"/>
      <c r="P43" s="117"/>
      <c r="Q43" s="117"/>
      <c r="R43" s="177"/>
      <c r="S43" s="117"/>
      <c r="T43" s="177"/>
      <c r="U43" s="117"/>
      <c r="V43" s="117"/>
      <c r="W43" s="117"/>
      <c r="X43" s="117"/>
      <c r="Y43" s="176"/>
      <c r="Z43" s="117"/>
      <c r="AA43" s="177"/>
      <c r="AB43" s="117"/>
      <c r="AC43" s="117"/>
      <c r="AD43" s="117"/>
      <c r="AE43" s="117"/>
      <c r="AF43" s="176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8"/>
    </row>
    <row r="44" spans="1:48" s="48" customFormat="1" ht="13" x14ac:dyDescent="0.3">
      <c r="A44" s="1" t="s">
        <v>122</v>
      </c>
      <c r="B44" s="10">
        <v>-15420</v>
      </c>
      <c r="C44" s="10">
        <v>-16273</v>
      </c>
      <c r="D44" s="10">
        <v>-16017</v>
      </c>
      <c r="E44" s="10">
        <v>-18219</v>
      </c>
      <c r="F44" s="100"/>
      <c r="G44" s="10">
        <v>-3792</v>
      </c>
      <c r="H44" s="10">
        <v>-6331</v>
      </c>
      <c r="I44" s="10">
        <v>-4584</v>
      </c>
      <c r="J44" s="10">
        <f>-19064-SUM(G44:I44)</f>
        <v>-4357</v>
      </c>
      <c r="K44" s="10"/>
      <c r="L44" s="136">
        <f t="shared" ref="L44:L49" si="18">+SUM(G44:J44)</f>
        <v>-19064</v>
      </c>
      <c r="M44" s="136"/>
      <c r="N44" s="10">
        <v>-4302</v>
      </c>
      <c r="O44" s="10">
        <v>-5690</v>
      </c>
      <c r="P44" s="10">
        <v>-3941</v>
      </c>
      <c r="Q44" s="10">
        <f>-17804-SUM(N44:P44)</f>
        <v>-3871</v>
      </c>
      <c r="R44" s="136"/>
      <c r="S44" s="11">
        <f>+SUM(N44:Q44)</f>
        <v>-17804</v>
      </c>
      <c r="T44" s="136"/>
      <c r="U44" s="130">
        <v>-3531</v>
      </c>
      <c r="V44" s="130">
        <v>-5964</v>
      </c>
      <c r="W44" s="130">
        <v>-4339</v>
      </c>
      <c r="X44" s="130">
        <v>-1438</v>
      </c>
      <c r="Y44" s="136"/>
      <c r="Z44" s="11">
        <f>SUM(U44:X44)</f>
        <v>-15272</v>
      </c>
      <c r="AA44" s="136"/>
      <c r="AB44" s="130">
        <v>-3294</v>
      </c>
      <c r="AC44" s="130">
        <v>-3856</v>
      </c>
      <c r="AD44" s="130">
        <v>-3037</v>
      </c>
      <c r="AE44" s="130">
        <f>-13501-SUM(AB44:AD44)</f>
        <v>-3314</v>
      </c>
      <c r="AF44" s="136"/>
      <c r="AG44" s="11">
        <f>SUM(AB44:AE44)</f>
        <v>-13501</v>
      </c>
      <c r="AH44" s="11"/>
      <c r="AI44" s="11">
        <f>+AI$41*-AQ44</f>
        <v>-6650.1098399999992</v>
      </c>
      <c r="AJ44" s="11">
        <f t="shared" ref="AJ44:AL44" si="19">+AJ$41*-AR44</f>
        <v>-7122.9325499999995</v>
      </c>
      <c r="AK44" s="11">
        <f t="shared" si="19"/>
        <v>-7269.6851999999999</v>
      </c>
      <c r="AL44" s="11">
        <f t="shared" si="19"/>
        <v>-8030.04475</v>
      </c>
      <c r="AM44" s="11"/>
      <c r="AN44" s="11">
        <f t="shared" ref="AN44:AN45" si="20">SUM(AI44:AL44)</f>
        <v>-29072.77234</v>
      </c>
      <c r="AO44" s="11">
        <f>+AO$41*-AU44</f>
        <v>-33082.341805599994</v>
      </c>
      <c r="AP44" s="11">
        <f>+AP$41*-AV44</f>
        <v>-37587.197573842503</v>
      </c>
      <c r="AQ44" s="218">
        <v>8.7999999999999995E-2</v>
      </c>
      <c r="AR44" s="218">
        <v>8.8999999999999996E-2</v>
      </c>
      <c r="AS44" s="218">
        <v>0.09</v>
      </c>
      <c r="AT44" s="218">
        <v>9.0999999999999998E-2</v>
      </c>
      <c r="AU44" s="218">
        <v>9.1999999999999998E-2</v>
      </c>
      <c r="AV44" s="218">
        <v>9.2999999999999999E-2</v>
      </c>
    </row>
    <row r="45" spans="1:48" ht="14.5" x14ac:dyDescent="0.45">
      <c r="A45" s="1" t="s">
        <v>123</v>
      </c>
      <c r="B45" s="135">
        <v>-22933</v>
      </c>
      <c r="C45" s="135">
        <v>-26637</v>
      </c>
      <c r="D45" s="135">
        <v>-30061</v>
      </c>
      <c r="E45" s="135">
        <v>-34013</v>
      </c>
      <c r="F45" s="105"/>
      <c r="G45" s="135">
        <v>-9854</v>
      </c>
      <c r="H45" s="135">
        <v>-10629</v>
      </c>
      <c r="I45" s="135">
        <v>-11031</v>
      </c>
      <c r="J45" s="135">
        <f>-43586-SUM(G45:I45)</f>
        <v>-12072</v>
      </c>
      <c r="K45" s="10"/>
      <c r="L45" s="137">
        <f t="shared" si="18"/>
        <v>-43586</v>
      </c>
      <c r="M45" s="137"/>
      <c r="N45" s="135">
        <v>-11150</v>
      </c>
      <c r="O45" s="135">
        <v>-11798</v>
      </c>
      <c r="P45" s="135">
        <v>-12187</v>
      </c>
      <c r="Q45" s="135">
        <f>-48059-SUM(N45:P45)</f>
        <v>-12924</v>
      </c>
      <c r="R45" s="137"/>
      <c r="S45" s="138">
        <f>+SUM(N45:Q45)</f>
        <v>-48059</v>
      </c>
      <c r="T45" s="137"/>
      <c r="U45" s="193">
        <v>-12771</v>
      </c>
      <c r="V45" s="193">
        <v>-13659</v>
      </c>
      <c r="W45" s="193">
        <v>-14166</v>
      </c>
      <c r="X45" s="193">
        <v>-18246</v>
      </c>
      <c r="Y45" s="137"/>
      <c r="Z45" s="138">
        <f>SUM(U45:X45)</f>
        <v>-58842</v>
      </c>
      <c r="AA45" s="137"/>
      <c r="AB45" s="193">
        <v>-16805</v>
      </c>
      <c r="AC45" s="193">
        <v>-17943</v>
      </c>
      <c r="AD45" s="193">
        <v>-18882</v>
      </c>
      <c r="AE45" s="193">
        <f>-74330-SUM(AB45:AD45)</f>
        <v>-20700</v>
      </c>
      <c r="AF45" s="137"/>
      <c r="AG45" s="138">
        <f>SUM(AB45:AE45)</f>
        <v>-74330</v>
      </c>
      <c r="AH45" s="138"/>
      <c r="AI45" s="138">
        <f>+AI$41*-AQ45</f>
        <v>-17532.107759999999</v>
      </c>
      <c r="AJ45" s="138">
        <f t="shared" ref="AJ45" si="21">+AJ$41*-AR45</f>
        <v>-18567.644400000001</v>
      </c>
      <c r="AK45" s="138">
        <f t="shared" ref="AK45" si="22">+AK$41*-AS45</f>
        <v>-18739.632959999999</v>
      </c>
      <c r="AL45" s="138">
        <f t="shared" ref="AL45" si="23">+AL$41*-AT45</f>
        <v>-20472.202000000001</v>
      </c>
      <c r="AM45" s="138"/>
      <c r="AN45" s="138">
        <f t="shared" si="20"/>
        <v>-75311.587120000011</v>
      </c>
      <c r="AO45" s="138">
        <f>+AO$41*-AU45</f>
        <v>-82705.854513999991</v>
      </c>
      <c r="AP45" s="138">
        <f>+AP$41*-AV45</f>
        <v>-88915.951249949998</v>
      </c>
      <c r="AQ45" s="218">
        <v>0.23200000000000001</v>
      </c>
      <c r="AR45" s="218">
        <v>0.23200000000000001</v>
      </c>
      <c r="AS45" s="218">
        <v>0.23200000000000001</v>
      </c>
      <c r="AT45" s="218">
        <v>0.23200000000000001</v>
      </c>
      <c r="AU45" s="218">
        <v>0.23</v>
      </c>
      <c r="AV45" s="218">
        <v>0.22</v>
      </c>
    </row>
    <row r="46" spans="1:48" ht="13" x14ac:dyDescent="0.3">
      <c r="A46" s="1" t="s">
        <v>94</v>
      </c>
      <c r="B46" s="11">
        <f>+B41+SUM(B44:B45)</f>
        <v>72007</v>
      </c>
      <c r="C46" s="11">
        <f>+C41+SUM(C44:C45)</f>
        <v>82933</v>
      </c>
      <c r="D46" s="11">
        <f>+D41+SUM(D44:D45)</f>
        <v>96937</v>
      </c>
      <c r="E46" s="11">
        <f>+E41+SUM(E44:E45)</f>
        <v>115856</v>
      </c>
      <c r="F46" s="105"/>
      <c r="G46" s="11">
        <f t="shared" ref="G46:J46" si="24">+G41+SUM(G44:G45)</f>
        <v>31671</v>
      </c>
      <c r="H46" s="11">
        <f t="shared" si="24"/>
        <v>34768</v>
      </c>
      <c r="I46" s="11">
        <f t="shared" si="24"/>
        <v>33745</v>
      </c>
      <c r="J46" s="11">
        <f t="shared" si="24"/>
        <v>35436</v>
      </c>
      <c r="K46" s="68"/>
      <c r="L46" s="11">
        <f>+L41+SUM(L44:L45)</f>
        <v>135620</v>
      </c>
      <c r="M46" s="11"/>
      <c r="N46" s="11">
        <f t="shared" ref="N46:P46" si="25">+N41+SUM(N44:N45)</f>
        <v>34670</v>
      </c>
      <c r="O46" s="11">
        <f t="shared" si="25"/>
        <v>35259</v>
      </c>
      <c r="P46" s="11">
        <f t="shared" si="25"/>
        <v>36729</v>
      </c>
      <c r="Q46" s="11">
        <f>+Q41+SUM(Q44:Q45)</f>
        <v>39394</v>
      </c>
      <c r="R46" s="68"/>
      <c r="S46" s="11">
        <f>+S41+SUM(S44:S45)</f>
        <v>146052</v>
      </c>
      <c r="T46" s="68"/>
      <c r="U46" s="11">
        <f>+U41+SUM(U44:U45)</f>
        <v>40215</v>
      </c>
      <c r="V46" s="11">
        <f>+V41+SUM(V44:V45)</f>
        <v>42397</v>
      </c>
      <c r="W46" s="11">
        <f>+W41+SUM(W44:W45)</f>
        <v>43353</v>
      </c>
      <c r="X46" s="11">
        <f>+X41+SUM(X44:X45)</f>
        <v>45043</v>
      </c>
      <c r="Y46" s="68"/>
      <c r="Z46" s="11">
        <f>+Z41+SUM(Z44:Z45)</f>
        <v>171008</v>
      </c>
      <c r="AA46" s="68"/>
      <c r="AB46" s="11">
        <f>+AB41+SUM(AB44:AB45)</f>
        <v>45486</v>
      </c>
      <c r="AC46" s="11">
        <f>+AC41+SUM(AC44:AC45)</f>
        <v>47833</v>
      </c>
      <c r="AD46" s="11">
        <f>+AD41+SUM(AD44:AD45)</f>
        <v>48147</v>
      </c>
      <c r="AE46" s="11">
        <f>+AE41+SUM(AE44:AE45)</f>
        <v>52427</v>
      </c>
      <c r="AF46" s="68"/>
      <c r="AG46" s="11">
        <f>+AG41+SUM(AG44:AG45)</f>
        <v>193893</v>
      </c>
      <c r="AH46" s="11"/>
      <c r="AI46" s="11">
        <f t="shared" ref="AI46:AL46" si="26">+AI41+SUM(AI44:AI45)</f>
        <v>51387.212399999997</v>
      </c>
      <c r="AJ46" s="11">
        <f t="shared" si="26"/>
        <v>54342.373049999995</v>
      </c>
      <c r="AK46" s="11">
        <f t="shared" si="26"/>
        <v>54764.961840000004</v>
      </c>
      <c r="AL46" s="11">
        <f t="shared" si="26"/>
        <v>59740.003249999994</v>
      </c>
      <c r="AM46" s="11"/>
      <c r="AN46" s="11">
        <f>+AN41+SUM(AN44:AN45)</f>
        <v>220234.55053999997</v>
      </c>
      <c r="AO46" s="11">
        <f>+AO41+SUM(AO44:AO45)</f>
        <v>243802.47548039997</v>
      </c>
      <c r="AP46" s="11">
        <f>+AP41+SUM(AP44:AP45)</f>
        <v>277660.26594870747</v>
      </c>
      <c r="AQ46" s="11"/>
      <c r="AR46" s="11"/>
      <c r="AS46" s="11"/>
      <c r="AT46" s="218"/>
      <c r="AU46" s="218"/>
    </row>
    <row r="47" spans="1:48" ht="13" x14ac:dyDescent="0.3">
      <c r="A47" s="67" t="s">
        <v>35</v>
      </c>
      <c r="B47" s="87">
        <f>B46/B$41</f>
        <v>0.65247372236317502</v>
      </c>
      <c r="C47" s="87">
        <f>C46/C$41</f>
        <v>0.65901957200638894</v>
      </c>
      <c r="D47" s="87">
        <f>D46/D$41</f>
        <v>0.67781001992797962</v>
      </c>
      <c r="E47" s="87">
        <f>E46/E$41</f>
        <v>0.68925800771024703</v>
      </c>
      <c r="F47" s="105"/>
      <c r="G47" s="87">
        <f>G46/G$41</f>
        <v>0.6988768012004325</v>
      </c>
      <c r="H47" s="87">
        <f>H46/H$41</f>
        <v>0.67213114754098358</v>
      </c>
      <c r="I47" s="87">
        <f>I46/I$41</f>
        <v>0.68365072933549431</v>
      </c>
      <c r="J47" s="87">
        <f>J46/J$41</f>
        <v>0.68323532247180174</v>
      </c>
      <c r="K47" s="68"/>
      <c r="L47" s="87">
        <f>L46/L$41</f>
        <v>0.68401674484289099</v>
      </c>
      <c r="M47" s="87"/>
      <c r="N47" s="87">
        <f>N46/N$41</f>
        <v>0.69171222217788597</v>
      </c>
      <c r="O47" s="87">
        <f>O46/O$41</f>
        <v>0.66845507801391546</v>
      </c>
      <c r="P47" s="87">
        <f>P46/P$41</f>
        <v>0.69487485101311086</v>
      </c>
      <c r="Q47" s="87">
        <f>Q46/Q$41</f>
        <v>0.70109807969531401</v>
      </c>
      <c r="R47" s="68"/>
      <c r="S47" s="87">
        <f>S46/S$41</f>
        <v>0.68920085883491022</v>
      </c>
      <c r="T47" s="68"/>
      <c r="U47" s="87">
        <f>U46/U$41</f>
        <v>0.71155581506449384</v>
      </c>
      <c r="V47" s="87">
        <f>V46/V$41</f>
        <v>0.68360206385037081</v>
      </c>
      <c r="W47" s="87">
        <f>W46/W$41</f>
        <v>0.70084710142584628</v>
      </c>
      <c r="X47" s="87">
        <f>X46/X$41</f>
        <v>0.69589197707293715</v>
      </c>
      <c r="Y47" s="68"/>
      <c r="Z47" s="87">
        <f>Z46/Z$41</f>
        <v>0.69764443827971379</v>
      </c>
      <c r="AA47" s="68"/>
      <c r="AB47" s="87">
        <f>AB46/AB$41</f>
        <v>0.69354273080734929</v>
      </c>
      <c r="AC47" s="87">
        <f>AC46/AC$41</f>
        <v>0.68693991268382348</v>
      </c>
      <c r="AD47" s="87">
        <f>AD46/AD$41</f>
        <v>0.6871663859789342</v>
      </c>
      <c r="AE47" s="87">
        <f>AE46/AE$41</f>
        <v>0.68584921704320978</v>
      </c>
      <c r="AF47" s="68"/>
      <c r="AG47" s="87">
        <f>AG46/AG$41</f>
        <v>0.68823742386165188</v>
      </c>
      <c r="AH47" s="87"/>
      <c r="AI47" s="87">
        <f t="shared" ref="AI47:AL47" si="27">AI46/AI$41</f>
        <v>0.68</v>
      </c>
      <c r="AJ47" s="87">
        <f t="shared" si="27"/>
        <v>0.67899999999999994</v>
      </c>
      <c r="AK47" s="87">
        <f t="shared" si="27"/>
        <v>0.67800000000000005</v>
      </c>
      <c r="AL47" s="87">
        <f t="shared" si="27"/>
        <v>0.67699999999999994</v>
      </c>
      <c r="AM47" s="87"/>
      <c r="AN47" s="87">
        <f>AN46/AN$41</f>
        <v>0.67844029955001695</v>
      </c>
      <c r="AO47" s="87">
        <f>AO46/AO$41</f>
        <v>0.67800000000000005</v>
      </c>
      <c r="AP47" s="87">
        <f>AP46/AP$41</f>
        <v>0.68699999999999994</v>
      </c>
      <c r="AQ47" s="87"/>
      <c r="AR47" s="87"/>
      <c r="AS47" s="87"/>
      <c r="AT47" s="218"/>
      <c r="AU47" s="218"/>
    </row>
    <row r="48" spans="1:48" ht="13" x14ac:dyDescent="0.3">
      <c r="A48" s="1"/>
      <c r="B48" s="178"/>
      <c r="C48" s="178"/>
      <c r="D48" s="178"/>
      <c r="E48" s="178"/>
      <c r="F48" s="179"/>
      <c r="G48" s="178"/>
      <c r="H48" s="178"/>
      <c r="I48" s="178"/>
      <c r="J48" s="178"/>
      <c r="K48" s="180"/>
      <c r="L48" s="178"/>
      <c r="M48" s="3"/>
      <c r="N48" s="178"/>
      <c r="O48" s="178"/>
      <c r="P48" s="178"/>
      <c r="Q48" s="178"/>
      <c r="R48" s="1"/>
      <c r="S48" s="178"/>
      <c r="T48" s="1"/>
      <c r="U48" s="178"/>
      <c r="V48" s="178"/>
      <c r="W48" s="178"/>
      <c r="X48" s="178"/>
      <c r="Y48" s="1"/>
      <c r="Z48" s="178"/>
      <c r="AA48" s="1"/>
      <c r="AB48" s="178"/>
      <c r="AC48" s="178"/>
      <c r="AD48" s="178"/>
      <c r="AE48" s="178"/>
      <c r="AF48" s="1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218"/>
      <c r="AU48" s="218"/>
    </row>
    <row r="49" spans="1:51" ht="13" x14ac:dyDescent="0.3">
      <c r="A49" s="1" t="s">
        <v>116</v>
      </c>
      <c r="B49" s="10">
        <v>-14726</v>
      </c>
      <c r="C49" s="10">
        <v>-16876</v>
      </c>
      <c r="D49" s="10">
        <v>-19269</v>
      </c>
      <c r="E49" s="10">
        <v>-20716</v>
      </c>
      <c r="F49" s="105"/>
      <c r="G49" s="10">
        <v>-5599</v>
      </c>
      <c r="H49" s="10">
        <v>-5758</v>
      </c>
      <c r="I49" s="10">
        <v>-6306</v>
      </c>
      <c r="J49" s="10">
        <f>-24512-SUM(G49:I49)</f>
        <v>-6849</v>
      </c>
      <c r="K49" s="68"/>
      <c r="L49" s="136">
        <f t="shared" si="18"/>
        <v>-24512</v>
      </c>
      <c r="M49" s="136"/>
      <c r="N49" s="10">
        <v>-6628</v>
      </c>
      <c r="O49" s="10">
        <v>-6844</v>
      </c>
      <c r="P49" s="10">
        <v>-6984</v>
      </c>
      <c r="Q49" s="10">
        <f>-27195-SUM(N49:P49)</f>
        <v>-6739</v>
      </c>
      <c r="R49" s="136"/>
      <c r="S49" s="11">
        <f>+SUM(N49:Q49)</f>
        <v>-27195</v>
      </c>
      <c r="T49" s="136"/>
      <c r="U49" s="130">
        <v>-6659</v>
      </c>
      <c r="V49" s="130">
        <v>-7142</v>
      </c>
      <c r="W49" s="130">
        <v>-7653</v>
      </c>
      <c r="X49" s="130">
        <v>-8056</v>
      </c>
      <c r="Y49" s="136"/>
      <c r="Z49" s="11">
        <f>SUM(U49:X49)</f>
        <v>-29510</v>
      </c>
      <c r="AA49" s="136"/>
      <c r="AB49" s="130">
        <v>-7544</v>
      </c>
      <c r="AC49" s="130">
        <v>-7917</v>
      </c>
      <c r="AD49" s="130">
        <v>-8198</v>
      </c>
      <c r="AE49" s="130">
        <f>-32488-SUM(AB49:AD49)</f>
        <v>-8829</v>
      </c>
      <c r="AF49" s="136"/>
      <c r="AG49" s="11">
        <f>SUM(AB49:AE49)</f>
        <v>-32488</v>
      </c>
      <c r="AH49" s="11"/>
      <c r="AI49" s="11">
        <f t="shared" ref="AI49:AI51" si="28">+AI$41*-AQ49</f>
        <v>-7632.5124299999998</v>
      </c>
      <c r="AJ49" s="11">
        <f t="shared" ref="AJ49:AJ51" si="29">+AJ$41*-AR49</f>
        <v>-8083.3279499999999</v>
      </c>
      <c r="AK49" s="11">
        <f t="shared" ref="AK49:AK51" si="30">+AK$41*-AS49</f>
        <v>-8238.9765599999992</v>
      </c>
      <c r="AL49" s="11">
        <f t="shared" ref="AL49:AL51" si="31">+AL$41*-AT49</f>
        <v>-8824.2250000000004</v>
      </c>
      <c r="AM49" s="11"/>
      <c r="AN49" s="11">
        <f t="shared" ref="AN49:AN51" si="32">SUM(AI49:AL49)</f>
        <v>-32779.041939999996</v>
      </c>
      <c r="AO49" s="11">
        <f t="shared" ref="AO49:AP51" si="33">+AO$41*-AU49</f>
        <v>-38476.201882599991</v>
      </c>
      <c r="AP49" s="11">
        <f t="shared" si="33"/>
        <v>-44457.975624974999</v>
      </c>
      <c r="AQ49" s="218">
        <v>0.10100000000000001</v>
      </c>
      <c r="AR49" s="218">
        <v>0.10100000000000001</v>
      </c>
      <c r="AS49" s="218">
        <v>0.10199999999999999</v>
      </c>
      <c r="AT49" s="218">
        <v>0.1</v>
      </c>
      <c r="AU49" s="218">
        <v>0.107</v>
      </c>
      <c r="AV49" s="218">
        <v>0.11</v>
      </c>
    </row>
    <row r="50" spans="1:51" ht="13" x14ac:dyDescent="0.3">
      <c r="A50" s="1" t="s">
        <v>117</v>
      </c>
      <c r="B50" s="10">
        <v>-17469</v>
      </c>
      <c r="C50" s="10">
        <v>-18213</v>
      </c>
      <c r="D50" s="10">
        <v>-19598</v>
      </c>
      <c r="E50" s="10">
        <v>-20117</v>
      </c>
      <c r="F50" s="105"/>
      <c r="G50" s="10">
        <v>-4547</v>
      </c>
      <c r="H50" s="10">
        <v>-5379</v>
      </c>
      <c r="I50" s="10">
        <v>-5595</v>
      </c>
      <c r="J50" s="10">
        <f>-21825-SUM(G50:I50)</f>
        <v>-6304</v>
      </c>
      <c r="K50" s="68"/>
      <c r="L50" s="136">
        <f t="shared" ref="L50:L51" si="34">+SUM(G50:J50)</f>
        <v>-21825</v>
      </c>
      <c r="M50" s="136"/>
      <c r="N50" s="10">
        <v>-5126</v>
      </c>
      <c r="O50" s="10">
        <v>-5679</v>
      </c>
      <c r="P50" s="10">
        <v>-5750</v>
      </c>
      <c r="Q50" s="10">
        <f>-22759-SUM(N50:P50)</f>
        <v>-6204</v>
      </c>
      <c r="R50" s="136"/>
      <c r="S50" s="11">
        <f>+SUM(N50:Q50)</f>
        <v>-22759</v>
      </c>
      <c r="T50" s="136"/>
      <c r="U50" s="130">
        <v>-5187</v>
      </c>
      <c r="V50" s="130">
        <v>-6246</v>
      </c>
      <c r="W50" s="130">
        <v>-6207</v>
      </c>
      <c r="X50" s="130">
        <v>-6816</v>
      </c>
      <c r="Y50" s="136"/>
      <c r="Z50" s="11">
        <f>SUM(U50:X50)</f>
        <v>-24456</v>
      </c>
      <c r="AA50" s="136"/>
      <c r="AB50" s="130">
        <v>-5717</v>
      </c>
      <c r="AC50" s="130">
        <v>-6440</v>
      </c>
      <c r="AD50" s="130">
        <v>-6212</v>
      </c>
      <c r="AE50" s="130">
        <f>-25654-SUM(AB50:AD50)</f>
        <v>-7285</v>
      </c>
      <c r="AF50" s="136"/>
      <c r="AG50" s="11">
        <f>SUM(AB50:AE50)</f>
        <v>-25654</v>
      </c>
      <c r="AH50" s="11"/>
      <c r="AI50" s="11">
        <f t="shared" si="28"/>
        <v>-6121.1238299999995</v>
      </c>
      <c r="AJ50" s="11">
        <f t="shared" si="29"/>
        <v>-6722.7678000000005</v>
      </c>
      <c r="AK50" s="11">
        <f t="shared" si="30"/>
        <v>-7108.1366399999997</v>
      </c>
      <c r="AL50" s="11">
        <f t="shared" si="31"/>
        <v>-8118.2870000000003</v>
      </c>
      <c r="AM50" s="11"/>
      <c r="AN50" s="11">
        <f t="shared" si="32"/>
        <v>-28070.315269999999</v>
      </c>
      <c r="AO50" s="11">
        <f t="shared" si="33"/>
        <v>-32363.160461999996</v>
      </c>
      <c r="AP50" s="11">
        <f t="shared" si="33"/>
        <v>-36374.707329525001</v>
      </c>
      <c r="AQ50" s="218">
        <v>8.1000000000000003E-2</v>
      </c>
      <c r="AR50" s="218">
        <v>8.4000000000000005E-2</v>
      </c>
      <c r="AS50" s="218">
        <v>8.7999999999999995E-2</v>
      </c>
      <c r="AT50" s="218">
        <v>9.1999999999999998E-2</v>
      </c>
      <c r="AU50" s="218">
        <v>0.09</v>
      </c>
      <c r="AV50" s="218">
        <v>0.09</v>
      </c>
    </row>
    <row r="51" spans="1:51" s="171" customFormat="1" ht="14.5" x14ac:dyDescent="0.45">
      <c r="A51" s="1" t="s">
        <v>118</v>
      </c>
      <c r="B51" s="68">
        <v>-4754</v>
      </c>
      <c r="C51" s="68">
        <v>-4885</v>
      </c>
      <c r="D51" s="68">
        <v>-5111</v>
      </c>
      <c r="E51" s="68">
        <v>-5107</v>
      </c>
      <c r="F51" s="105"/>
      <c r="G51" s="68">
        <v>-1287</v>
      </c>
      <c r="H51" s="68">
        <v>-1384</v>
      </c>
      <c r="I51" s="68">
        <v>-1480</v>
      </c>
      <c r="J51" s="68">
        <f>-5900-SUM(G51:I51)</f>
        <v>-1749</v>
      </c>
      <c r="K51" s="68"/>
      <c r="L51" s="170">
        <f t="shared" si="34"/>
        <v>-5900</v>
      </c>
      <c r="M51" s="170"/>
      <c r="N51" s="68">
        <v>-1398</v>
      </c>
      <c r="O51" s="68">
        <v>-2337</v>
      </c>
      <c r="P51" s="68">
        <v>-1643</v>
      </c>
      <c r="Q51" s="68">
        <f>-7575-SUM(N51:P51)</f>
        <v>-2197</v>
      </c>
      <c r="R51" s="170"/>
      <c r="S51" s="88">
        <f>+SUM(N51:Q51)</f>
        <v>-7575</v>
      </c>
      <c r="T51" s="170"/>
      <c r="U51" s="193">
        <v>-1474</v>
      </c>
      <c r="V51" s="193">
        <v>-1977</v>
      </c>
      <c r="W51" s="193">
        <v>-1912</v>
      </c>
      <c r="X51" s="193">
        <v>-2246</v>
      </c>
      <c r="Y51" s="170"/>
      <c r="Z51" s="88">
        <f>SUM(U51:X51)</f>
        <v>-7609</v>
      </c>
      <c r="AA51" s="170"/>
      <c r="AB51" s="193">
        <v>-1673</v>
      </c>
      <c r="AC51" s="193">
        <v>-1823</v>
      </c>
      <c r="AD51" s="191">
        <v>-1737</v>
      </c>
      <c r="AE51" s="191">
        <f>-7223-SUM(AB51:AD51)</f>
        <v>-1990</v>
      </c>
      <c r="AF51" s="170"/>
      <c r="AG51" s="88">
        <f>SUM(AB51:AE51)</f>
        <v>-7223</v>
      </c>
      <c r="AH51" s="88"/>
      <c r="AI51" s="88">
        <f t="shared" si="28"/>
        <v>-2115.9440399999999</v>
      </c>
      <c r="AJ51" s="88">
        <f t="shared" si="29"/>
        <v>-2481.0214499999997</v>
      </c>
      <c r="AK51" s="88">
        <f t="shared" si="30"/>
        <v>-2746.3255200000003</v>
      </c>
      <c r="AL51" s="88">
        <f t="shared" si="31"/>
        <v>-3353.2055</v>
      </c>
      <c r="AM51" s="88"/>
      <c r="AN51" s="88">
        <f t="shared" si="32"/>
        <v>-10696.496510000001</v>
      </c>
      <c r="AO51" s="88">
        <f t="shared" si="33"/>
        <v>-12226.082841199999</v>
      </c>
      <c r="AP51" s="88">
        <f t="shared" si="33"/>
        <v>-14145.719517037502</v>
      </c>
      <c r="AQ51" s="218">
        <v>2.8000000000000001E-2</v>
      </c>
      <c r="AR51" s="218">
        <v>3.1E-2</v>
      </c>
      <c r="AS51" s="218">
        <v>3.4000000000000002E-2</v>
      </c>
      <c r="AT51" s="218">
        <v>3.7999999999999999E-2</v>
      </c>
      <c r="AU51" s="218">
        <v>3.4000000000000002E-2</v>
      </c>
      <c r="AV51" s="218">
        <v>3.5000000000000003E-2</v>
      </c>
    </row>
    <row r="52" spans="1:51" ht="13" x14ac:dyDescent="0.3">
      <c r="A52" s="1" t="s">
        <v>67</v>
      </c>
      <c r="B52" s="11">
        <f>+B46+SUM(B49:B51)</f>
        <v>35058</v>
      </c>
      <c r="C52" s="11">
        <f>+C46+SUM(C49:C51)</f>
        <v>42959</v>
      </c>
      <c r="D52" s="11">
        <f>+D46+SUM(D49:D51)</f>
        <v>52959</v>
      </c>
      <c r="E52" s="11">
        <f>+E46+SUM(E49:E51)</f>
        <v>69916</v>
      </c>
      <c r="F52" s="11"/>
      <c r="G52" s="11">
        <f>+G46+SUM(G49:G51)</f>
        <v>20238</v>
      </c>
      <c r="H52" s="11">
        <f>+H46+SUM(H49:H51)</f>
        <v>22247</v>
      </c>
      <c r="I52" s="11">
        <f>+I46+SUM(I49:I51)</f>
        <v>20364</v>
      </c>
      <c r="J52" s="11">
        <f>+J46+SUM(J49:J51)</f>
        <v>20534</v>
      </c>
      <c r="K52" s="11"/>
      <c r="L52" s="11">
        <f>+L46+SUM(L49:L51)</f>
        <v>83383</v>
      </c>
      <c r="M52" s="11"/>
      <c r="N52" s="11">
        <f>+N46+SUM(N49:N51)</f>
        <v>21518</v>
      </c>
      <c r="O52" s="11">
        <f>+O46+SUM(O49:O51)</f>
        <v>20399</v>
      </c>
      <c r="P52" s="11">
        <f>+P46+SUM(P49:P51)</f>
        <v>22352</v>
      </c>
      <c r="Q52" s="11">
        <f>+Q46+SUM(Q49:Q51)</f>
        <v>24254</v>
      </c>
      <c r="R52" s="11"/>
      <c r="S52" s="11">
        <f>+S46+SUM(S49:S51)</f>
        <v>88523</v>
      </c>
      <c r="T52" s="11"/>
      <c r="U52" s="11">
        <f>+U46+SUM(U49:U51)</f>
        <v>26895</v>
      </c>
      <c r="V52" s="11">
        <f>+V46+SUM(V49:V51)</f>
        <v>27032</v>
      </c>
      <c r="W52" s="11">
        <f>+W46+SUM(W49:W51)</f>
        <v>27581</v>
      </c>
      <c r="X52" s="11">
        <f>+X46+SUM(X49:X51)</f>
        <v>27925</v>
      </c>
      <c r="Y52" s="11"/>
      <c r="Z52" s="11">
        <f>+Z46+SUM(Z49:Z51)</f>
        <v>109433</v>
      </c>
      <c r="AA52" s="11"/>
      <c r="AB52" s="11">
        <f>+AB46+SUM(AB49:AB51)</f>
        <v>30552</v>
      </c>
      <c r="AC52" s="11">
        <f>+AC46+SUM(AC49:AC51)</f>
        <v>31653</v>
      </c>
      <c r="AD52" s="11">
        <f>+AD46+SUM(AD49:AD51)</f>
        <v>32000</v>
      </c>
      <c r="AE52" s="11">
        <f>+AE46+SUM(AE49:AE51)</f>
        <v>34323</v>
      </c>
      <c r="AF52" s="11"/>
      <c r="AG52" s="11">
        <f>+AG46+SUM(AG49:AG51)</f>
        <v>128528</v>
      </c>
      <c r="AH52" s="11"/>
      <c r="AI52" s="11">
        <f t="shared" ref="AI52:AL52" si="35">+AI46+SUM(AI49:AI51)</f>
        <v>35517.632099999995</v>
      </c>
      <c r="AJ52" s="11">
        <f t="shared" si="35"/>
        <v>37055.255849999994</v>
      </c>
      <c r="AK52" s="11">
        <f t="shared" si="35"/>
        <v>36671.523120000005</v>
      </c>
      <c r="AL52" s="11">
        <f t="shared" si="35"/>
        <v>39444.285749999995</v>
      </c>
      <c r="AM52" s="11"/>
      <c r="AN52" s="11">
        <f>+AN46+SUM(AN49:AN51)</f>
        <v>148688.69681999995</v>
      </c>
      <c r="AO52" s="11">
        <f>+AO46+SUM(AO49:AO51)</f>
        <v>160737.0302946</v>
      </c>
      <c r="AP52" s="11">
        <f>+AP46+SUM(AP49:AP51)</f>
        <v>182681.86347716997</v>
      </c>
      <c r="AQ52" s="11"/>
      <c r="AR52" s="11"/>
      <c r="AS52" s="11"/>
      <c r="AT52" s="130"/>
      <c r="AU52" s="182"/>
      <c r="AV52" s="182"/>
      <c r="AW52" s="182"/>
      <c r="AX52" s="183"/>
      <c r="AY52" s="183"/>
    </row>
    <row r="53" spans="1:51" ht="13" x14ac:dyDescent="0.3">
      <c r="A53" s="67" t="s">
        <v>35</v>
      </c>
      <c r="B53" s="87">
        <f>B52/B$41</f>
        <v>0.31766944545125048</v>
      </c>
      <c r="C53" s="87">
        <f>C52/C$41</f>
        <v>0.3413698020549415</v>
      </c>
      <c r="D53" s="87">
        <f>D52/D$41</f>
        <v>0.37030381428521486</v>
      </c>
      <c r="E53" s="87">
        <f>E52/E$41</f>
        <v>0.41594878872971303</v>
      </c>
      <c r="F53" s="73"/>
      <c r="G53" s="87">
        <f>G52/G$41</f>
        <v>0.44658737339188381</v>
      </c>
      <c r="H53" s="87">
        <f>H52/H$41</f>
        <v>0.43007655428394681</v>
      </c>
      <c r="I53" s="87">
        <f>I52/I$41</f>
        <v>0.41256077795786061</v>
      </c>
      <c r="J53" s="87">
        <f>J52/J$41</f>
        <v>0.3959124650535043</v>
      </c>
      <c r="K53" s="87"/>
      <c r="L53" s="87">
        <f>L52/L$41</f>
        <v>0.4205527815604983</v>
      </c>
      <c r="M53" s="87"/>
      <c r="N53" s="87">
        <f>N52/N$41</f>
        <v>0.42931247755476637</v>
      </c>
      <c r="O53" s="87">
        <f>O52/O$41</f>
        <v>0.3867328947617874</v>
      </c>
      <c r="P53" s="87">
        <f>P52/P$41</f>
        <v>0.42287681858599618</v>
      </c>
      <c r="Q53" s="87">
        <f>Q52/Q$41</f>
        <v>0.4316503230169606</v>
      </c>
      <c r="R53" s="87"/>
      <c r="S53" s="87">
        <f>S52/S$41</f>
        <v>0.41772880636104098</v>
      </c>
      <c r="T53" s="87"/>
      <c r="U53" s="87">
        <f>U52/U$41</f>
        <v>0.47587451563246458</v>
      </c>
      <c r="V53" s="87">
        <f>V52/V$41</f>
        <v>0.43585940019348596</v>
      </c>
      <c r="W53" s="87">
        <f>W52/W$41</f>
        <v>0.44587603866921011</v>
      </c>
      <c r="X53" s="87">
        <f>X52/X$41</f>
        <v>0.43142737960974553</v>
      </c>
      <c r="Y53" s="87"/>
      <c r="Z53" s="87">
        <f>Z52/Z$41</f>
        <v>0.44644299573273716</v>
      </c>
      <c r="AA53" s="87"/>
      <c r="AB53" s="87">
        <f>AB52/AB$41</f>
        <v>0.46583822520393381</v>
      </c>
      <c r="AC53" s="87">
        <f>AC52/AC$41</f>
        <v>0.45457548253676472</v>
      </c>
      <c r="AD53" s="87">
        <f>AD52/AD$41</f>
        <v>0.45671224274255701</v>
      </c>
      <c r="AE53" s="87">
        <f>AE52/AE$41</f>
        <v>0.44901296424693554</v>
      </c>
      <c r="AF53" s="87"/>
      <c r="AG53" s="87">
        <f>AG52/AG$41</f>
        <v>0.45621956240859851</v>
      </c>
      <c r="AH53" s="87"/>
      <c r="AI53" s="87">
        <f t="shared" ref="AI53:AL53" si="36">AI52/AI$41</f>
        <v>0.47</v>
      </c>
      <c r="AJ53" s="87">
        <f t="shared" si="36"/>
        <v>0.46299999999999997</v>
      </c>
      <c r="AK53" s="87">
        <f t="shared" si="36"/>
        <v>0.45400000000000007</v>
      </c>
      <c r="AL53" s="87">
        <f t="shared" si="36"/>
        <v>0.44699999999999995</v>
      </c>
      <c r="AM53" s="87"/>
      <c r="AN53" s="87">
        <f>AN52/AN$41</f>
        <v>0.45804077408799126</v>
      </c>
      <c r="AO53" s="87">
        <f>AO52/AO$41</f>
        <v>0.44700000000000006</v>
      </c>
      <c r="AP53" s="87">
        <f>AP52/AP$41</f>
        <v>0.45199999999999996</v>
      </c>
      <c r="AQ53" s="87"/>
      <c r="AR53" s="87"/>
      <c r="AS53" s="87"/>
      <c r="AT53" s="189"/>
      <c r="AU53" s="174"/>
      <c r="AV53" s="174"/>
      <c r="AW53" s="174"/>
    </row>
    <row r="54" spans="1:51" ht="13" x14ac:dyDescent="0.3">
      <c r="A54" s="67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192"/>
      <c r="AU54" s="174"/>
      <c r="AV54" s="174"/>
      <c r="AW54" s="174"/>
    </row>
    <row r="55" spans="1:51" ht="13" x14ac:dyDescent="0.3">
      <c r="A55" s="1" t="s">
        <v>84</v>
      </c>
      <c r="B55" s="10">
        <v>-2733</v>
      </c>
      <c r="C55" s="10">
        <v>-2686</v>
      </c>
      <c r="D55" s="10">
        <v>-2591</v>
      </c>
      <c r="E55" s="10">
        <v>-2346</v>
      </c>
      <c r="F55" s="11"/>
      <c r="G55" s="10">
        <v>-539</v>
      </c>
      <c r="H55" s="10">
        <v>-525</v>
      </c>
      <c r="I55" s="10">
        <v>-503</v>
      </c>
      <c r="J55" s="10">
        <f>-2063-SUM(G55:I55)</f>
        <v>-496</v>
      </c>
      <c r="K55" s="10"/>
      <c r="L55" s="136">
        <f>+SUM(G55:J55)</f>
        <v>-2063</v>
      </c>
      <c r="M55" s="136"/>
      <c r="N55" s="10">
        <v>-500</v>
      </c>
      <c r="O55" s="10">
        <v>-490</v>
      </c>
      <c r="P55" s="10">
        <v>-496</v>
      </c>
      <c r="Q55" s="10">
        <f>-1968-SUM(N55:P55)</f>
        <v>-482</v>
      </c>
      <c r="R55" s="136"/>
      <c r="S55" s="11">
        <f>+SUM(N55:Q55)</f>
        <v>-1968</v>
      </c>
      <c r="T55" s="136"/>
      <c r="U55" s="130">
        <v>-525</v>
      </c>
      <c r="V55" s="130">
        <v>-909</v>
      </c>
      <c r="W55" s="130">
        <v>-800</v>
      </c>
      <c r="X55" s="130">
        <f>-2935-SUM(U55:W55)</f>
        <v>-701</v>
      </c>
      <c r="Y55" s="136"/>
      <c r="Z55" s="11">
        <f>SUM(U55:X55)</f>
        <v>-2935</v>
      </c>
      <c r="AA55" s="136"/>
      <c r="AB55" s="130">
        <v>-582</v>
      </c>
      <c r="AC55" s="130">
        <v>-594</v>
      </c>
      <c r="AD55" s="130">
        <v>-594</v>
      </c>
      <c r="AE55" s="130">
        <f>-2385-SUM(AB55:AD55)</f>
        <v>-615</v>
      </c>
      <c r="AF55" s="136"/>
      <c r="AG55" s="11">
        <f>SUM(AB55:AE55)</f>
        <v>-2385</v>
      </c>
      <c r="AH55" s="11"/>
      <c r="AI55" s="11">
        <f>-'Investment Memo'!J87</f>
        <v>-874.83465567500025</v>
      </c>
      <c r="AJ55" s="11">
        <f>-'Investment Memo'!K87</f>
        <v>-859.20965567500025</v>
      </c>
      <c r="AK55" s="11">
        <f>-'Investment Memo'!L87</f>
        <v>-851.39715567500025</v>
      </c>
      <c r="AL55" s="11">
        <f>-'Investment Memo'!M87</f>
        <v>-851.39715567500025</v>
      </c>
      <c r="AM55" s="11"/>
      <c r="AN55" s="11">
        <f t="shared" ref="AN55:AN58" si="37">SUM(AI55:AL55)</f>
        <v>-3436.838622700001</v>
      </c>
      <c r="AO55" s="11">
        <f>-'Investment Memo'!N87</f>
        <v>-3243.8928743666679</v>
      </c>
      <c r="AP55" s="11">
        <f>-'Investment Memo'!O87</f>
        <v>-3099.9514634812508</v>
      </c>
      <c r="AQ55" s="11"/>
      <c r="AR55" s="11"/>
      <c r="AS55" s="11"/>
      <c r="AT55" s="130"/>
      <c r="AU55" s="174"/>
      <c r="AV55" s="174"/>
      <c r="AW55" s="174"/>
    </row>
    <row r="56" spans="1:51" ht="13" x14ac:dyDescent="0.3">
      <c r="A56" s="1" t="s">
        <v>125</v>
      </c>
      <c r="B56" s="10">
        <v>2399</v>
      </c>
      <c r="C56" s="10">
        <v>648</v>
      </c>
      <c r="D56" s="10">
        <v>32</v>
      </c>
      <c r="E56" s="10">
        <v>1232</v>
      </c>
      <c r="F56" s="11"/>
      <c r="G56" s="10">
        <v>371</v>
      </c>
      <c r="H56" s="10">
        <v>300</v>
      </c>
      <c r="I56" s="10">
        <v>-76</v>
      </c>
      <c r="J56" s="10">
        <f>461-SUM(G56:I56)</f>
        <v>-134</v>
      </c>
      <c r="K56" s="10"/>
      <c r="L56" s="136">
        <f t="shared" ref="L56:L57" si="38">+SUM(G56:J56)</f>
        <v>461</v>
      </c>
      <c r="M56" s="136"/>
      <c r="N56" s="10">
        <v>13</v>
      </c>
      <c r="O56" s="10">
        <v>-15</v>
      </c>
      <c r="P56" s="10">
        <v>105</v>
      </c>
      <c r="Q56" s="10">
        <f>260-SUM(N56:P56)</f>
        <v>157</v>
      </c>
      <c r="R56" s="136"/>
      <c r="S56" s="11">
        <f>+SUM(N56:Q56)</f>
        <v>260</v>
      </c>
      <c r="T56" s="136"/>
      <c r="U56" s="130">
        <v>-107</v>
      </c>
      <c r="V56" s="130">
        <v>69</v>
      </c>
      <c r="W56" s="130">
        <v>-25</v>
      </c>
      <c r="X56" s="130">
        <f>-118-SUM(U56:W56)</f>
        <v>-55</v>
      </c>
      <c r="Y56" s="136"/>
      <c r="Z56" s="11">
        <f>SUM(U56:X56)</f>
        <v>-118</v>
      </c>
      <c r="AA56" s="136"/>
      <c r="AB56" s="130">
        <f>463</f>
        <v>463</v>
      </c>
      <c r="AC56" s="130">
        <v>-860</v>
      </c>
      <c r="AD56" s="130">
        <v>111</v>
      </c>
      <c r="AE56" s="130">
        <f>-349-SUM(AB56:AD56)</f>
        <v>-63</v>
      </c>
      <c r="AF56" s="136"/>
      <c r="AG56" s="11">
        <f>SUM(AB56:AE56)</f>
        <v>-349</v>
      </c>
      <c r="AH56" s="11"/>
      <c r="AI56" s="130">
        <v>0</v>
      </c>
      <c r="AJ56" s="130">
        <v>0</v>
      </c>
      <c r="AK56" s="130">
        <v>0</v>
      </c>
      <c r="AL56" s="130">
        <v>0</v>
      </c>
      <c r="AM56" s="11"/>
      <c r="AN56" s="11">
        <f t="shared" si="37"/>
        <v>0</v>
      </c>
      <c r="AO56" s="130">
        <v>0</v>
      </c>
      <c r="AP56" s="130">
        <v>0</v>
      </c>
      <c r="AQ56" s="11"/>
      <c r="AR56" s="11"/>
      <c r="AS56" s="125"/>
      <c r="AT56" s="130"/>
      <c r="AU56" s="130"/>
      <c r="AV56" s="174"/>
      <c r="AW56" s="174"/>
    </row>
    <row r="57" spans="1:51" ht="13" x14ac:dyDescent="0.3">
      <c r="A57" s="1" t="s">
        <v>119</v>
      </c>
      <c r="B57" s="10">
        <v>2214</v>
      </c>
      <c r="C57" s="10">
        <v>2762</v>
      </c>
      <c r="D57" s="10">
        <v>2680</v>
      </c>
      <c r="E57" s="10">
        <v>2131</v>
      </c>
      <c r="F57" s="11"/>
      <c r="G57" s="10">
        <v>520</v>
      </c>
      <c r="H57" s="10">
        <v>503</v>
      </c>
      <c r="I57" s="10">
        <v>519</v>
      </c>
      <c r="J57" s="10">
        <f>2094-SUM(G57:I57)</f>
        <v>552</v>
      </c>
      <c r="K57" s="10"/>
      <c r="L57" s="136">
        <f t="shared" si="38"/>
        <v>2094</v>
      </c>
      <c r="M57" s="136"/>
      <c r="N57" s="10">
        <v>641</v>
      </c>
      <c r="O57" s="10">
        <v>700</v>
      </c>
      <c r="P57" s="10">
        <v>748</v>
      </c>
      <c r="Q57" s="10">
        <f>2994-SUM(N57:P57)</f>
        <v>905</v>
      </c>
      <c r="R57" s="136"/>
      <c r="S57" s="11">
        <f>+SUM(N57:Q57)</f>
        <v>2994</v>
      </c>
      <c r="T57" s="136"/>
      <c r="U57" s="130">
        <v>1166</v>
      </c>
      <c r="V57" s="130">
        <v>734</v>
      </c>
      <c r="W57" s="130">
        <v>619</v>
      </c>
      <c r="X57" s="130">
        <f>3157-SUM(U57:W57)</f>
        <v>638</v>
      </c>
      <c r="Y57" s="136"/>
      <c r="Z57" s="11">
        <f>SUM(U57:X57)</f>
        <v>3157</v>
      </c>
      <c r="AA57" s="136"/>
      <c r="AB57" s="130">
        <v>681</v>
      </c>
      <c r="AC57" s="130">
        <v>600</v>
      </c>
      <c r="AD57" s="130">
        <v>597</v>
      </c>
      <c r="AE57" s="130">
        <f>2647-SUM(AB57:AD57)</f>
        <v>769</v>
      </c>
      <c r="AF57" s="136"/>
      <c r="AG57" s="11">
        <f>SUM(AB57:AE57)</f>
        <v>2647</v>
      </c>
      <c r="AH57" s="11"/>
      <c r="AI57" s="11">
        <f>AE57</f>
        <v>769</v>
      </c>
      <c r="AJ57" s="11">
        <f>AI57</f>
        <v>769</v>
      </c>
      <c r="AK57" s="11">
        <f t="shared" ref="AK57:AL57" si="39">AJ57</f>
        <v>769</v>
      </c>
      <c r="AL57" s="11">
        <f t="shared" si="39"/>
        <v>769</v>
      </c>
      <c r="AM57" s="11"/>
      <c r="AN57" s="11">
        <f t="shared" si="37"/>
        <v>3076</v>
      </c>
      <c r="AO57" s="11">
        <f>+AN57</f>
        <v>3076</v>
      </c>
      <c r="AP57" s="11">
        <f>+AO57</f>
        <v>3076</v>
      </c>
      <c r="AQ57" s="11"/>
      <c r="AR57" s="11"/>
      <c r="AS57" s="11"/>
      <c r="AT57" s="130"/>
      <c r="AU57" s="174"/>
      <c r="AV57" s="174"/>
      <c r="AW57" s="174"/>
    </row>
    <row r="58" spans="1:51" ht="14.5" x14ac:dyDescent="0.45">
      <c r="A58" s="1" t="s">
        <v>95</v>
      </c>
      <c r="B58" s="135">
        <f>-187-218-59</f>
        <v>-464</v>
      </c>
      <c r="C58" s="135">
        <f>144-82-57</f>
        <v>5</v>
      </c>
      <c r="D58" s="135">
        <f>187-191-40</f>
        <v>-44</v>
      </c>
      <c r="E58" s="135">
        <f>17+54+98</f>
        <v>169</v>
      </c>
      <c r="F58" s="11"/>
      <c r="G58" s="135">
        <f>-7-65+6</f>
        <v>-66</v>
      </c>
      <c r="H58" s="135">
        <f>7-13-4</f>
        <v>-10</v>
      </c>
      <c r="I58" s="135">
        <f>-29-74-11</f>
        <v>-114</v>
      </c>
      <c r="J58" s="135">
        <f>-52-75-32-SUM(G58:I58)</f>
        <v>31</v>
      </c>
      <c r="K58" s="10"/>
      <c r="L58" s="137">
        <f>+SUM(G58:J58)</f>
        <v>-159</v>
      </c>
      <c r="M58" s="137"/>
      <c r="N58" s="135">
        <f>9-78-31</f>
        <v>-100</v>
      </c>
      <c r="O58" s="135">
        <f>-199-18-38</f>
        <v>-255</v>
      </c>
      <c r="P58" s="135">
        <f>-65+122-93</f>
        <v>-36</v>
      </c>
      <c r="Q58" s="135">
        <f>SUM(-456,181,-223)-SUM(N58:P58)</f>
        <v>-107</v>
      </c>
      <c r="R58" s="137"/>
      <c r="S58" s="138">
        <f>+SUM(N58:Q58)</f>
        <v>-498</v>
      </c>
      <c r="T58" s="137"/>
      <c r="U58" s="193">
        <f>-137-101+93</f>
        <v>-145</v>
      </c>
      <c r="V58" s="193">
        <f>-267+36-169</f>
        <v>-400</v>
      </c>
      <c r="W58" s="193">
        <f>-24-138-486</f>
        <v>-648</v>
      </c>
      <c r="X58" s="193">
        <f>SUM(-187,-244,-1319)-SUM(U58:W58)</f>
        <v>-557</v>
      </c>
      <c r="Y58" s="137"/>
      <c r="Z58" s="138">
        <f>SUM(U58:X58)</f>
        <v>-1750</v>
      </c>
      <c r="AA58" s="137"/>
      <c r="AB58" s="193">
        <f>-683-338+176</f>
        <v>-845</v>
      </c>
      <c r="AC58" s="193">
        <f>-116-153-1165</f>
        <v>-1434</v>
      </c>
      <c r="AD58" s="193">
        <f>187+89+-1013</f>
        <v>-737</v>
      </c>
      <c r="AE58" s="193">
        <f>(-260+171+-4725)-SUM(AB58:AD58)</f>
        <v>-1798</v>
      </c>
      <c r="AF58" s="137"/>
      <c r="AG58" s="138">
        <f>SUM(AB58:AE58)</f>
        <v>-4814</v>
      </c>
      <c r="AH58" s="138"/>
      <c r="AI58" s="193">
        <v>-1300</v>
      </c>
      <c r="AJ58" s="138">
        <f>AI58</f>
        <v>-1300</v>
      </c>
      <c r="AK58" s="138">
        <f t="shared" ref="AK58:AL58" si="40">AJ58</f>
        <v>-1300</v>
      </c>
      <c r="AL58" s="138">
        <f t="shared" si="40"/>
        <v>-1300</v>
      </c>
      <c r="AM58" s="138"/>
      <c r="AN58" s="138">
        <f t="shared" si="37"/>
        <v>-5200</v>
      </c>
      <c r="AO58" s="138">
        <f>+AN58</f>
        <v>-5200</v>
      </c>
      <c r="AP58" s="138">
        <f>+AO58</f>
        <v>-5200</v>
      </c>
      <c r="AQ58" s="138"/>
      <c r="AR58" s="138"/>
      <c r="AS58" s="138"/>
      <c r="AT58" s="193"/>
      <c r="AU58" s="174"/>
      <c r="AV58" s="174"/>
      <c r="AW58" s="174"/>
    </row>
    <row r="59" spans="1:51" ht="13" x14ac:dyDescent="0.3">
      <c r="A59" s="1" t="s">
        <v>71</v>
      </c>
      <c r="B59" s="11">
        <f>+B52+SUM(B55:B58)</f>
        <v>36474</v>
      </c>
      <c r="C59" s="11">
        <f>+C52+SUM(C55:C58)</f>
        <v>43688</v>
      </c>
      <c r="D59" s="11">
        <f>+D52+SUM(D55:D58)</f>
        <v>53036</v>
      </c>
      <c r="E59" s="11">
        <f>+E52+SUM(E55:E58)</f>
        <v>71102</v>
      </c>
      <c r="F59" s="11"/>
      <c r="G59" s="11">
        <f>+G52+SUM(G55:G58)</f>
        <v>20524</v>
      </c>
      <c r="H59" s="11">
        <f>+H52+SUM(H55:H58)</f>
        <v>22515</v>
      </c>
      <c r="I59" s="11">
        <f>I52+SUM(I55:I58)</f>
        <v>20190</v>
      </c>
      <c r="J59" s="11">
        <f>J52+SUM(J55:J58)</f>
        <v>20487</v>
      </c>
      <c r="K59" s="10"/>
      <c r="L59" s="11">
        <f>+L52+SUM(L55:L58)</f>
        <v>83716</v>
      </c>
      <c r="M59" s="11"/>
      <c r="N59" s="11">
        <f>+N52+SUM(N55:N58)</f>
        <v>21572</v>
      </c>
      <c r="O59" s="11">
        <f>+O52+SUM(O55:O58)</f>
        <v>20339</v>
      </c>
      <c r="P59" s="11">
        <f>P52+SUM(P55:P58)</f>
        <v>22673</v>
      </c>
      <c r="Q59" s="11">
        <f>Q52+SUM(Q55:Q58)</f>
        <v>24727</v>
      </c>
      <c r="R59" s="11"/>
      <c r="S59" s="11">
        <f>S52+SUM(S55:S58)</f>
        <v>89311</v>
      </c>
      <c r="T59" s="11"/>
      <c r="U59" s="11">
        <f>U52+SUM(U55:U58)</f>
        <v>27284</v>
      </c>
      <c r="V59" s="11">
        <f>V52+SUM(V55:V58)</f>
        <v>26526</v>
      </c>
      <c r="W59" s="11">
        <f>W52+SUM(W55:W58)</f>
        <v>26727</v>
      </c>
      <c r="X59" s="11">
        <f>X52+SUM(X55:X58)</f>
        <v>27250</v>
      </c>
      <c r="Y59" s="11"/>
      <c r="Z59" s="11">
        <f>Z52+SUM(Z55:Z58)</f>
        <v>107787</v>
      </c>
      <c r="AA59" s="11"/>
      <c r="AB59" s="11">
        <f>AB52+SUM(AB55:AB58)</f>
        <v>30269</v>
      </c>
      <c r="AC59" s="11">
        <f>AC52+SUM(AC55:AC58)</f>
        <v>29365</v>
      </c>
      <c r="AD59" s="11">
        <f>AD52+SUM(AD55:AD58)</f>
        <v>31377</v>
      </c>
      <c r="AE59" s="11">
        <f>AE52+SUM(AE55:AE58)</f>
        <v>32616</v>
      </c>
      <c r="AF59" s="11"/>
      <c r="AG59" s="11">
        <f>AG52+SUM(AG55:AG58)</f>
        <v>123627</v>
      </c>
      <c r="AH59" s="11"/>
      <c r="AI59" s="11">
        <f t="shared" ref="AI59:AL59" si="41">AI52+SUM(AI55:AI58)</f>
        <v>34111.797444324999</v>
      </c>
      <c r="AJ59" s="11">
        <f t="shared" si="41"/>
        <v>35665.046194324997</v>
      </c>
      <c r="AK59" s="11">
        <f t="shared" si="41"/>
        <v>35289.125964325009</v>
      </c>
      <c r="AL59" s="11">
        <f t="shared" si="41"/>
        <v>38061.888594324992</v>
      </c>
      <c r="AM59" s="11"/>
      <c r="AN59" s="11">
        <f>AN52+SUM(AN55:AN58)</f>
        <v>143127.85819729994</v>
      </c>
      <c r="AO59" s="11">
        <f>AO52+SUM(AO55:AO58)</f>
        <v>155369.13742023334</v>
      </c>
      <c r="AP59" s="11">
        <f>AP52+SUM(AP55:AP58)</f>
        <v>177457.91201368871</v>
      </c>
      <c r="AQ59" s="11"/>
      <c r="AR59" s="11"/>
      <c r="AS59" s="11"/>
      <c r="AT59" s="130"/>
      <c r="AU59" s="174"/>
      <c r="AV59" s="174"/>
      <c r="AW59" s="174"/>
    </row>
    <row r="60" spans="1:51" ht="13" x14ac:dyDescent="0.3">
      <c r="A60" s="67" t="s">
        <v>35</v>
      </c>
      <c r="B60" s="87">
        <f>B59/B41</f>
        <v>0.33050018122508157</v>
      </c>
      <c r="C60" s="87">
        <f>C59/C41</f>
        <v>0.34716273451840785</v>
      </c>
      <c r="D60" s="87">
        <f>D59/D41</f>
        <v>0.37084221934762091</v>
      </c>
      <c r="E60" s="87">
        <f>E59/E41</f>
        <v>0.4230046166293846</v>
      </c>
      <c r="F60" s="11"/>
      <c r="G60" s="87">
        <f>G59/G41</f>
        <v>0.45289847077255774</v>
      </c>
      <c r="H60" s="87">
        <f>H59/H41</f>
        <v>0.43525750077327557</v>
      </c>
      <c r="I60" s="87">
        <f>I59/I41</f>
        <v>0.40903565640194489</v>
      </c>
      <c r="J60" s="87">
        <f>J59/J41</f>
        <v>0.39500626626819629</v>
      </c>
      <c r="K60" s="10"/>
      <c r="L60" s="87">
        <f>L59/L41</f>
        <v>0.42223230947697582</v>
      </c>
      <c r="M60" s="87"/>
      <c r="N60" s="87">
        <f>N59/N41</f>
        <v>0.43038984876900366</v>
      </c>
      <c r="O60" s="87">
        <f>O59/O41</f>
        <v>0.38559538931124043</v>
      </c>
      <c r="P60" s="87">
        <f>P59/P41</f>
        <v>0.42894980797245397</v>
      </c>
      <c r="Q60" s="87">
        <f>Q59/Q41</f>
        <v>0.4400683407784442</v>
      </c>
      <c r="R60" s="87"/>
      <c r="S60" s="87">
        <f>S59/S41</f>
        <v>0.42144727838992047</v>
      </c>
      <c r="T60" s="87"/>
      <c r="U60" s="87">
        <f>U59/U41</f>
        <v>0.48275740042818976</v>
      </c>
      <c r="V60" s="87">
        <f>V59/V41</f>
        <v>0.42770074169622702</v>
      </c>
      <c r="W60" s="87">
        <f>W59/W41</f>
        <v>0.43207022535484496</v>
      </c>
      <c r="X60" s="87">
        <f>X59/X41</f>
        <v>0.42099896488327898</v>
      </c>
      <c r="Y60" s="87"/>
      <c r="Z60" s="87">
        <f>Z59/Z41</f>
        <v>0.43972797219343834</v>
      </c>
      <c r="AA60" s="87"/>
      <c r="AB60" s="87">
        <f>AB59/AB41</f>
        <v>0.46152321414957687</v>
      </c>
      <c r="AC60" s="87">
        <f>AC59/AC41</f>
        <v>0.42171702665441174</v>
      </c>
      <c r="AD60" s="87">
        <f>AD59/AD41</f>
        <v>0.44782062626666286</v>
      </c>
      <c r="AE60" s="87">
        <f>AE59/AE41</f>
        <v>0.42668201619549717</v>
      </c>
      <c r="AF60" s="87"/>
      <c r="AG60" s="87">
        <f>AG59/AG41</f>
        <v>0.43882310346296377</v>
      </c>
      <c r="AH60" s="87"/>
      <c r="AI60" s="87">
        <f t="shared" ref="AI60:AL60" si="42">AI59/AI41</f>
        <v>0.4513967810042368</v>
      </c>
      <c r="AJ60" s="87">
        <f t="shared" si="42"/>
        <v>0.4456295337648431</v>
      </c>
      <c r="AK60" s="87">
        <f t="shared" si="42"/>
        <v>0.43688567653373089</v>
      </c>
      <c r="AL60" s="87">
        <f t="shared" si="42"/>
        <v>0.43133406723338302</v>
      </c>
      <c r="AM60" s="87"/>
      <c r="AN60" s="87">
        <f>AN59/AN41</f>
        <v>0.44091041460677677</v>
      </c>
      <c r="AO60" s="87">
        <f>AO59/AO41</f>
        <v>0.43207221322650941</v>
      </c>
      <c r="AP60" s="87">
        <f>AP59/AP41</f>
        <v>0.43907465526927564</v>
      </c>
      <c r="AQ60" s="87"/>
      <c r="AR60" s="87"/>
      <c r="AS60" s="87"/>
      <c r="AT60" s="189"/>
      <c r="AU60" s="174"/>
      <c r="AV60" s="174"/>
      <c r="AW60" s="174"/>
    </row>
    <row r="61" spans="1:51" ht="13" x14ac:dyDescent="0.3">
      <c r="A61" s="1"/>
      <c r="B61" s="126"/>
      <c r="C61" s="126"/>
      <c r="D61" s="126"/>
      <c r="E61" s="126"/>
      <c r="F61" s="11"/>
      <c r="G61" s="126"/>
      <c r="H61" s="126"/>
      <c r="I61" s="126"/>
      <c r="J61" s="126"/>
      <c r="K61" s="10"/>
      <c r="L61" s="11"/>
      <c r="M61" s="11"/>
      <c r="N61" s="126"/>
      <c r="O61" s="126"/>
      <c r="P61" s="126"/>
      <c r="Q61" s="11"/>
      <c r="R61" s="11"/>
      <c r="S61" s="10"/>
      <c r="T61" s="11"/>
      <c r="U61" s="10"/>
      <c r="V61" s="10"/>
      <c r="W61" s="10"/>
      <c r="X61" s="10"/>
      <c r="Y61" s="11"/>
      <c r="Z61" s="10"/>
      <c r="AA61" s="11"/>
      <c r="AB61" s="10"/>
      <c r="AC61" s="10"/>
      <c r="AD61" s="10"/>
      <c r="AE61" s="10"/>
      <c r="AF61" s="11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0"/>
      <c r="AU61" s="174"/>
      <c r="AV61" s="174"/>
      <c r="AW61" s="174"/>
    </row>
    <row r="62" spans="1:51" ht="14.5" x14ac:dyDescent="0.45">
      <c r="A62" s="1" t="s">
        <v>70</v>
      </c>
      <c r="B62" s="135">
        <v>-19903</v>
      </c>
      <c r="C62" s="135">
        <v>-4448</v>
      </c>
      <c r="D62" s="135">
        <v>-8755</v>
      </c>
      <c r="E62" s="135">
        <v>-9831</v>
      </c>
      <c r="F62" s="11"/>
      <c r="G62" s="135">
        <v>-19</v>
      </c>
      <c r="H62" s="135">
        <v>-3750</v>
      </c>
      <c r="I62" s="135">
        <v>-3462</v>
      </c>
      <c r="J62" s="135">
        <f>-10978-SUM(G62:I62)</f>
        <v>-3747</v>
      </c>
      <c r="K62" s="135"/>
      <c r="L62" s="137">
        <f>+SUM(G62:J62)</f>
        <v>-10978</v>
      </c>
      <c r="M62" s="137"/>
      <c r="N62" s="135">
        <v>-4016</v>
      </c>
      <c r="O62" s="135">
        <v>-3914</v>
      </c>
      <c r="P62" s="135">
        <v>-4374</v>
      </c>
      <c r="Q62" s="135">
        <f>-16950-SUM(N62:P62)</f>
        <v>-4646</v>
      </c>
      <c r="R62" s="137"/>
      <c r="S62" s="138">
        <f>+SUM(N62:Q62)</f>
        <v>-16950</v>
      </c>
      <c r="T62" s="137"/>
      <c r="U62" s="193">
        <v>-4993</v>
      </c>
      <c r="V62" s="193">
        <v>-4656</v>
      </c>
      <c r="W62" s="193">
        <v>-4788</v>
      </c>
      <c r="X62" s="193">
        <v>-5214</v>
      </c>
      <c r="Y62" s="137"/>
      <c r="Z62" s="138">
        <f>SUM(U62:X62)</f>
        <v>-19651</v>
      </c>
      <c r="AA62" s="137"/>
      <c r="AB62" s="193">
        <v>-5602</v>
      </c>
      <c r="AC62" s="193">
        <v>-5257</v>
      </c>
      <c r="AD62" s="193">
        <v>-5553</v>
      </c>
      <c r="AE62" s="193">
        <f>-21795-SUM(AB62:AD62)</f>
        <v>-5383</v>
      </c>
      <c r="AF62" s="137"/>
      <c r="AG62" s="138">
        <f>SUM(AB62:AE62)</f>
        <v>-21795</v>
      </c>
      <c r="AH62" s="138"/>
      <c r="AI62" s="138">
        <f t="shared" ref="AI62:AL62" si="43">+IF(AI59&gt;0,AI59*-$AQ$62,0)</f>
        <v>-6651.8005016433754</v>
      </c>
      <c r="AJ62" s="138">
        <f t="shared" si="43"/>
        <v>-6954.6840078933747</v>
      </c>
      <c r="AK62" s="138">
        <f t="shared" si="43"/>
        <v>-6881.3795630433769</v>
      </c>
      <c r="AL62" s="138">
        <f t="shared" si="43"/>
        <v>-7422.0682758933735</v>
      </c>
      <c r="AM62" s="138"/>
      <c r="AN62" s="138">
        <f>SUM(AI62:AL62)</f>
        <v>-27909.9323484735</v>
      </c>
      <c r="AO62" s="138">
        <f>+IF(AO59&gt;0,AO59*-$AQ$62,0)</f>
        <v>-30296.981796945503</v>
      </c>
      <c r="AP62" s="138">
        <f>+IF(AP59&gt;0,AP59*-$AQ$62,0)</f>
        <v>-34604.292842669296</v>
      </c>
      <c r="AQ62" s="218">
        <v>0.19500000000000001</v>
      </c>
      <c r="AR62" s="138"/>
      <c r="AS62" s="138"/>
      <c r="AU62" s="194"/>
      <c r="AV62" s="174"/>
      <c r="AW62" s="174"/>
    </row>
    <row r="63" spans="1:51" ht="13" x14ac:dyDescent="0.3">
      <c r="A63" s="1" t="s">
        <v>61</v>
      </c>
      <c r="B63" s="11">
        <f>+B59+B62</f>
        <v>16571</v>
      </c>
      <c r="C63" s="11">
        <f>+C59+C62</f>
        <v>39240</v>
      </c>
      <c r="D63" s="11">
        <f>+D59+D62</f>
        <v>44281</v>
      </c>
      <c r="E63" s="11">
        <f>+E59+SUM(E62:E62)</f>
        <v>61271</v>
      </c>
      <c r="F63" s="11"/>
      <c r="G63" s="11">
        <f>+G59+SUM(G62:G62)</f>
        <v>20505</v>
      </c>
      <c r="H63" s="11">
        <f>+H59+SUM(H62:H62)</f>
        <v>18765</v>
      </c>
      <c r="I63" s="11">
        <f>+I59+SUM(I62:I62)</f>
        <v>16728</v>
      </c>
      <c r="J63" s="11">
        <f>+J59+SUM(J62:J62)</f>
        <v>16740</v>
      </c>
      <c r="K63" s="68"/>
      <c r="L63" s="11">
        <f>+L59+SUM(L62:L62)</f>
        <v>72738</v>
      </c>
      <c r="M63" s="11"/>
      <c r="N63" s="11">
        <f>+N59+SUM(N62:N62)</f>
        <v>17556</v>
      </c>
      <c r="O63" s="11">
        <f>+O59+SUM(O62:O62)</f>
        <v>16425</v>
      </c>
      <c r="P63" s="11">
        <f>+P59+SUM(P62:P62)</f>
        <v>18299</v>
      </c>
      <c r="Q63" s="11">
        <f>+Q59+SUM(Q62:Q62)</f>
        <v>20081</v>
      </c>
      <c r="R63" s="11"/>
      <c r="S63" s="11">
        <f>+S59+SUM(S62:S62)</f>
        <v>72361</v>
      </c>
      <c r="T63" s="11"/>
      <c r="U63" s="11">
        <f>+U59+SUM(U62:U62)</f>
        <v>22291</v>
      </c>
      <c r="V63" s="11">
        <f>+V59+SUM(V62:V62)</f>
        <v>21870</v>
      </c>
      <c r="W63" s="11">
        <f>+W59+SUM(W62:W62)</f>
        <v>21939</v>
      </c>
      <c r="X63" s="11">
        <f>+X59+SUM(X62:X62)</f>
        <v>22036</v>
      </c>
      <c r="Y63" s="11"/>
      <c r="Z63" s="11">
        <f>+Z59+SUM(Z62:Z62)</f>
        <v>88136</v>
      </c>
      <c r="AA63" s="11"/>
      <c r="AB63" s="11">
        <f>+AB59+SUM(AB62:AB62)</f>
        <v>24667</v>
      </c>
      <c r="AC63" s="11">
        <f>+AC59+SUM(AC62:AC62)</f>
        <v>24108</v>
      </c>
      <c r="AD63" s="11">
        <f>+AD59+SUM(AD62:AD62)</f>
        <v>25824</v>
      </c>
      <c r="AE63" s="11">
        <f>+AE59+SUM(AE62:AE62)</f>
        <v>27233</v>
      </c>
      <c r="AF63" s="11"/>
      <c r="AG63" s="11">
        <f>+AG59+SUM(AG62:AG62)</f>
        <v>101832</v>
      </c>
      <c r="AH63" s="11"/>
      <c r="AI63" s="11">
        <f t="shared" ref="AI63:AL63" si="44">+AI59+SUM(AI62:AI62)</f>
        <v>27459.996942681624</v>
      </c>
      <c r="AJ63" s="11">
        <f t="shared" si="44"/>
        <v>28710.362186431623</v>
      </c>
      <c r="AK63" s="11">
        <f t="shared" si="44"/>
        <v>28407.746401281631</v>
      </c>
      <c r="AL63" s="11">
        <f t="shared" si="44"/>
        <v>30639.820318431619</v>
      </c>
      <c r="AM63" s="11"/>
      <c r="AN63" s="11">
        <f>+AN59+SUM(AN62:AN62)</f>
        <v>115217.92584882645</v>
      </c>
      <c r="AO63" s="11">
        <f>+AO59+SUM(AO62:AO62)</f>
        <v>125072.15562328784</v>
      </c>
      <c r="AP63" s="11">
        <f>+AP59+SUM(AP62:AP62)</f>
        <v>142853.61917101941</v>
      </c>
      <c r="AQ63" s="11"/>
      <c r="AR63" s="11"/>
      <c r="AS63" s="11"/>
      <c r="AT63" s="130"/>
      <c r="AU63" s="174"/>
      <c r="AV63" s="174"/>
      <c r="AW63" s="174"/>
    </row>
    <row r="64" spans="1:51" ht="13" x14ac:dyDescent="0.3">
      <c r="A64" s="67" t="s">
        <v>35</v>
      </c>
      <c r="B64" s="87">
        <f>B63/B41</f>
        <v>0.15015404131931859</v>
      </c>
      <c r="C64" s="87">
        <f>C63/C41</f>
        <v>0.31181710544090652</v>
      </c>
      <c r="D64" s="87">
        <f>D63/D41</f>
        <v>0.30962486452470023</v>
      </c>
      <c r="E64" s="87">
        <f>E63/E41</f>
        <v>0.36451739564989766</v>
      </c>
      <c r="F64" s="11"/>
      <c r="G64" s="87">
        <f>G63/G41</f>
        <v>0.45247920206545006</v>
      </c>
      <c r="H64" s="87">
        <f>H63/H41</f>
        <v>0.36276291370244357</v>
      </c>
      <c r="I64" s="87">
        <f>I63/I41</f>
        <v>0.33889789303079415</v>
      </c>
      <c r="J64" s="87">
        <f>J63/J41</f>
        <v>0.32276101417140651</v>
      </c>
      <c r="K64" s="68"/>
      <c r="L64" s="87">
        <f>L63/L41</f>
        <v>0.36686336813436221</v>
      </c>
      <c r="M64" s="87"/>
      <c r="N64" s="87">
        <f>N63/N41</f>
        <v>0.3502653525398029</v>
      </c>
      <c r="O64" s="87">
        <f>O63/O41</f>
        <v>0.31139211708722769</v>
      </c>
      <c r="P64" s="87">
        <f>P63/P41</f>
        <v>0.34619823296819718</v>
      </c>
      <c r="Q64" s="87">
        <f>Q63/Q41</f>
        <v>0.35738311769207498</v>
      </c>
      <c r="R64" s="87"/>
      <c r="S64" s="87">
        <f>S63/S41</f>
        <v>0.34146237878394642</v>
      </c>
      <c r="T64" s="87"/>
      <c r="U64" s="87">
        <f>U63/U41</f>
        <v>0.39441230072367606</v>
      </c>
      <c r="V64" s="87">
        <f>V63/V41</f>
        <v>0.35262818445662691</v>
      </c>
      <c r="W64" s="87">
        <f>W63/W41</f>
        <v>0.35466714087102719</v>
      </c>
      <c r="X64" s="87">
        <f>X63/X41</f>
        <v>0.34044525468506187</v>
      </c>
      <c r="Y64" s="87"/>
      <c r="Z64" s="87">
        <f>Z63/Z41</f>
        <v>0.35955972944084985</v>
      </c>
      <c r="AA64" s="87"/>
      <c r="AB64" s="87">
        <f>AB63/AB41</f>
        <v>0.37610734161774795</v>
      </c>
      <c r="AC64" s="87">
        <f>AC63/AC41</f>
        <v>0.34622012867647056</v>
      </c>
      <c r="AD64" s="87">
        <f>AD63/AD41</f>
        <v>0.36856677989324349</v>
      </c>
      <c r="AE64" s="87">
        <f>AE63/AE41</f>
        <v>0.35626169202391389</v>
      </c>
      <c r="AF64" s="87"/>
      <c r="AG64" s="87">
        <f>AG63/AG41</f>
        <v>0.36146015248967073</v>
      </c>
      <c r="AH64" s="87"/>
      <c r="AI64" s="87">
        <f t="shared" ref="AI64:AL64" si="45">AI63/AI41</f>
        <v>0.36337440870841065</v>
      </c>
      <c r="AJ64" s="87">
        <f t="shared" si="45"/>
        <v>0.35873177468069867</v>
      </c>
      <c r="AK64" s="87">
        <f t="shared" si="45"/>
        <v>0.35169296960965335</v>
      </c>
      <c r="AL64" s="87">
        <f t="shared" si="45"/>
        <v>0.34722392412287334</v>
      </c>
      <c r="AM64" s="87"/>
      <c r="AN64" s="87">
        <f>AN63/AN41</f>
        <v>0.35493288375845528</v>
      </c>
      <c r="AO64" s="87">
        <f>AO63/AO41</f>
        <v>0.34781813164734005</v>
      </c>
      <c r="AP64" s="87">
        <f>AP63/AP41</f>
        <v>0.3534550974917669</v>
      </c>
      <c r="AQ64" s="87"/>
      <c r="AR64" s="87"/>
      <c r="AS64" s="87"/>
      <c r="AT64" s="189"/>
      <c r="AU64" s="174"/>
      <c r="AV64" s="174"/>
      <c r="AW64" s="174"/>
    </row>
    <row r="65" spans="1:51" ht="13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89"/>
      <c r="AU65" s="174"/>
      <c r="AV65" s="174"/>
      <c r="AW65" s="174"/>
    </row>
    <row r="66" spans="1:51" ht="13.5" x14ac:dyDescent="0.35">
      <c r="A66" s="120" t="s">
        <v>62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"/>
      <c r="U66" s="178"/>
      <c r="V66" s="178"/>
      <c r="W66" s="178"/>
      <c r="X66" s="178"/>
      <c r="Y66" s="1"/>
      <c r="Z66" s="125"/>
      <c r="AA66" s="1"/>
      <c r="AB66" s="178"/>
      <c r="AC66" s="178"/>
      <c r="AD66" s="178"/>
      <c r="AE66" s="178"/>
      <c r="AF66" s="1"/>
      <c r="AG66" s="125"/>
      <c r="AH66" s="223"/>
      <c r="AI66" s="125"/>
      <c r="AJ66" s="125"/>
      <c r="AK66" s="125"/>
      <c r="AL66" s="125"/>
      <c r="AM66" s="223"/>
      <c r="AN66" s="125"/>
      <c r="AO66" s="125"/>
      <c r="AP66" s="125"/>
      <c r="AQ66" s="125"/>
      <c r="AR66" s="125"/>
      <c r="AS66" s="125"/>
      <c r="AT66" s="190"/>
      <c r="AU66" s="174"/>
      <c r="AV66" s="174"/>
      <c r="AW66" s="174"/>
    </row>
    <row r="67" spans="1:51" ht="13" x14ac:dyDescent="0.3">
      <c r="A67" s="1" t="s">
        <v>96</v>
      </c>
      <c r="B67" s="11">
        <f>+B63</f>
        <v>16571</v>
      </c>
      <c r="C67" s="11">
        <f>+C63</f>
        <v>39240</v>
      </c>
      <c r="D67" s="11">
        <f>+D63</f>
        <v>44281</v>
      </c>
      <c r="E67" s="11">
        <f>+E63</f>
        <v>61271</v>
      </c>
      <c r="F67" s="11"/>
      <c r="G67" s="11">
        <f t="shared" ref="G67:I67" si="46">+G63</f>
        <v>20505</v>
      </c>
      <c r="H67" s="11">
        <f t="shared" si="46"/>
        <v>18765</v>
      </c>
      <c r="I67" s="11">
        <f t="shared" si="46"/>
        <v>16728</v>
      </c>
      <c r="J67" s="11">
        <f>+J63</f>
        <v>16740</v>
      </c>
      <c r="K67" s="10"/>
      <c r="L67" s="11">
        <f>+L63</f>
        <v>72738</v>
      </c>
      <c r="M67" s="11"/>
      <c r="N67" s="11">
        <f>+N63</f>
        <v>17556</v>
      </c>
      <c r="O67" s="11">
        <f t="shared" ref="O67:Q67" si="47">+O63</f>
        <v>16425</v>
      </c>
      <c r="P67" s="11">
        <f t="shared" si="47"/>
        <v>18299</v>
      </c>
      <c r="Q67" s="11">
        <f t="shared" si="47"/>
        <v>20081</v>
      </c>
      <c r="R67" s="11"/>
      <c r="S67" s="11">
        <f>+S63</f>
        <v>72361</v>
      </c>
      <c r="T67" s="11"/>
      <c r="U67" s="11">
        <f>U63</f>
        <v>22291</v>
      </c>
      <c r="V67" s="11">
        <f>V63</f>
        <v>21870</v>
      </c>
      <c r="W67" s="11">
        <f>W63</f>
        <v>21939</v>
      </c>
      <c r="X67" s="11">
        <f>X63</f>
        <v>22036</v>
      </c>
      <c r="Y67" s="11"/>
      <c r="Z67" s="11">
        <f>+Z63</f>
        <v>88136</v>
      </c>
      <c r="AA67" s="11"/>
      <c r="AB67" s="11">
        <f>AB63</f>
        <v>24667</v>
      </c>
      <c r="AC67" s="11">
        <f>AC63</f>
        <v>24108</v>
      </c>
      <c r="AD67" s="11">
        <f>AD63</f>
        <v>25824</v>
      </c>
      <c r="AE67" s="11">
        <f>AE63</f>
        <v>27233</v>
      </c>
      <c r="AF67" s="11"/>
      <c r="AG67" s="11">
        <f>+AG63</f>
        <v>101832</v>
      </c>
      <c r="AH67" s="11"/>
      <c r="AI67" s="11">
        <f t="shared" ref="AI67:AL67" si="48">+AI63</f>
        <v>27459.996942681624</v>
      </c>
      <c r="AJ67" s="11">
        <f t="shared" si="48"/>
        <v>28710.362186431623</v>
      </c>
      <c r="AK67" s="11">
        <f t="shared" si="48"/>
        <v>28407.746401281631</v>
      </c>
      <c r="AL67" s="11">
        <f t="shared" si="48"/>
        <v>30639.820318431619</v>
      </c>
      <c r="AM67" s="11"/>
      <c r="AN67" s="11">
        <f>+AN63</f>
        <v>115217.92584882645</v>
      </c>
      <c r="AO67" s="11">
        <f>+AO63</f>
        <v>125072.15562328784</v>
      </c>
      <c r="AP67" s="11">
        <f>+AP63</f>
        <v>142853.61917101941</v>
      </c>
      <c r="AQ67" s="11"/>
      <c r="AR67" s="11"/>
      <c r="AS67" s="11"/>
      <c r="AT67" s="130"/>
      <c r="AU67" s="174"/>
      <c r="AV67" s="174"/>
      <c r="AW67" s="174"/>
    </row>
    <row r="68" spans="1:51" ht="13" x14ac:dyDescent="0.3">
      <c r="A68" s="1" t="s">
        <v>97</v>
      </c>
      <c r="B68" s="130">
        <v>10261</v>
      </c>
      <c r="C68" s="130">
        <v>11682</v>
      </c>
      <c r="D68" s="130">
        <v>12796</v>
      </c>
      <c r="E68" s="130">
        <v>11686</v>
      </c>
      <c r="F68" s="11"/>
      <c r="G68" s="130">
        <v>3212</v>
      </c>
      <c r="H68" s="130">
        <f>6708-G68</f>
        <v>3496</v>
      </c>
      <c r="I68" s="130">
        <f>10481-SUM(G68:H68)</f>
        <v>3773</v>
      </c>
      <c r="J68" s="130">
        <f>14460-SUM(G68:I68)</f>
        <v>3979</v>
      </c>
      <c r="K68" s="10"/>
      <c r="L68" s="11">
        <f t="shared" ref="L68:L72" si="49">+SUM(G68:J68)</f>
        <v>14460</v>
      </c>
      <c r="M68" s="11"/>
      <c r="N68" s="130">
        <v>2790</v>
      </c>
      <c r="O68" s="130">
        <f>6438-N68</f>
        <v>3648</v>
      </c>
      <c r="P68" s="130">
        <f>9987-SUM(N68:O68)</f>
        <v>3549</v>
      </c>
      <c r="Q68" s="130">
        <f>13861-SUM(N68:P68)</f>
        <v>3874</v>
      </c>
      <c r="R68" s="11"/>
      <c r="S68" s="11">
        <f>+SUM(N68:Q68)</f>
        <v>13861</v>
      </c>
      <c r="T68" s="11"/>
      <c r="U68" s="130">
        <v>3921</v>
      </c>
      <c r="V68" s="130">
        <f>9880-U68</f>
        <v>5959</v>
      </c>
      <c r="W68" s="130">
        <f>15907-V68-U68</f>
        <v>6027</v>
      </c>
      <c r="X68" s="130">
        <f>22287-SUM(U68:W68)</f>
        <v>6380</v>
      </c>
      <c r="Y68" s="11"/>
      <c r="Z68" s="11">
        <f>SUM(U68:X68)</f>
        <v>22287</v>
      </c>
      <c r="AA68" s="11"/>
      <c r="AB68" s="130">
        <v>7383</v>
      </c>
      <c r="AC68" s="130">
        <f>14210-AB68</f>
        <v>6827</v>
      </c>
      <c r="AD68" s="130">
        <f>22950-SUM(AB68:AC68)</f>
        <v>8740</v>
      </c>
      <c r="AE68" s="130">
        <f>34153-SUM(AB68:AD68)</f>
        <v>11203</v>
      </c>
      <c r="AF68" s="11"/>
      <c r="AG68" s="11">
        <f>SUM(AB68:AE68)</f>
        <v>34153</v>
      </c>
      <c r="AH68" s="11"/>
      <c r="AI68" s="11">
        <f>+AI$41*AQ68</f>
        <v>11335.414499999999</v>
      </c>
      <c r="AJ68" s="11">
        <f t="shared" ref="AJ68:AL68" si="50">+AJ$41*AR68</f>
        <v>12004.942499999999</v>
      </c>
      <c r="AK68" s="11">
        <f t="shared" si="50"/>
        <v>12116.142</v>
      </c>
      <c r="AL68" s="11">
        <f t="shared" si="50"/>
        <v>13236.3375</v>
      </c>
      <c r="AM68" s="11"/>
      <c r="AN68" s="11">
        <f t="shared" ref="AN68:AN72" si="51">SUM(AI68:AL68)</f>
        <v>48692.836499999998</v>
      </c>
      <c r="AO68" s="11">
        <f>+AO$41*AU68</f>
        <v>53938.60076999999</v>
      </c>
      <c r="AP68" s="11">
        <f>+AP$41*AV68</f>
        <v>60624.512215874995</v>
      </c>
      <c r="AQ68" s="218">
        <v>0.15</v>
      </c>
      <c r="AR68" s="218">
        <v>0.15</v>
      </c>
      <c r="AS68" s="218">
        <v>0.15</v>
      </c>
      <c r="AT68" s="218">
        <v>0.15</v>
      </c>
      <c r="AU68" s="218">
        <v>0.15</v>
      </c>
      <c r="AV68" s="218">
        <v>0.15</v>
      </c>
    </row>
    <row r="69" spans="1:51" ht="13" x14ac:dyDescent="0.3">
      <c r="A69" s="1" t="s">
        <v>90</v>
      </c>
      <c r="B69" s="10">
        <v>3940</v>
      </c>
      <c r="C69" s="10">
        <v>4652</v>
      </c>
      <c r="D69" s="10">
        <v>5289</v>
      </c>
      <c r="E69" s="10">
        <v>6118</v>
      </c>
      <c r="F69" s="11"/>
      <c r="G69" s="10">
        <v>1702</v>
      </c>
      <c r="H69" s="10">
        <f>3599-G69</f>
        <v>1897</v>
      </c>
      <c r="I69" s="10">
        <f>5505-SUM(G69:H69)</f>
        <v>1906</v>
      </c>
      <c r="J69" s="10">
        <f>7502-SUM(G69:I69)</f>
        <v>1997</v>
      </c>
      <c r="K69" s="10"/>
      <c r="L69" s="11">
        <f t="shared" si="49"/>
        <v>7502</v>
      </c>
      <c r="M69" s="11"/>
      <c r="N69" s="10">
        <v>2192</v>
      </c>
      <c r="O69" s="10">
        <f>4730-N69</f>
        <v>2538</v>
      </c>
      <c r="P69" s="10">
        <f>7195-SUM(N69:O69)</f>
        <v>2465</v>
      </c>
      <c r="Q69" s="10">
        <f>9611-SUM(N69:P69)</f>
        <v>2416</v>
      </c>
      <c r="R69" s="11"/>
      <c r="S69" s="11">
        <f>+SUM(N69:Q69)</f>
        <v>9611</v>
      </c>
      <c r="T69" s="11"/>
      <c r="U69" s="130">
        <v>2507</v>
      </c>
      <c r="V69" s="130">
        <f>5335-U69</f>
        <v>2828</v>
      </c>
      <c r="W69" s="130">
        <f>8038-V69-U69</f>
        <v>2703</v>
      </c>
      <c r="X69" s="130">
        <f>10734-SUM(U69:W69)</f>
        <v>2696</v>
      </c>
      <c r="Y69" s="11"/>
      <c r="Z69" s="11">
        <f>SUM(U69:X69)</f>
        <v>10734</v>
      </c>
      <c r="AA69" s="11"/>
      <c r="AB69" s="130">
        <v>2832</v>
      </c>
      <c r="AC69" s="130">
        <f>5921-AB69</f>
        <v>3089</v>
      </c>
      <c r="AD69" s="130">
        <f>8901-SUM(AB69:AC69)</f>
        <v>2980</v>
      </c>
      <c r="AE69" s="130">
        <f>11974-SUM(AB69:AD69)</f>
        <v>3073</v>
      </c>
      <c r="AF69" s="11"/>
      <c r="AG69" s="11">
        <f>SUM(AB69:AE69)</f>
        <v>11974</v>
      </c>
      <c r="AH69" s="11"/>
      <c r="AI69" s="11">
        <f>AE69</f>
        <v>3073</v>
      </c>
      <c r="AJ69" s="11">
        <f>AI69</f>
        <v>3073</v>
      </c>
      <c r="AK69" s="11">
        <f t="shared" ref="AK69:AL69" si="52">AJ69</f>
        <v>3073</v>
      </c>
      <c r="AL69" s="11">
        <f t="shared" si="52"/>
        <v>3073</v>
      </c>
      <c r="AM69" s="11"/>
      <c r="AN69" s="11">
        <f t="shared" si="51"/>
        <v>12292</v>
      </c>
      <c r="AO69" s="11">
        <f>AN69</f>
        <v>12292</v>
      </c>
      <c r="AP69" s="11">
        <f>AO69</f>
        <v>12292</v>
      </c>
      <c r="AQ69" s="11"/>
      <c r="AR69" s="11"/>
      <c r="AS69" s="11"/>
      <c r="AT69" s="174"/>
      <c r="AU69" s="174"/>
    </row>
    <row r="70" spans="1:51" ht="13" x14ac:dyDescent="0.3">
      <c r="A70" s="1" t="s">
        <v>120</v>
      </c>
      <c r="B70" s="10">
        <v>-2212</v>
      </c>
      <c r="C70" s="10">
        <v>-792</v>
      </c>
      <c r="D70" s="10">
        <v>-219</v>
      </c>
      <c r="E70" s="10">
        <v>-1249</v>
      </c>
      <c r="F70" s="11"/>
      <c r="G70" s="10">
        <v>-364</v>
      </c>
      <c r="H70" s="10">
        <f>-671-G70</f>
        <v>-307</v>
      </c>
      <c r="I70" s="10">
        <f>-566-SUM(G70:H70)</f>
        <v>105</v>
      </c>
      <c r="J70" s="10">
        <f>-409-SUM(G70:I70)</f>
        <v>157</v>
      </c>
      <c r="K70" s="10"/>
      <c r="L70" s="11">
        <f t="shared" si="49"/>
        <v>-409</v>
      </c>
      <c r="M70" s="11"/>
      <c r="N70" s="10">
        <v>-22</v>
      </c>
      <c r="O70" s="10">
        <f>192-N70</f>
        <v>214</v>
      </c>
      <c r="P70" s="10">
        <f>152-SUM(N70:O70)</f>
        <v>-40</v>
      </c>
      <c r="Q70" s="10">
        <f>196-SUM(N70:P70)</f>
        <v>44</v>
      </c>
      <c r="R70" s="11"/>
      <c r="S70" s="11">
        <f>+SUM(N70:Q70)</f>
        <v>196</v>
      </c>
      <c r="T70" s="11"/>
      <c r="U70" s="130">
        <v>14</v>
      </c>
      <c r="V70" s="130">
        <f>212-U70</f>
        <v>198</v>
      </c>
      <c r="W70" s="130">
        <f>261-V70-U70</f>
        <v>49</v>
      </c>
      <c r="X70" s="130">
        <f>305-SUM(U70:W70)</f>
        <v>44</v>
      </c>
      <c r="Y70" s="11"/>
      <c r="Z70" s="11">
        <f>SUM(U70:X70)</f>
        <v>305</v>
      </c>
      <c r="AA70" s="11"/>
      <c r="AB70" s="130">
        <v>-125</v>
      </c>
      <c r="AC70" s="130">
        <f>851-AB70</f>
        <v>976</v>
      </c>
      <c r="AD70" s="130">
        <f>553-SUM(AB70:AC70)</f>
        <v>-298</v>
      </c>
      <c r="AE70" s="130">
        <f>609-SUM(AB70:AD70)</f>
        <v>56</v>
      </c>
      <c r="AF70" s="11"/>
      <c r="AG70" s="11">
        <f>SUM(AB70:AE70)</f>
        <v>609</v>
      </c>
      <c r="AH70" s="11"/>
      <c r="AI70" s="130">
        <v>0</v>
      </c>
      <c r="AJ70" s="130">
        <v>0</v>
      </c>
      <c r="AK70" s="130">
        <v>0</v>
      </c>
      <c r="AL70" s="130">
        <v>0</v>
      </c>
      <c r="AM70" s="11"/>
      <c r="AN70" s="11">
        <f t="shared" si="51"/>
        <v>0</v>
      </c>
      <c r="AO70" s="11">
        <v>0</v>
      </c>
      <c r="AP70" s="11">
        <v>0</v>
      </c>
      <c r="AQ70" s="11"/>
      <c r="AR70" s="11"/>
      <c r="AS70" s="11"/>
      <c r="AT70" s="174"/>
      <c r="AU70" s="174"/>
    </row>
    <row r="71" spans="1:51" ht="13" x14ac:dyDescent="0.3">
      <c r="A71" s="1" t="s">
        <v>98</v>
      </c>
      <c r="B71" s="10">
        <v>-5143</v>
      </c>
      <c r="C71" s="10">
        <v>-6463</v>
      </c>
      <c r="D71" s="10">
        <v>11</v>
      </c>
      <c r="E71" s="10">
        <v>-150</v>
      </c>
      <c r="F71" s="11"/>
      <c r="G71" s="10">
        <v>-5970</v>
      </c>
      <c r="H71" s="10">
        <f>-5787-G71</f>
        <v>183</v>
      </c>
      <c r="I71" s="10">
        <f>-5985-SUM(G71:H71)</f>
        <v>-198</v>
      </c>
      <c r="J71" s="10">
        <f>-5702-SUM(G71:I71)</f>
        <v>283</v>
      </c>
      <c r="K71" s="10"/>
      <c r="L71" s="11">
        <f t="shared" si="49"/>
        <v>-5702</v>
      </c>
      <c r="M71" s="11"/>
      <c r="N71" s="10">
        <v>-1191</v>
      </c>
      <c r="O71" s="10">
        <f>-2496-N71</f>
        <v>-1305</v>
      </c>
      <c r="P71" s="10">
        <f>-4171-SUM(N71:O71)</f>
        <v>-1675</v>
      </c>
      <c r="Q71" s="10">
        <f>-6059-SUM(N71:P71)</f>
        <v>-1888</v>
      </c>
      <c r="R71" s="11"/>
      <c r="S71" s="11">
        <f>+SUM(N71:Q71)</f>
        <v>-6059</v>
      </c>
      <c r="T71" s="11"/>
      <c r="U71" s="130">
        <v>-568</v>
      </c>
      <c r="V71" s="130">
        <f>-2270-U71</f>
        <v>-1702</v>
      </c>
      <c r="W71" s="130">
        <f>-3593-V71-U71</f>
        <v>-1323</v>
      </c>
      <c r="X71" s="130">
        <f>-4738-SUM(U71:W71)</f>
        <v>-1145</v>
      </c>
      <c r="Y71" s="11"/>
      <c r="Z71" s="11">
        <f>SUM(U71:X71)</f>
        <v>-4738</v>
      </c>
      <c r="AA71" s="11"/>
      <c r="AB71" s="130">
        <v>-1433</v>
      </c>
      <c r="AC71" s="130">
        <f>-2591-AB71</f>
        <v>-1158</v>
      </c>
      <c r="AD71" s="130">
        <f>-4835-SUM(AB71:AC71)</f>
        <v>-2244</v>
      </c>
      <c r="AE71" s="130">
        <f>-7056-SUM(AB71:AD71)</f>
        <v>-2221</v>
      </c>
      <c r="AF71" s="11"/>
      <c r="AG71" s="11">
        <f>SUM(AB71:AE71)</f>
        <v>-7056</v>
      </c>
      <c r="AH71" s="11"/>
      <c r="AI71" s="11">
        <f>AE71</f>
        <v>-2221</v>
      </c>
      <c r="AJ71" s="11">
        <f>AI71</f>
        <v>-2221</v>
      </c>
      <c r="AK71" s="11">
        <f t="shared" ref="AK71:AL71" si="53">AJ71</f>
        <v>-2221</v>
      </c>
      <c r="AL71" s="11">
        <f t="shared" si="53"/>
        <v>-2221</v>
      </c>
      <c r="AM71" s="11"/>
      <c r="AN71" s="11">
        <f t="shared" si="51"/>
        <v>-8884</v>
      </c>
      <c r="AO71" s="11">
        <f>AN71</f>
        <v>-8884</v>
      </c>
      <c r="AP71" s="11">
        <f>AO71</f>
        <v>-8884</v>
      </c>
      <c r="AQ71" s="11"/>
      <c r="AR71" s="11"/>
      <c r="AS71" s="11"/>
      <c r="AT71" s="174"/>
      <c r="AU71" s="174"/>
    </row>
    <row r="72" spans="1:51" ht="14.5" x14ac:dyDescent="0.45">
      <c r="A72" s="1" t="s">
        <v>78</v>
      </c>
      <c r="B72" s="135">
        <f>-3862-465-952-285+1148+5922+18183+798-20</f>
        <v>20467</v>
      </c>
      <c r="C72" s="135">
        <f>-2812+597-1718-1834+232+4462+2929+1419+591</f>
        <v>3866</v>
      </c>
      <c r="D72" s="135">
        <f>-2577+168-2330-1037+3018+2212-3631+1346+1348</f>
        <v>-1483</v>
      </c>
      <c r="E72" s="135">
        <f>-6481-737-932-3459+2798+4633-2309+4149+1402</f>
        <v>-936</v>
      </c>
      <c r="F72" s="11"/>
      <c r="G72" s="135">
        <f>10486-777+940-598-471-2885+2653-4143+250</f>
        <v>5455</v>
      </c>
      <c r="H72" s="135">
        <f>4943-383+1770-1506-236-7228+596-2398+343-G72</f>
        <v>-9554</v>
      </c>
      <c r="I72" s="135">
        <f>5800-662+1861-2230+284-7437+1687-1111+781-SUM(G72:H72)</f>
        <v>3072</v>
      </c>
      <c r="J72" s="135">
        <f>-6834-1123-709-2805+2943+5109+696+2344+825-SUM(G72:I72)</f>
        <v>1473</v>
      </c>
      <c r="K72" s="10"/>
      <c r="L72" s="138">
        <f t="shared" si="49"/>
        <v>446</v>
      </c>
      <c r="M72" s="138"/>
      <c r="N72" s="135">
        <f>11729-543-332-666-1567-3322+410-4024+188</f>
        <v>1873</v>
      </c>
      <c r="O72" s="135">
        <f>8565+762-724-731-3625-8508-2453-2205+445-N72</f>
        <v>-10347</v>
      </c>
      <c r="P72" s="135">
        <f>7157+868+428-1285-4032-8689-1039-490+451-SUM(N72:O72)</f>
        <v>1843</v>
      </c>
      <c r="Q72" s="135">
        <f>SUM(-4087,1242,-1991,-2833,-2721,5535,-358,2272,553)-SUM(N72:P72)</f>
        <v>4243</v>
      </c>
      <c r="R72" s="138"/>
      <c r="S72" s="138">
        <f>+SUM(N72:Q72)</f>
        <v>-2388</v>
      </c>
      <c r="T72" s="138"/>
      <c r="U72" s="193">
        <f>11034-505-796-2013+1214-4126+1425-4106+291</f>
        <v>2418</v>
      </c>
      <c r="V72" s="193">
        <f>8083+969-71-3440-1307-9664-129-2588+265-U72</f>
        <v>-10300</v>
      </c>
      <c r="W72" s="193">
        <f>6055+1229+880-5577-659-10309+2493+215+313-V72-U72</f>
        <v>2522</v>
      </c>
      <c r="X72" s="193">
        <f>SUM(-7191,1284,-1648,-6817,3545,5348,1687,4867,749)-SUM(U72:W72)</f>
        <v>7184</v>
      </c>
      <c r="Y72" s="138"/>
      <c r="Z72" s="138">
        <f>SUM(U72:X72)</f>
        <v>1824</v>
      </c>
      <c r="AA72" s="138"/>
      <c r="AB72" s="193">
        <f>SUM(14037,-373,-82,-1761,-916,-5553,1016,-5479,-33)</f>
        <v>856</v>
      </c>
      <c r="AC72" s="193">
        <f>SUM(8059,338,-435,-2850,42,-11891,-2379,-2262,683)-AB72</f>
        <v>-11551</v>
      </c>
      <c r="AD72" s="193">
        <f>(5598+390+642+-3368+1221+-12923+-1081+576+292)-SUM(AB72:AC72)</f>
        <v>2042</v>
      </c>
      <c r="AE72" s="193">
        <f>(-10581+309+-3044+-2950+569+5438+-38+5922+-975)-SUM(AB72:AD72)</f>
        <v>3303</v>
      </c>
      <c r="AF72" s="138"/>
      <c r="AG72" s="138">
        <f>SUM(AB72:AE72)</f>
        <v>-5350</v>
      </c>
      <c r="AH72" s="138"/>
      <c r="AI72" s="138">
        <f>'Working Capital Calculations'!V39</f>
        <v>2343.94962759997</v>
      </c>
      <c r="AJ72" s="138">
        <f>'Working Capital Calculations'!W39</f>
        <v>1787.4111912000335</v>
      </c>
      <c r="AK72" s="138">
        <f>'Working Capital Calculations'!X39</f>
        <v>265.84999910999977</v>
      </c>
      <c r="AL72" s="138">
        <f>'Working Capital Calculations'!Y39</f>
        <v>-3471.2794443500497</v>
      </c>
      <c r="AM72" s="138"/>
      <c r="AN72" s="138">
        <f t="shared" si="51"/>
        <v>925.9313735599535</v>
      </c>
      <c r="AO72" s="138">
        <f>'Working Capital Calculations'!AA39</f>
        <v>4089.8605236079711</v>
      </c>
      <c r="AP72" s="138">
        <f>'Working Capital Calculations'!AB39</f>
        <v>4781.5824028439238</v>
      </c>
      <c r="AQ72" s="138"/>
      <c r="AR72" s="138"/>
      <c r="AS72" s="138"/>
      <c r="AT72" s="174"/>
      <c r="AU72" s="174"/>
    </row>
    <row r="73" spans="1:51" ht="13" x14ac:dyDescent="0.3">
      <c r="A73" s="1" t="s">
        <v>53</v>
      </c>
      <c r="B73" s="11">
        <f>SUM(B67:B72)</f>
        <v>43884</v>
      </c>
      <c r="C73" s="11">
        <f>SUM(C67:C72)</f>
        <v>52185</v>
      </c>
      <c r="D73" s="11">
        <f>SUM(D67:D72)</f>
        <v>60675</v>
      </c>
      <c r="E73" s="11">
        <f>SUM(E67:E72)</f>
        <v>76740</v>
      </c>
      <c r="F73" s="11"/>
      <c r="G73" s="11">
        <f>SUM(G67:G72)</f>
        <v>24540</v>
      </c>
      <c r="H73" s="11">
        <f>SUM(H67:H72)</f>
        <v>14480</v>
      </c>
      <c r="I73" s="11">
        <f>SUM(I67:I72)</f>
        <v>25386</v>
      </c>
      <c r="J73" s="11">
        <f>SUM(J67:J72)</f>
        <v>24629</v>
      </c>
      <c r="K73" s="10"/>
      <c r="L73" s="11">
        <f>SUM(L67:L72)</f>
        <v>89035</v>
      </c>
      <c r="M73" s="11"/>
      <c r="N73" s="11">
        <f>SUM(N67:N72)</f>
        <v>23198</v>
      </c>
      <c r="O73" s="11">
        <f>SUM(O67:O72)</f>
        <v>11173</v>
      </c>
      <c r="P73" s="11">
        <f>SUM(P67:P72)</f>
        <v>24441</v>
      </c>
      <c r="Q73" s="11">
        <f>SUM(Q67:Q72)</f>
        <v>28770</v>
      </c>
      <c r="R73" s="11"/>
      <c r="S73" s="11">
        <f>SUM(S67:S72)</f>
        <v>87582</v>
      </c>
      <c r="T73" s="11"/>
      <c r="U73" s="11">
        <f>SUM(U67:U72)</f>
        <v>30583</v>
      </c>
      <c r="V73" s="11">
        <f>SUM(V67:V72)</f>
        <v>18853</v>
      </c>
      <c r="W73" s="11">
        <f>SUM(W67:W72)</f>
        <v>31917</v>
      </c>
      <c r="X73" s="11">
        <f>SUM(X67:X72)</f>
        <v>37195</v>
      </c>
      <c r="Y73" s="11"/>
      <c r="Z73" s="11">
        <f>SUM(Z67:Z72)</f>
        <v>118548</v>
      </c>
      <c r="AA73" s="11"/>
      <c r="AB73" s="11">
        <f>SUM(AB67:AB72)</f>
        <v>34180</v>
      </c>
      <c r="AC73" s="11">
        <f>SUM(AC67:AC72)</f>
        <v>22291</v>
      </c>
      <c r="AD73" s="11">
        <f>SUM(AD67:AD72)</f>
        <v>37044</v>
      </c>
      <c r="AE73" s="11">
        <f>SUM(AE67:AE72)</f>
        <v>42647</v>
      </c>
      <c r="AF73" s="11"/>
      <c r="AG73" s="11">
        <f>SUM(AG67:AG72)</f>
        <v>136162</v>
      </c>
      <c r="AH73" s="11"/>
      <c r="AI73" s="11">
        <f t="shared" ref="AI73:AL73" si="54">SUM(AI67:AI72)</f>
        <v>41991.361070281593</v>
      </c>
      <c r="AJ73" s="11">
        <f t="shared" si="54"/>
        <v>43354.71587763165</v>
      </c>
      <c r="AK73" s="11">
        <f t="shared" si="54"/>
        <v>41641.738400391623</v>
      </c>
      <c r="AL73" s="11">
        <f t="shared" si="54"/>
        <v>41256.878374081571</v>
      </c>
      <c r="AM73" s="11"/>
      <c r="AN73" s="11">
        <f>SUM(AN67:AN72)</f>
        <v>168244.69372238641</v>
      </c>
      <c r="AO73" s="11">
        <f>SUM(AO67:AO72)</f>
        <v>186508.61691689579</v>
      </c>
      <c r="AP73" s="11">
        <f>SUM(AP67:AP72)</f>
        <v>211667.71378973834</v>
      </c>
      <c r="AQ73" s="11"/>
      <c r="AR73" s="11"/>
      <c r="AS73" s="11"/>
      <c r="AT73" s="174"/>
      <c r="AU73" s="174"/>
    </row>
    <row r="74" spans="1:51" ht="13" x14ac:dyDescent="0.3">
      <c r="A74" s="1"/>
      <c r="B74" s="131"/>
      <c r="C74" s="131"/>
      <c r="D74" s="131"/>
      <c r="E74" s="131"/>
      <c r="F74" s="125"/>
      <c r="G74" s="131"/>
      <c r="H74" s="131"/>
      <c r="I74" s="172"/>
      <c r="J74" s="131"/>
      <c r="K74" s="10"/>
      <c r="L74" s="107"/>
      <c r="M74" s="107"/>
      <c r="N74" s="131"/>
      <c r="O74" s="173"/>
      <c r="P74" s="172"/>
      <c r="Q74" s="107"/>
      <c r="R74" s="107"/>
      <c r="S74" s="11"/>
      <c r="T74" s="107"/>
      <c r="U74" s="11"/>
      <c r="V74" s="11"/>
      <c r="W74" s="11"/>
      <c r="X74" s="11"/>
      <c r="Y74" s="107"/>
      <c r="Z74" s="11"/>
      <c r="AA74" s="107"/>
      <c r="AB74" s="11"/>
      <c r="AC74" s="11"/>
      <c r="AD74" s="11"/>
      <c r="AE74" s="11"/>
      <c r="AF74" s="107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74"/>
      <c r="AU74" s="174"/>
    </row>
    <row r="75" spans="1:51" ht="13" x14ac:dyDescent="0.3">
      <c r="A75" s="1" t="s">
        <v>54</v>
      </c>
      <c r="B75" s="10">
        <v>-11632</v>
      </c>
      <c r="C75" s="10">
        <v>-13925</v>
      </c>
      <c r="D75" s="10">
        <v>-15441</v>
      </c>
      <c r="E75" s="10">
        <v>-20622</v>
      </c>
      <c r="F75" s="131"/>
      <c r="G75" s="10">
        <v>-5810</v>
      </c>
      <c r="H75" s="10">
        <f>-11675-G75</f>
        <v>-5865</v>
      </c>
      <c r="I75" s="10">
        <f>-17015-SUM(G75:H75)</f>
        <v>-5340</v>
      </c>
      <c r="J75" s="10">
        <f>-23886-SUM(G75:I75)</f>
        <v>-6871</v>
      </c>
      <c r="K75" s="10"/>
      <c r="L75" s="11">
        <f t="shared" ref="L75:L84" si="55">+SUM(G75:J75)</f>
        <v>-23886</v>
      </c>
      <c r="M75" s="11"/>
      <c r="N75" s="10">
        <v>-6283</v>
      </c>
      <c r="O75" s="10">
        <f>-12557-N75</f>
        <v>-6274</v>
      </c>
      <c r="P75" s="10">
        <f>-19164-SUM(N75:O75)</f>
        <v>-6607</v>
      </c>
      <c r="Q75" s="130">
        <f>-28107-SUM(N75:P75)</f>
        <v>-8943</v>
      </c>
      <c r="R75" s="11"/>
      <c r="S75" s="11">
        <f t="shared" ref="S75:S84" si="56">+SUM(N75:Q75)</f>
        <v>-28107</v>
      </c>
      <c r="T75" s="11"/>
      <c r="U75" s="130">
        <v>-9917</v>
      </c>
      <c r="V75" s="130">
        <f>-19652-U75</f>
        <v>-9735</v>
      </c>
      <c r="W75" s="130">
        <f>-30604-V75-U75</f>
        <v>-10952</v>
      </c>
      <c r="X75" s="130">
        <f>-44477-SUM(U75:W75)</f>
        <v>-13873</v>
      </c>
      <c r="Y75" s="11"/>
      <c r="Z75" s="11">
        <f t="shared" ref="Z75:Z84" si="57">SUM(U75:X75)</f>
        <v>-44477</v>
      </c>
      <c r="AA75" s="11"/>
      <c r="AB75" s="130">
        <v>-14923</v>
      </c>
      <c r="AC75" s="130">
        <f>-30727-AB75</f>
        <v>-15804</v>
      </c>
      <c r="AD75" s="130">
        <f>-47472-SUM(AB75:AC75)</f>
        <v>-16745</v>
      </c>
      <c r="AE75" s="130">
        <f>-64551-SUM(AB75:AD75)</f>
        <v>-17079</v>
      </c>
      <c r="AF75" s="11"/>
      <c r="AG75" s="11">
        <f>SUM(AB75:AE75)</f>
        <v>-64551</v>
      </c>
      <c r="AH75" s="11"/>
      <c r="AI75" s="11">
        <f>+AI$41*-AQ75</f>
        <v>-17532.107759999999</v>
      </c>
      <c r="AJ75" s="11">
        <f t="shared" ref="AJ75:AL75" si="58">+AJ$41*-AR75</f>
        <v>-18807.74325</v>
      </c>
      <c r="AK75" s="11">
        <f t="shared" si="58"/>
        <v>-19224.27864</v>
      </c>
      <c r="AL75" s="11">
        <f t="shared" si="58"/>
        <v>-21178.14</v>
      </c>
      <c r="AM75" s="11"/>
      <c r="AN75" s="11">
        <f t="shared" ref="AN75:AN84" si="59">SUM(AI75:AL75)</f>
        <v>-76742.269650000002</v>
      </c>
      <c r="AO75" s="11">
        <f>+AO$41*-AU75</f>
        <v>-80907.901154999985</v>
      </c>
      <c r="AP75" s="11">
        <f>+AP$41*-AV75</f>
        <v>-84874.317102225003</v>
      </c>
      <c r="AQ75" s="218">
        <v>0.23200000000000001</v>
      </c>
      <c r="AR75" s="218">
        <v>0.23499999999999999</v>
      </c>
      <c r="AS75" s="218">
        <v>0.23799999999999999</v>
      </c>
      <c r="AT75" s="218">
        <v>0.24</v>
      </c>
      <c r="AU75" s="218">
        <v>0.22500000000000001</v>
      </c>
      <c r="AV75" s="218">
        <v>0.21</v>
      </c>
    </row>
    <row r="76" spans="1:51" ht="13" x14ac:dyDescent="0.3">
      <c r="A76" s="1" t="s">
        <v>79</v>
      </c>
      <c r="B76" s="10">
        <v>-888</v>
      </c>
      <c r="C76" s="10">
        <v>-2388</v>
      </c>
      <c r="D76" s="10">
        <f>-2521</f>
        <v>-2521</v>
      </c>
      <c r="E76" s="10">
        <v>-8909</v>
      </c>
      <c r="F76" s="11"/>
      <c r="G76" s="10">
        <v>-1206</v>
      </c>
      <c r="H76" s="10">
        <f>-2056-G76</f>
        <v>-850</v>
      </c>
      <c r="I76" s="10">
        <f>-20775-SUM(G76:H76)</f>
        <v>-18719</v>
      </c>
      <c r="J76" s="10">
        <f>-22038-SUM(G76:I76)</f>
        <v>-1263</v>
      </c>
      <c r="K76" s="10"/>
      <c r="L76" s="11">
        <f t="shared" si="55"/>
        <v>-22038</v>
      </c>
      <c r="M76" s="11"/>
      <c r="N76" s="10">
        <v>-349</v>
      </c>
      <c r="O76" s="10">
        <f>-1028-N76</f>
        <v>-679</v>
      </c>
      <c r="P76" s="10">
        <f>-1329-SUM(N76:O76)</f>
        <v>-301</v>
      </c>
      <c r="Q76" s="10">
        <f>-1670-SUM(N76:P76)</f>
        <v>-341</v>
      </c>
      <c r="R76" s="11"/>
      <c r="S76" s="11">
        <f t="shared" si="56"/>
        <v>-1670</v>
      </c>
      <c r="T76" s="11"/>
      <c r="U76" s="10">
        <v>-1186</v>
      </c>
      <c r="V76" s="10">
        <f>-66215-U76</f>
        <v>-65029</v>
      </c>
      <c r="W76" s="10">
        <f>-67790-V76-U76</f>
        <v>-1575</v>
      </c>
      <c r="X76" s="10">
        <f>-69132-SUM(U76:W76)</f>
        <v>-1342</v>
      </c>
      <c r="Y76" s="11"/>
      <c r="Z76" s="11">
        <f t="shared" si="57"/>
        <v>-69132</v>
      </c>
      <c r="AA76" s="11"/>
      <c r="AB76" s="10">
        <v>-1849</v>
      </c>
      <c r="AC76" s="10">
        <f>-3254-AB76</f>
        <v>-1405</v>
      </c>
      <c r="AD76" s="130">
        <f>-4235-SUM(AB76:AC76)</f>
        <v>-981</v>
      </c>
      <c r="AE76" s="130">
        <f>-5978-SUM(AB76:AD76)</f>
        <v>-1743</v>
      </c>
      <c r="AF76" s="11"/>
      <c r="AG76" s="11">
        <f t="shared" ref="AG76:AG78" si="60">SUM(AB76:AE76)</f>
        <v>-5978</v>
      </c>
      <c r="AH76" s="11"/>
      <c r="AI76" s="130">
        <v>0</v>
      </c>
      <c r="AJ76" s="130">
        <v>0</v>
      </c>
      <c r="AK76" s="130">
        <v>0</v>
      </c>
      <c r="AL76" s="130">
        <v>0</v>
      </c>
      <c r="AM76" s="11"/>
      <c r="AN76" s="11">
        <f t="shared" si="59"/>
        <v>0</v>
      </c>
      <c r="AO76" s="11">
        <v>0</v>
      </c>
      <c r="AP76" s="11">
        <v>0</v>
      </c>
      <c r="AQ76" s="11"/>
      <c r="AR76" s="11"/>
      <c r="AS76" s="11"/>
      <c r="AT76" s="174"/>
      <c r="AU76" s="174"/>
    </row>
    <row r="77" spans="1:51" ht="13" x14ac:dyDescent="0.3">
      <c r="A77" s="1" t="s">
        <v>121</v>
      </c>
      <c r="B77" s="10">
        <f>-137380+26360+117577</f>
        <v>6557</v>
      </c>
      <c r="C77" s="10">
        <f>-57697+20043+38194</f>
        <v>540</v>
      </c>
      <c r="D77" s="10">
        <f>-77190+66449+17721</f>
        <v>6980</v>
      </c>
      <c r="E77" s="10">
        <f>-62924+51792+14008</f>
        <v>2876</v>
      </c>
      <c r="F77" s="11"/>
      <c r="G77" s="10">
        <f>-10309+8862+5630</f>
        <v>4183</v>
      </c>
      <c r="H77" s="10">
        <f>-12814+14115+8525-G77</f>
        <v>5643</v>
      </c>
      <c r="I77" s="10">
        <f>-21537+15214+25218-SUM(G77:H77)</f>
        <v>9069</v>
      </c>
      <c r="J77" s="10">
        <f>-26456+16451+28443-SUM(G77:I77)</f>
        <v>-457</v>
      </c>
      <c r="K77" s="10"/>
      <c r="L77" s="11">
        <f t="shared" si="55"/>
        <v>18438</v>
      </c>
      <c r="M77" s="11"/>
      <c r="N77" s="10">
        <f>-5013+6662+2711</f>
        <v>4360</v>
      </c>
      <c r="O77" s="10">
        <f>-16612+13590+7486-N77</f>
        <v>104</v>
      </c>
      <c r="P77" s="10">
        <f>-25675+26744+8725-SUM(N77:O77)</f>
        <v>5330</v>
      </c>
      <c r="Q77" s="10">
        <f>SUM(-37651,33510,14354)-SUM(N77:P77)</f>
        <v>419</v>
      </c>
      <c r="R77" s="11"/>
      <c r="S77" s="11">
        <f t="shared" si="56"/>
        <v>10213</v>
      </c>
      <c r="T77" s="11"/>
      <c r="U77" s="10">
        <f>-8460+15718+5330</f>
        <v>12588</v>
      </c>
      <c r="V77" s="10">
        <f>-12718+19868+6930-U77</f>
        <v>1492</v>
      </c>
      <c r="W77" s="10">
        <f>-14901+23218+8871-V77-U77</f>
        <v>3108</v>
      </c>
      <c r="X77" s="10">
        <f>SUM(-17732,24775,10894)-SUM(U77:W77)</f>
        <v>749</v>
      </c>
      <c r="Y77" s="11"/>
      <c r="Z77" s="11">
        <f t="shared" si="57"/>
        <v>17937</v>
      </c>
      <c r="AA77" s="11"/>
      <c r="AB77" s="10">
        <f>-1620+2136+1968-913</f>
        <v>1571</v>
      </c>
      <c r="AC77" s="10">
        <f>-3670+4740+4527-929-AB77</f>
        <v>3097</v>
      </c>
      <c r="AD77" s="130">
        <f>(-8144+6688+11461)-SUM(AB77:AC77)</f>
        <v>5337</v>
      </c>
      <c r="AE77" s="130">
        <f>(-29775+16079+9309)-SUM(AB77:AD77)</f>
        <v>-14392</v>
      </c>
      <c r="AF77" s="11"/>
      <c r="AG77" s="11">
        <f t="shared" si="60"/>
        <v>-4387</v>
      </c>
      <c r="AH77" s="11"/>
      <c r="AI77" s="130">
        <v>0</v>
      </c>
      <c r="AJ77" s="130">
        <v>0</v>
      </c>
      <c r="AK77" s="130">
        <v>0</v>
      </c>
      <c r="AL77" s="130">
        <v>0</v>
      </c>
      <c r="AM77" s="11"/>
      <c r="AN77" s="11">
        <f t="shared" si="59"/>
        <v>0</v>
      </c>
      <c r="AO77" s="11">
        <v>0</v>
      </c>
      <c r="AP77" s="11">
        <v>0</v>
      </c>
      <c r="AQ77" s="11"/>
      <c r="AR77" s="125"/>
      <c r="AS77" s="11"/>
      <c r="AT77" s="174"/>
      <c r="AU77" s="174"/>
    </row>
    <row r="78" spans="1:51" ht="13" x14ac:dyDescent="0.3">
      <c r="A78" s="1" t="s">
        <v>124</v>
      </c>
      <c r="B78" s="10">
        <v>0</v>
      </c>
      <c r="C78" s="10">
        <v>0</v>
      </c>
      <c r="D78" s="10">
        <v>-3417</v>
      </c>
      <c r="E78" s="10">
        <v>-1754</v>
      </c>
      <c r="F78" s="11"/>
      <c r="G78" s="10">
        <v>0</v>
      </c>
      <c r="H78" s="10">
        <v>0</v>
      </c>
      <c r="I78" s="10">
        <v>0</v>
      </c>
      <c r="J78" s="10">
        <v>0</v>
      </c>
      <c r="K78" s="10"/>
      <c r="L78" s="11">
        <f t="shared" si="55"/>
        <v>0</v>
      </c>
      <c r="M78" s="11"/>
      <c r="N78" s="10">
        <v>0</v>
      </c>
      <c r="O78" s="10">
        <v>0</v>
      </c>
      <c r="P78" s="10">
        <v>0</v>
      </c>
      <c r="Q78" s="10">
        <v>0</v>
      </c>
      <c r="R78" s="11"/>
      <c r="S78" s="11">
        <f t="shared" si="56"/>
        <v>0</v>
      </c>
      <c r="T78" s="11"/>
      <c r="U78" s="10">
        <v>0</v>
      </c>
      <c r="V78" s="10">
        <v>0</v>
      </c>
      <c r="W78" s="10">
        <v>0</v>
      </c>
      <c r="X78" s="10">
        <v>0</v>
      </c>
      <c r="Y78" s="11"/>
      <c r="Z78" s="11">
        <f t="shared" si="57"/>
        <v>0</v>
      </c>
      <c r="AA78" s="11"/>
      <c r="AB78" s="10">
        <v>0</v>
      </c>
      <c r="AC78" s="10">
        <v>0</v>
      </c>
      <c r="AD78" s="130">
        <v>0</v>
      </c>
      <c r="AE78" s="130">
        <v>0</v>
      </c>
      <c r="AF78" s="11"/>
      <c r="AG78" s="11">
        <f t="shared" si="60"/>
        <v>0</v>
      </c>
      <c r="AH78" s="11"/>
      <c r="AI78" s="130">
        <v>0</v>
      </c>
      <c r="AJ78" s="130">
        <v>0</v>
      </c>
      <c r="AK78" s="130">
        <v>0</v>
      </c>
      <c r="AL78" s="130">
        <v>0</v>
      </c>
      <c r="AM78" s="11"/>
      <c r="AN78" s="11">
        <f t="shared" si="59"/>
        <v>0</v>
      </c>
      <c r="AO78" s="11">
        <v>0</v>
      </c>
      <c r="AP78" s="11">
        <v>0</v>
      </c>
      <c r="AQ78" s="11"/>
      <c r="AR78" s="125"/>
      <c r="AS78" s="11"/>
      <c r="AT78" s="174"/>
      <c r="AU78" s="174"/>
    </row>
    <row r="79" spans="1:51" ht="13" x14ac:dyDescent="0.3">
      <c r="A79" s="1" t="s">
        <v>80</v>
      </c>
      <c r="B79" s="10">
        <v>7183</v>
      </c>
      <c r="C79" s="10">
        <v>0</v>
      </c>
      <c r="D79" s="10">
        <v>0</v>
      </c>
      <c r="E79" s="10">
        <v>0</v>
      </c>
      <c r="F79" s="11"/>
      <c r="G79" s="10">
        <v>0</v>
      </c>
      <c r="H79" s="10">
        <v>0</v>
      </c>
      <c r="I79" s="10">
        <v>0</v>
      </c>
      <c r="J79" s="10">
        <v>0</v>
      </c>
      <c r="K79" s="10"/>
      <c r="L79" s="11">
        <f t="shared" si="55"/>
        <v>0</v>
      </c>
      <c r="M79" s="11"/>
      <c r="N79" s="10">
        <v>0</v>
      </c>
      <c r="O79" s="10">
        <v>0</v>
      </c>
      <c r="P79" s="10">
        <v>0</v>
      </c>
      <c r="Q79" s="10">
        <v>0</v>
      </c>
      <c r="R79" s="11"/>
      <c r="S79" s="11">
        <f t="shared" si="56"/>
        <v>0</v>
      </c>
      <c r="T79" s="11"/>
      <c r="U79" s="10">
        <f>18692+7073</f>
        <v>25765</v>
      </c>
      <c r="V79" s="10">
        <f>17846+10202-U79</f>
        <v>2283</v>
      </c>
      <c r="W79" s="10">
        <f>24198+6392-V79-U79</f>
        <v>2542</v>
      </c>
      <c r="X79" s="10">
        <f>24395+5250-SUM(U79:W79)</f>
        <v>-945</v>
      </c>
      <c r="Y79" s="11"/>
      <c r="Z79" s="11">
        <f t="shared" si="57"/>
        <v>29645</v>
      </c>
      <c r="AA79" s="11"/>
      <c r="AB79" s="10">
        <v>0</v>
      </c>
      <c r="AC79" s="10">
        <v>0</v>
      </c>
      <c r="AD79" s="130">
        <v>0</v>
      </c>
      <c r="AE79" s="130">
        <v>0</v>
      </c>
      <c r="AF79" s="11"/>
      <c r="AG79" s="11">
        <f t="shared" ref="AG79:AG84" si="61">SUM(AB79:AE79)</f>
        <v>0</v>
      </c>
      <c r="AH79" s="11"/>
      <c r="AI79" s="130">
        <v>0</v>
      </c>
      <c r="AJ79" s="130">
        <v>0</v>
      </c>
      <c r="AK79" s="130">
        <v>0</v>
      </c>
      <c r="AL79" s="130">
        <v>0</v>
      </c>
      <c r="AM79" s="11"/>
      <c r="AN79" s="11">
        <f t="shared" si="59"/>
        <v>0</v>
      </c>
      <c r="AO79" s="11">
        <v>0</v>
      </c>
      <c r="AP79" s="11">
        <v>0</v>
      </c>
      <c r="AQ79" s="11"/>
      <c r="AR79" s="11"/>
      <c r="AS79" s="11"/>
      <c r="AT79" s="130"/>
      <c r="AU79" s="174"/>
      <c r="AV79" s="174"/>
      <c r="AW79" s="174"/>
    </row>
    <row r="80" spans="1:51" ht="13" x14ac:dyDescent="0.3">
      <c r="A80" s="1" t="s">
        <v>81</v>
      </c>
      <c r="B80" s="10">
        <f>-7324-10060</f>
        <v>-17384</v>
      </c>
      <c r="C80" s="10">
        <v>-4000</v>
      </c>
      <c r="D80" s="10">
        <v>-5518</v>
      </c>
      <c r="E80" s="10">
        <v>-3750</v>
      </c>
      <c r="F80" s="11"/>
      <c r="G80" s="10">
        <v>-4826</v>
      </c>
      <c r="H80" s="10">
        <f>-4826-G80</f>
        <v>0</v>
      </c>
      <c r="I80" s="10">
        <f>-9023-SUM(G80:H80)</f>
        <v>-4197</v>
      </c>
      <c r="J80" s="10">
        <f>-9023-SUM(G80:I80)</f>
        <v>0</v>
      </c>
      <c r="K80" s="10"/>
      <c r="L80" s="11">
        <f t="shared" si="55"/>
        <v>-9023</v>
      </c>
      <c r="M80" s="11"/>
      <c r="N80" s="10">
        <v>-1000</v>
      </c>
      <c r="O80" s="10">
        <f>-1750-N80</f>
        <v>-750</v>
      </c>
      <c r="P80" s="10">
        <f>-1750-SUM(N80:O80)</f>
        <v>0</v>
      </c>
      <c r="Q80" s="10">
        <f>-2750-SUM(N80:P80)</f>
        <v>-1000</v>
      </c>
      <c r="R80" s="11"/>
      <c r="S80" s="11">
        <f t="shared" si="56"/>
        <v>-2750</v>
      </c>
      <c r="T80" s="11"/>
      <c r="U80" s="10">
        <v>-1500</v>
      </c>
      <c r="V80" s="10">
        <f>-4416-U80</f>
        <v>-2916</v>
      </c>
      <c r="W80" s="10">
        <f>-16005-V80-U80</f>
        <v>-11589</v>
      </c>
      <c r="X80" s="10">
        <f>-29070-SUM(U80:W80)</f>
        <v>-13065</v>
      </c>
      <c r="Y80" s="11"/>
      <c r="Z80" s="11">
        <f t="shared" si="57"/>
        <v>-29070</v>
      </c>
      <c r="AA80" s="11"/>
      <c r="AB80" s="10">
        <f>-966-5746</f>
        <v>-6712</v>
      </c>
      <c r="AC80" s="10">
        <f>-5746-966-AB80</f>
        <v>0</v>
      </c>
      <c r="AD80" s="130">
        <f>(-5746+-3216)-SUM(AB80:AC80)</f>
        <v>-2250</v>
      </c>
      <c r="AE80" s="130">
        <f>(-5746+-3216)-SUM(AB80:AD80)</f>
        <v>0</v>
      </c>
      <c r="AF80" s="11"/>
      <c r="AG80" s="11">
        <f t="shared" si="61"/>
        <v>-8962</v>
      </c>
      <c r="AH80" s="11"/>
      <c r="AI80" s="130">
        <v>0</v>
      </c>
      <c r="AJ80" s="11">
        <f>-'Investment Memo'!B69</f>
        <v>-3000</v>
      </c>
      <c r="AK80" s="130">
        <v>0</v>
      </c>
      <c r="AL80" s="130">
        <v>0</v>
      </c>
      <c r="AM80" s="11"/>
      <c r="AN80" s="11">
        <f t="shared" si="59"/>
        <v>-3000</v>
      </c>
      <c r="AO80" s="11">
        <f>-'Investment Memo'!B45-'Investment Memo'!B49-'Investment Memo'!B50-'Investment Memo'!B73-'Investment Memo'!B77-'Investment Memo'!B78-'Investment Memo'!B82-'Investment Memo'!B83</f>
        <v>-9249.94</v>
      </c>
      <c r="AP80" s="11">
        <f>-'Investment Memo'!B64</f>
        <v>-1999.03</v>
      </c>
      <c r="AQ80" s="11"/>
      <c r="AR80" s="11"/>
      <c r="AS80" s="11"/>
      <c r="AT80" s="130"/>
      <c r="AU80" s="174"/>
      <c r="AV80" s="174"/>
      <c r="AW80" s="174"/>
      <c r="AY80" s="48"/>
    </row>
    <row r="81" spans="1:49" ht="13" x14ac:dyDescent="0.3">
      <c r="A81" s="1" t="s">
        <v>99</v>
      </c>
      <c r="B81" s="10">
        <v>1002</v>
      </c>
      <c r="C81" s="10">
        <v>1142</v>
      </c>
      <c r="D81" s="10">
        <v>1343</v>
      </c>
      <c r="E81" s="10">
        <v>1693</v>
      </c>
      <c r="F81" s="11"/>
      <c r="G81" s="10">
        <v>612</v>
      </c>
      <c r="H81" s="10">
        <f>903-G81</f>
        <v>291</v>
      </c>
      <c r="I81" s="10">
        <f>1380-SUM(G81:H81)</f>
        <v>477</v>
      </c>
      <c r="J81" s="10">
        <f>1841-SUM(G81:I81)</f>
        <v>461</v>
      </c>
      <c r="K81" s="10"/>
      <c r="L81" s="11">
        <f t="shared" si="55"/>
        <v>1841</v>
      </c>
      <c r="M81" s="11"/>
      <c r="N81" s="10">
        <v>575</v>
      </c>
      <c r="O81" s="10">
        <f>818-N81</f>
        <v>243</v>
      </c>
      <c r="P81" s="10">
        <f>1354-SUM(N81:O81)</f>
        <v>536</v>
      </c>
      <c r="Q81" s="10">
        <f>1866-SUM(N81:P81)</f>
        <v>512</v>
      </c>
      <c r="R81" s="11"/>
      <c r="S81" s="11">
        <f t="shared" si="56"/>
        <v>1866</v>
      </c>
      <c r="T81" s="11"/>
      <c r="U81" s="10">
        <v>685</v>
      </c>
      <c r="V81" s="10">
        <f>946-U81</f>
        <v>261</v>
      </c>
      <c r="W81" s="10">
        <f>1468-V81-U81</f>
        <v>522</v>
      </c>
      <c r="X81" s="10">
        <f>2002-SUM(U81:W81)</f>
        <v>534</v>
      </c>
      <c r="Y81" s="11"/>
      <c r="Z81" s="11">
        <f t="shared" si="57"/>
        <v>2002</v>
      </c>
      <c r="AA81" s="11"/>
      <c r="AB81" s="10">
        <v>706</v>
      </c>
      <c r="AC81" s="10">
        <f>962-AB81</f>
        <v>256</v>
      </c>
      <c r="AD81" s="130">
        <f>1508-SUM(AB81:AC81)</f>
        <v>546</v>
      </c>
      <c r="AE81" s="130">
        <f>2056-SUM(AB81:AD81)</f>
        <v>548</v>
      </c>
      <c r="AF81" s="11"/>
      <c r="AG81" s="11">
        <f t="shared" si="61"/>
        <v>2056</v>
      </c>
      <c r="AH81" s="11"/>
      <c r="AI81" s="130">
        <v>0</v>
      </c>
      <c r="AJ81" s="130">
        <v>0</v>
      </c>
      <c r="AK81" s="130">
        <v>0</v>
      </c>
      <c r="AL81" s="130">
        <v>0</v>
      </c>
      <c r="AM81" s="11"/>
      <c r="AN81" s="11">
        <f t="shared" si="59"/>
        <v>0</v>
      </c>
      <c r="AO81" s="130">
        <v>0</v>
      </c>
      <c r="AP81" s="130">
        <v>0</v>
      </c>
      <c r="AQ81" s="11"/>
      <c r="AR81" s="11"/>
      <c r="AS81" s="11"/>
      <c r="AT81" s="130"/>
      <c r="AU81" s="174"/>
      <c r="AV81" s="174"/>
      <c r="AW81" s="174"/>
    </row>
    <row r="82" spans="1:49" ht="13" x14ac:dyDescent="0.3">
      <c r="A82" s="1" t="s">
        <v>100</v>
      </c>
      <c r="B82" s="10">
        <v>-10721</v>
      </c>
      <c r="C82" s="10">
        <v>-19543</v>
      </c>
      <c r="D82" s="10">
        <v>-22968</v>
      </c>
      <c r="E82" s="10">
        <v>-27385</v>
      </c>
      <c r="F82" s="11"/>
      <c r="G82" s="10">
        <v>-7684</v>
      </c>
      <c r="H82" s="10">
        <f>-15117-G82</f>
        <v>-7433</v>
      </c>
      <c r="I82" s="10">
        <f>-23939-SUM(G82:H82)</f>
        <v>-8822</v>
      </c>
      <c r="J82" s="10">
        <f>-32696-SUM(G82:I82)</f>
        <v>-8757</v>
      </c>
      <c r="K82" s="10"/>
      <c r="L82" s="11">
        <f t="shared" si="55"/>
        <v>-32696</v>
      </c>
      <c r="M82" s="11"/>
      <c r="N82" s="10">
        <v>-5573</v>
      </c>
      <c r="O82" s="10">
        <f>-11032-N82</f>
        <v>-5459</v>
      </c>
      <c r="P82" s="10">
        <f>-16541-SUM(N82:O82)</f>
        <v>-5509</v>
      </c>
      <c r="Q82" s="10">
        <f>-22245-SUM(N82:P82)</f>
        <v>-5704</v>
      </c>
      <c r="R82" s="11"/>
      <c r="S82" s="11">
        <f t="shared" si="56"/>
        <v>-22245</v>
      </c>
      <c r="T82" s="11"/>
      <c r="U82" s="10">
        <v>-4831</v>
      </c>
      <c r="V82" s="10">
        <f>-8831-U82</f>
        <v>-4000</v>
      </c>
      <c r="W82" s="10">
        <f>-13044-V82-U82</f>
        <v>-4213</v>
      </c>
      <c r="X82" s="10">
        <f>-17254-SUM(U82:W82)</f>
        <v>-4210</v>
      </c>
      <c r="Y82" s="11"/>
      <c r="Z82" s="11">
        <f t="shared" si="57"/>
        <v>-17254</v>
      </c>
      <c r="AA82" s="11"/>
      <c r="AB82" s="10">
        <v>-4107</v>
      </c>
      <c r="AC82" s="10">
        <f>-9093-AB82</f>
        <v>-4986</v>
      </c>
      <c r="AD82" s="130">
        <f>-13874-SUM(AB82:AC82)</f>
        <v>-4781</v>
      </c>
      <c r="AE82" s="130">
        <f>-18420-SUM(AB82:AD82)</f>
        <v>-4546</v>
      </c>
      <c r="AF82" s="11"/>
      <c r="AG82" s="11">
        <f t="shared" si="61"/>
        <v>-18420</v>
      </c>
      <c r="AH82" s="11"/>
      <c r="AI82" s="11">
        <f>AE82</f>
        <v>-4546</v>
      </c>
      <c r="AJ82" s="11">
        <f>AI82</f>
        <v>-4546</v>
      </c>
      <c r="AK82" s="11">
        <f t="shared" ref="AK82:AL82" si="62">AJ82</f>
        <v>-4546</v>
      </c>
      <c r="AL82" s="11">
        <f t="shared" si="62"/>
        <v>-4546</v>
      </c>
      <c r="AM82" s="11"/>
      <c r="AN82" s="11">
        <f t="shared" si="59"/>
        <v>-18184</v>
      </c>
      <c r="AO82" s="130">
        <v>-25000</v>
      </c>
      <c r="AP82" s="130">
        <v>-30000</v>
      </c>
      <c r="AQ82" s="11"/>
      <c r="AR82" s="11"/>
      <c r="AS82" s="11"/>
      <c r="AT82" s="130"/>
      <c r="AU82" s="174"/>
      <c r="AV82" s="174"/>
      <c r="AW82" s="174"/>
    </row>
    <row r="83" spans="1:49" ht="13" x14ac:dyDescent="0.3">
      <c r="A83" s="1" t="s">
        <v>101</v>
      </c>
      <c r="B83" s="10">
        <v>-12699</v>
      </c>
      <c r="C83" s="10">
        <v>-13811</v>
      </c>
      <c r="D83" s="10">
        <v>-15137</v>
      </c>
      <c r="E83" s="10">
        <v>-16521</v>
      </c>
      <c r="F83" s="11"/>
      <c r="G83" s="10">
        <v>-4206</v>
      </c>
      <c r="H83" s="10">
        <f>-8858-G83</f>
        <v>-4652</v>
      </c>
      <c r="I83" s="10">
        <f>-13503-SUM(G83:H83)</f>
        <v>-4645</v>
      </c>
      <c r="J83" s="10">
        <f>-18135-SUM(G83:I83)</f>
        <v>-4632</v>
      </c>
      <c r="K83" s="10"/>
      <c r="L83" s="11">
        <f t="shared" si="55"/>
        <v>-18135</v>
      </c>
      <c r="M83" s="11"/>
      <c r="N83" s="10">
        <v>-4621</v>
      </c>
      <c r="O83" s="10">
        <f>-9687-N83</f>
        <v>-5066</v>
      </c>
      <c r="P83" s="10">
        <f>-14746-SUM(N83:O83)</f>
        <v>-5059</v>
      </c>
      <c r="Q83" s="10">
        <f>-19800-SUM(N83:P83)</f>
        <v>-5054</v>
      </c>
      <c r="R83" s="11"/>
      <c r="S83" s="11">
        <f t="shared" si="56"/>
        <v>-19800</v>
      </c>
      <c r="T83" s="11"/>
      <c r="U83" s="10">
        <v>-5051</v>
      </c>
      <c r="V83" s="10">
        <f>-10625-U83</f>
        <v>-5574</v>
      </c>
      <c r="W83" s="10">
        <f>-16197-V83-U83</f>
        <v>-5572</v>
      </c>
      <c r="X83" s="10">
        <f>-21771-SUM(U83:W83)</f>
        <v>-5574</v>
      </c>
      <c r="Y83" s="11"/>
      <c r="Z83" s="11">
        <f t="shared" si="57"/>
        <v>-21771</v>
      </c>
      <c r="AA83" s="11"/>
      <c r="AB83" s="10">
        <v>-5574</v>
      </c>
      <c r="AC83" s="10">
        <f>-11744-AB83</f>
        <v>-6170</v>
      </c>
      <c r="AD83" s="130">
        <f>-17913-SUM(AB83:AC83)</f>
        <v>-6169</v>
      </c>
      <c r="AE83" s="130">
        <f>-24082-SUM(AB83:AD83)</f>
        <v>-6169</v>
      </c>
      <c r="AF83" s="11"/>
      <c r="AG83" s="11">
        <f t="shared" si="61"/>
        <v>-24082</v>
      </c>
      <c r="AH83" s="11"/>
      <c r="AI83" s="11">
        <f>-0.83*7433.166379</f>
        <v>-6169.5280945699997</v>
      </c>
      <c r="AJ83" s="11">
        <f>AI83</f>
        <v>-6169.5280945699997</v>
      </c>
      <c r="AK83" s="11">
        <f t="shared" ref="AK83:AL83" si="63">AJ83</f>
        <v>-6169.5280945699997</v>
      </c>
      <c r="AL83" s="11">
        <f t="shared" si="63"/>
        <v>-6169.5280945699997</v>
      </c>
      <c r="AM83" s="11"/>
      <c r="AN83" s="11">
        <f t="shared" si="59"/>
        <v>-24678.112378279999</v>
      </c>
      <c r="AO83" s="130">
        <v>-28000</v>
      </c>
      <c r="AP83" s="130">
        <v>-32000</v>
      </c>
      <c r="AQ83" s="11"/>
      <c r="AR83" s="11"/>
      <c r="AS83" s="11"/>
      <c r="AT83" s="130"/>
      <c r="AU83" s="174"/>
      <c r="AV83" s="174"/>
      <c r="AW83" s="174"/>
    </row>
    <row r="84" spans="1:49" ht="14.5" x14ac:dyDescent="0.45">
      <c r="A84" s="1" t="s">
        <v>85</v>
      </c>
      <c r="B84" s="135">
        <f>-98-971+50</f>
        <v>-1019</v>
      </c>
      <c r="C84" s="135">
        <f>-675-115</f>
        <v>-790</v>
      </c>
      <c r="D84" s="68">
        <f>-1241-334-201</f>
        <v>-1776</v>
      </c>
      <c r="E84" s="68">
        <f>-769-922-29</f>
        <v>-1720</v>
      </c>
      <c r="F84" s="88"/>
      <c r="G84" s="68">
        <f>-417-73-172</f>
        <v>-662</v>
      </c>
      <c r="H84" s="68">
        <f>-364+33-506-G84</f>
        <v>-175</v>
      </c>
      <c r="I84" s="68">
        <f>-1687-522+57-SUM(G84:H84)</f>
        <v>-1315</v>
      </c>
      <c r="J84" s="68">
        <f>-863-2825-141-SUM(G84:I84)</f>
        <v>-1677</v>
      </c>
      <c r="K84" s="68"/>
      <c r="L84" s="88">
        <f t="shared" si="55"/>
        <v>-3829</v>
      </c>
      <c r="M84" s="88"/>
      <c r="N84" s="68">
        <f>-860-264-230</f>
        <v>-1354</v>
      </c>
      <c r="O84" s="68">
        <f>-1161-581-142-N84</f>
        <v>-530</v>
      </c>
      <c r="P84" s="68">
        <f>-2847-839-113-SUM(N84:O84)</f>
        <v>-1915</v>
      </c>
      <c r="Q84" s="68">
        <f>SUM(-1006,-3116,-194)-SUM(N84:P84)</f>
        <v>-517</v>
      </c>
      <c r="R84" s="88"/>
      <c r="S84" s="88">
        <f t="shared" si="56"/>
        <v>-4316</v>
      </c>
      <c r="T84" s="88"/>
      <c r="U84" s="68">
        <f>-982-307-99</f>
        <v>-1388</v>
      </c>
      <c r="V84" s="68">
        <f>-508+365-27-U84</f>
        <v>1218</v>
      </c>
      <c r="W84" s="68">
        <f>-1006-916-107-V84-U84</f>
        <v>-1859</v>
      </c>
      <c r="X84" s="68">
        <f>SUM(-1309,-1298,-210)-SUM(U84:W84)</f>
        <v>-788</v>
      </c>
      <c r="Y84" s="88"/>
      <c r="Z84" s="88">
        <f t="shared" si="57"/>
        <v>-2817</v>
      </c>
      <c r="AA84" s="88"/>
      <c r="AB84" s="68">
        <f>-889+122</f>
        <v>-767</v>
      </c>
      <c r="AC84" s="68">
        <f>-1232-172-AB84</f>
        <v>-637</v>
      </c>
      <c r="AD84" s="191">
        <f>(-325+-1614+-120)-SUM(AB84:AC84)</f>
        <v>-655</v>
      </c>
      <c r="AE84" s="88">
        <f>(2317+-2291+63)-SUM(AB84:AD84)</f>
        <v>2148</v>
      </c>
      <c r="AF84" s="88"/>
      <c r="AG84" s="88">
        <f t="shared" si="61"/>
        <v>89</v>
      </c>
      <c r="AH84" s="88"/>
      <c r="AI84" s="191">
        <v>0</v>
      </c>
      <c r="AJ84" s="191">
        <v>0</v>
      </c>
      <c r="AK84" s="191">
        <v>0</v>
      </c>
      <c r="AL84" s="191">
        <v>0</v>
      </c>
      <c r="AM84" s="88"/>
      <c r="AN84" s="88">
        <f t="shared" si="59"/>
        <v>0</v>
      </c>
      <c r="AO84" s="191">
        <v>0</v>
      </c>
      <c r="AP84" s="191">
        <v>0</v>
      </c>
      <c r="AQ84" s="88"/>
      <c r="AR84" s="88"/>
      <c r="AS84" s="88"/>
      <c r="AT84" s="191"/>
      <c r="AU84" s="174"/>
      <c r="AV84" s="174"/>
      <c r="AW84" s="174"/>
    </row>
    <row r="85" spans="1:49" ht="13" x14ac:dyDescent="0.3">
      <c r="A85" s="1" t="s">
        <v>32</v>
      </c>
      <c r="B85" s="11">
        <f>B73+SUM(B75:B84)</f>
        <v>4283</v>
      </c>
      <c r="C85" s="11">
        <f>C73+SUM(C75:C84)</f>
        <v>-590</v>
      </c>
      <c r="D85" s="11">
        <f>D73+SUM(D75:D84)</f>
        <v>2220</v>
      </c>
      <c r="E85" s="11">
        <f>E73+SUM(E75:E84)</f>
        <v>648</v>
      </c>
      <c r="F85" s="11"/>
      <c r="G85" s="11">
        <f>G73+SUM(G75:G84)</f>
        <v>4941</v>
      </c>
      <c r="H85" s="11">
        <f>H73+SUM(H75:H84)</f>
        <v>1439</v>
      </c>
      <c r="I85" s="11">
        <f>I73+SUM(I75:I84)</f>
        <v>-8106</v>
      </c>
      <c r="J85" s="11">
        <f>J73+SUM(J75:J84)</f>
        <v>1433</v>
      </c>
      <c r="K85" s="69"/>
      <c r="L85" s="11">
        <f>L73+SUM(L75:L84)</f>
        <v>-293</v>
      </c>
      <c r="M85" s="11"/>
      <c r="N85" s="11">
        <f>N73+SUM(N75:N84)</f>
        <v>8953</v>
      </c>
      <c r="O85" s="11">
        <f>O73+SUM(O75:O84)</f>
        <v>-7238</v>
      </c>
      <c r="P85" s="11">
        <f>P73+SUM(P75:P84)</f>
        <v>10916</v>
      </c>
      <c r="Q85" s="11">
        <f>Q73+SUM(Q75:Q84)</f>
        <v>8142</v>
      </c>
      <c r="R85" s="11"/>
      <c r="S85" s="11">
        <f>S73+SUM(S75:S84)</f>
        <v>20773</v>
      </c>
      <c r="T85" s="11"/>
      <c r="U85" s="11">
        <f>U73+SUM(U75:U84)</f>
        <v>45748</v>
      </c>
      <c r="V85" s="11">
        <f>V73+SUM(V75:V84)</f>
        <v>-63147</v>
      </c>
      <c r="W85" s="11">
        <f>W73+SUM(W75:W84)</f>
        <v>2329</v>
      </c>
      <c r="X85" s="11">
        <f>X73+SUM(X75:X84)</f>
        <v>-1319</v>
      </c>
      <c r="Y85" s="11"/>
      <c r="Z85" s="11">
        <f>Z73+SUM(Z75:Z84)</f>
        <v>-16389</v>
      </c>
      <c r="AA85" s="11"/>
      <c r="AB85" s="11">
        <f>AB73+SUM(AB75:AB84)</f>
        <v>2525</v>
      </c>
      <c r="AC85" s="11">
        <f>AC73+SUM(AC75:AC84)</f>
        <v>-3358</v>
      </c>
      <c r="AD85" s="11">
        <f>AD73+SUM(AD75:AD84)</f>
        <v>11346</v>
      </c>
      <c r="AE85" s="11">
        <f>AE73+SUM(AE75:AE84)</f>
        <v>1414</v>
      </c>
      <c r="AF85" s="11"/>
      <c r="AG85" s="11">
        <f>AG73+SUM(AG75:AG84)</f>
        <v>11927</v>
      </c>
      <c r="AH85" s="11"/>
      <c r="AI85" s="11">
        <f t="shared" ref="AI85:AL85" si="64">AI73+SUM(AI75:AI84)</f>
        <v>13743.725215711595</v>
      </c>
      <c r="AJ85" s="11">
        <f t="shared" si="64"/>
        <v>10831.444533061651</v>
      </c>
      <c r="AK85" s="11">
        <f t="shared" si="64"/>
        <v>11701.931665821623</v>
      </c>
      <c r="AL85" s="11">
        <f t="shared" si="64"/>
        <v>9363.2102795115716</v>
      </c>
      <c r="AM85" s="11"/>
      <c r="AN85" s="11">
        <f>AN73+SUM(AN75:AN84)</f>
        <v>45640.311694106407</v>
      </c>
      <c r="AO85" s="11">
        <f>AO73+SUM(AO75:AO84)</f>
        <v>43350.775761895813</v>
      </c>
      <c r="AP85" s="11">
        <f>AP73+SUM(AP75:AP84)</f>
        <v>62794.366687513335</v>
      </c>
      <c r="AQ85" s="11"/>
      <c r="AR85" s="11"/>
      <c r="AS85" s="11"/>
      <c r="AT85" s="130"/>
      <c r="AU85" s="174"/>
      <c r="AV85" s="174"/>
      <c r="AW85" s="174"/>
    </row>
    <row r="86" spans="1:49" ht="13" x14ac:dyDescent="0.3">
      <c r="A86" s="1"/>
      <c r="B86" s="11"/>
      <c r="C86" s="11"/>
      <c r="D86" s="11"/>
      <c r="E86" s="11"/>
      <c r="F86" s="11"/>
      <c r="G86" s="11"/>
      <c r="H86" s="11"/>
      <c r="I86" s="11"/>
      <c r="J86" s="11"/>
      <c r="K86" s="69"/>
      <c r="L86" s="121"/>
      <c r="M86" s="121"/>
      <c r="N86" s="11"/>
      <c r="O86" s="11"/>
      <c r="P86" s="11"/>
      <c r="Q86" s="121"/>
      <c r="R86" s="121"/>
      <c r="S86" s="11"/>
      <c r="T86" s="121"/>
      <c r="U86" s="11"/>
      <c r="V86" s="11"/>
      <c r="W86" s="11"/>
      <c r="X86" s="11"/>
      <c r="Y86" s="121"/>
      <c r="Z86" s="11"/>
      <c r="AA86" s="121"/>
      <c r="AB86" s="11"/>
      <c r="AC86" s="11"/>
      <c r="AD86" s="11"/>
      <c r="AE86" s="11"/>
      <c r="AF86" s="12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30"/>
      <c r="AU86" s="174"/>
      <c r="AV86" s="174"/>
      <c r="AW86" s="174"/>
    </row>
    <row r="87" spans="1:49" ht="13" x14ac:dyDescent="0.3">
      <c r="A87" s="1" t="s">
        <v>46</v>
      </c>
      <c r="B87" s="130">
        <v>7663</v>
      </c>
      <c r="C87" s="11">
        <f>+B88</f>
        <v>11946</v>
      </c>
      <c r="D87" s="11">
        <f>C88</f>
        <v>11356</v>
      </c>
      <c r="E87" s="11">
        <f>D88</f>
        <v>13576</v>
      </c>
      <c r="F87" s="11"/>
      <c r="G87" s="11">
        <f>E88</f>
        <v>14224</v>
      </c>
      <c r="H87" s="11">
        <f>G88</f>
        <v>19165</v>
      </c>
      <c r="I87" s="11">
        <f>H88</f>
        <v>20604</v>
      </c>
      <c r="J87" s="11">
        <f>I88</f>
        <v>12498</v>
      </c>
      <c r="K87" s="69"/>
      <c r="L87" s="11">
        <f>E88</f>
        <v>14224</v>
      </c>
      <c r="M87" s="11"/>
      <c r="N87" s="11">
        <f>+L88</f>
        <v>13931</v>
      </c>
      <c r="O87" s="11">
        <f>+N88</f>
        <v>22884</v>
      </c>
      <c r="P87" s="11">
        <f t="shared" ref="P87:Q87" si="65">+O88</f>
        <v>15646</v>
      </c>
      <c r="Q87" s="11">
        <f t="shared" si="65"/>
        <v>26562</v>
      </c>
      <c r="R87" s="11"/>
      <c r="S87" s="11">
        <f>L88</f>
        <v>13931</v>
      </c>
      <c r="T87" s="11"/>
      <c r="U87" s="11">
        <f>S88</f>
        <v>34704</v>
      </c>
      <c r="V87" s="11">
        <f>U88</f>
        <v>80452</v>
      </c>
      <c r="W87" s="11">
        <f>V88</f>
        <v>17305</v>
      </c>
      <c r="X87" s="11">
        <f>W88</f>
        <v>19634</v>
      </c>
      <c r="Y87" s="11"/>
      <c r="Z87" s="11">
        <f>S88</f>
        <v>34704</v>
      </c>
      <c r="AA87" s="11"/>
      <c r="AB87" s="11">
        <f>Z88</f>
        <v>18315</v>
      </c>
      <c r="AC87" s="11">
        <f>AB88</f>
        <v>20840</v>
      </c>
      <c r="AD87" s="11">
        <f>AC88</f>
        <v>17482</v>
      </c>
      <c r="AE87" s="11">
        <f>AD88</f>
        <v>28828</v>
      </c>
      <c r="AF87" s="11"/>
      <c r="AG87" s="11">
        <f>Z88</f>
        <v>18315</v>
      </c>
      <c r="AH87" s="11"/>
      <c r="AI87" s="11">
        <f>AG88</f>
        <v>30242</v>
      </c>
      <c r="AJ87" s="11">
        <f>AI88</f>
        <v>43985.725215711595</v>
      </c>
      <c r="AK87" s="11">
        <f t="shared" ref="AK87:AL87" si="66">AJ88</f>
        <v>54817.169748773245</v>
      </c>
      <c r="AL87" s="11">
        <f t="shared" si="66"/>
        <v>66519.101414594872</v>
      </c>
      <c r="AM87" s="11"/>
      <c r="AN87" s="11">
        <f>+AG88</f>
        <v>30242</v>
      </c>
      <c r="AO87" s="11">
        <f>AN88</f>
        <v>75882.311694106407</v>
      </c>
      <c r="AP87" s="11">
        <f>AO88</f>
        <v>119233.08745600222</v>
      </c>
      <c r="AQ87" s="11"/>
      <c r="AR87" s="11"/>
      <c r="AS87" s="11"/>
      <c r="AT87" s="130"/>
      <c r="AU87" s="174"/>
      <c r="AV87" s="174"/>
      <c r="AW87" s="174"/>
    </row>
    <row r="88" spans="1:49" ht="13" x14ac:dyDescent="0.3">
      <c r="A88" s="1" t="s">
        <v>47</v>
      </c>
      <c r="B88" s="11">
        <f>+B87+B85</f>
        <v>11946</v>
      </c>
      <c r="C88" s="11">
        <f>+C87+C85</f>
        <v>11356</v>
      </c>
      <c r="D88" s="11">
        <f>+D87+D85</f>
        <v>13576</v>
      </c>
      <c r="E88" s="11">
        <f>+E87+E85</f>
        <v>14224</v>
      </c>
      <c r="F88" s="11"/>
      <c r="G88" s="11">
        <f>+G87+G85</f>
        <v>19165</v>
      </c>
      <c r="H88" s="11">
        <f>+H87+H85</f>
        <v>20604</v>
      </c>
      <c r="I88" s="11">
        <f>+I87+I85</f>
        <v>12498</v>
      </c>
      <c r="J88" s="11">
        <f>+J87+J85</f>
        <v>13931</v>
      </c>
      <c r="K88" s="69"/>
      <c r="L88" s="11">
        <f>+L87+L85</f>
        <v>13931</v>
      </c>
      <c r="M88" s="11"/>
      <c r="N88" s="11">
        <f>+N85+N87</f>
        <v>22884</v>
      </c>
      <c r="O88" s="11">
        <f>+O85+O87</f>
        <v>15646</v>
      </c>
      <c r="P88" s="11">
        <f t="shared" ref="P88" si="67">+P85+P87</f>
        <v>26562</v>
      </c>
      <c r="Q88" s="11">
        <f>+Q85+Q87</f>
        <v>34704</v>
      </c>
      <c r="R88" s="11"/>
      <c r="S88" s="11">
        <f>+S87+S85</f>
        <v>34704</v>
      </c>
      <c r="T88" s="11"/>
      <c r="U88" s="11">
        <f>SUM(U85:U87)</f>
        <v>80452</v>
      </c>
      <c r="V88" s="11">
        <f>SUM(V85:V87)</f>
        <v>17305</v>
      </c>
      <c r="W88" s="11">
        <f>SUM(W85:W87)</f>
        <v>19634</v>
      </c>
      <c r="X88" s="11">
        <f>SUM(X85:X87)</f>
        <v>18315</v>
      </c>
      <c r="Y88" s="11"/>
      <c r="Z88" s="11">
        <f>+Z87+Z85</f>
        <v>18315</v>
      </c>
      <c r="AA88" s="11"/>
      <c r="AB88" s="11">
        <f>SUM(AB85:AB87)</f>
        <v>20840</v>
      </c>
      <c r="AC88" s="11">
        <f>SUM(AC85:AC87)</f>
        <v>17482</v>
      </c>
      <c r="AD88" s="11">
        <f>SUM(AD85:AD87)</f>
        <v>28828</v>
      </c>
      <c r="AE88" s="11">
        <f>SUM(AE85:AE87)</f>
        <v>30242</v>
      </c>
      <c r="AF88" s="11"/>
      <c r="AG88" s="11">
        <f>+AG87+AG85</f>
        <v>30242</v>
      </c>
      <c r="AH88" s="11"/>
      <c r="AI88" s="11">
        <f t="shared" ref="AI88:AL88" si="68">+AI87+AI85</f>
        <v>43985.725215711595</v>
      </c>
      <c r="AJ88" s="11">
        <f t="shared" si="68"/>
        <v>54817.169748773245</v>
      </c>
      <c r="AK88" s="11">
        <f t="shared" si="68"/>
        <v>66519.101414594872</v>
      </c>
      <c r="AL88" s="11">
        <f t="shared" si="68"/>
        <v>75882.311694106436</v>
      </c>
      <c r="AM88" s="11"/>
      <c r="AN88" s="11">
        <f>+AN87+AN85</f>
        <v>75882.311694106407</v>
      </c>
      <c r="AO88" s="11">
        <f>+AO87+AO85</f>
        <v>119233.08745600222</v>
      </c>
      <c r="AP88" s="11">
        <f>+AP87+AP85</f>
        <v>182027.45414351556</v>
      </c>
      <c r="AQ88" s="11"/>
      <c r="AR88" s="11"/>
      <c r="AS88" s="11"/>
      <c r="AT88" s="130"/>
      <c r="AU88" s="174"/>
      <c r="AV88" s="174"/>
      <c r="AW88" s="174"/>
    </row>
    <row r="89" spans="1:49" ht="16" x14ac:dyDescent="0.6">
      <c r="A89" s="206" t="s">
        <v>167</v>
      </c>
      <c r="B89" s="193">
        <v>121822</v>
      </c>
      <c r="C89" s="193">
        <v>122463</v>
      </c>
      <c r="D89" s="193">
        <v>122951</v>
      </c>
      <c r="E89" s="193">
        <v>116110</v>
      </c>
      <c r="F89" s="138"/>
      <c r="G89" s="193">
        <v>111450</v>
      </c>
      <c r="H89" s="193">
        <v>104765</v>
      </c>
      <c r="I89" s="193">
        <v>92195</v>
      </c>
      <c r="J89" s="193">
        <v>90826</v>
      </c>
      <c r="K89" s="207"/>
      <c r="L89" s="208">
        <f>+J89</f>
        <v>90826</v>
      </c>
      <c r="M89" s="138"/>
      <c r="N89" s="193">
        <v>84378</v>
      </c>
      <c r="O89" s="193">
        <v>83862</v>
      </c>
      <c r="P89" s="193">
        <v>77865</v>
      </c>
      <c r="Q89" s="193">
        <v>76558</v>
      </c>
      <c r="R89" s="138"/>
      <c r="S89" s="208">
        <f>+Q89</f>
        <v>76558</v>
      </c>
      <c r="T89" s="138"/>
      <c r="U89" s="193">
        <v>63499</v>
      </c>
      <c r="V89" s="193">
        <v>63712</v>
      </c>
      <c r="W89" s="193">
        <v>60387</v>
      </c>
      <c r="X89" s="193">
        <v>57228</v>
      </c>
      <c r="Y89" s="138"/>
      <c r="Z89" s="138">
        <f>+X89</f>
        <v>57228</v>
      </c>
      <c r="AA89" s="138"/>
      <c r="AB89" s="193">
        <f>+Z89</f>
        <v>57228</v>
      </c>
      <c r="AC89" s="193">
        <v>54073</v>
      </c>
      <c r="AD89" s="193">
        <v>50790</v>
      </c>
      <c r="AE89" s="193">
        <f>64323</f>
        <v>64323</v>
      </c>
      <c r="AF89" s="138"/>
      <c r="AG89" s="138">
        <f>+AE89</f>
        <v>64323</v>
      </c>
      <c r="AH89" s="138"/>
      <c r="AI89" s="138">
        <f>AG89</f>
        <v>64323</v>
      </c>
      <c r="AJ89" s="138">
        <f>AI89</f>
        <v>64323</v>
      </c>
      <c r="AK89" s="138">
        <f t="shared" ref="AK89:AL89" si="69">AJ89</f>
        <v>64323</v>
      </c>
      <c r="AL89" s="138">
        <f t="shared" si="69"/>
        <v>64323</v>
      </c>
      <c r="AM89" s="138"/>
      <c r="AN89" s="138">
        <f>AL89</f>
        <v>64323</v>
      </c>
      <c r="AO89" s="138">
        <f>+AN89</f>
        <v>64323</v>
      </c>
      <c r="AP89" s="138">
        <f>+AO89</f>
        <v>64323</v>
      </c>
      <c r="AQ89" s="138"/>
      <c r="AR89" s="138"/>
      <c r="AS89" s="138"/>
      <c r="AT89" s="130"/>
      <c r="AU89" s="174"/>
      <c r="AV89" s="174"/>
      <c r="AW89" s="174"/>
    </row>
    <row r="90" spans="1:49" ht="13" x14ac:dyDescent="0.3">
      <c r="A90" s="1" t="s">
        <v>168</v>
      </c>
      <c r="B90" s="11">
        <f>+B89+B88</f>
        <v>133768</v>
      </c>
      <c r="C90" s="11">
        <f t="shared" ref="C90:E90" si="70">+C89+C88</f>
        <v>133819</v>
      </c>
      <c r="D90" s="11">
        <f t="shared" si="70"/>
        <v>136527</v>
      </c>
      <c r="E90" s="11">
        <f t="shared" si="70"/>
        <v>130334</v>
      </c>
      <c r="F90" s="1"/>
      <c r="G90" s="11">
        <f t="shared" ref="G90" si="71">+G89+G88</f>
        <v>130615</v>
      </c>
      <c r="H90" s="11">
        <f t="shared" ref="H90" si="72">+H89+H88</f>
        <v>125369</v>
      </c>
      <c r="I90" s="11">
        <f t="shared" ref="I90" si="73">+I89+I88</f>
        <v>104693</v>
      </c>
      <c r="J90" s="11">
        <f t="shared" ref="J90:L90" si="74">+J89+J88</f>
        <v>104757</v>
      </c>
      <c r="K90" s="1"/>
      <c r="L90" s="11">
        <f t="shared" si="74"/>
        <v>104757</v>
      </c>
      <c r="M90" s="1"/>
      <c r="N90" s="11">
        <f t="shared" ref="N90" si="75">+N89+N88</f>
        <v>107262</v>
      </c>
      <c r="O90" s="11">
        <f t="shared" ref="O90" si="76">+O89+O88</f>
        <v>99508</v>
      </c>
      <c r="P90" s="11">
        <f t="shared" ref="P90" si="77">+P89+P88</f>
        <v>104427</v>
      </c>
      <c r="Q90" s="11">
        <f t="shared" ref="Q90" si="78">+Q89+Q88</f>
        <v>111262</v>
      </c>
      <c r="R90" s="1"/>
      <c r="S90" s="11">
        <f t="shared" ref="S90" si="79">+S89+S88</f>
        <v>111262</v>
      </c>
      <c r="T90" s="1"/>
      <c r="U90" s="11">
        <f t="shared" ref="U90" si="80">+U89+U88</f>
        <v>143951</v>
      </c>
      <c r="V90" s="11">
        <f t="shared" ref="V90" si="81">+V89+V88</f>
        <v>81017</v>
      </c>
      <c r="W90" s="11">
        <f t="shared" ref="W90" si="82">+W89+W88</f>
        <v>80021</v>
      </c>
      <c r="X90" s="11">
        <f t="shared" ref="X90" si="83">+X89+X88</f>
        <v>75543</v>
      </c>
      <c r="Y90" s="1"/>
      <c r="Z90" s="11">
        <f t="shared" ref="Z90" si="84">+Z89+Z88</f>
        <v>75543</v>
      </c>
      <c r="AA90" s="1"/>
      <c r="AB90" s="11">
        <f t="shared" ref="AB90:AE90" si="85">+AB89+AB88</f>
        <v>78068</v>
      </c>
      <c r="AC90" s="11">
        <f t="shared" si="85"/>
        <v>71555</v>
      </c>
      <c r="AD90" s="11">
        <f t="shared" si="85"/>
        <v>79618</v>
      </c>
      <c r="AE90" s="11">
        <f t="shared" si="85"/>
        <v>94565</v>
      </c>
      <c r="AF90" s="1"/>
      <c r="AG90" s="11">
        <f t="shared" ref="AG90:AL90" si="86">+AG89+AG88</f>
        <v>94565</v>
      </c>
      <c r="AH90" s="11"/>
      <c r="AI90" s="11">
        <f t="shared" si="86"/>
        <v>108308.7252157116</v>
      </c>
      <c r="AJ90" s="11">
        <f t="shared" si="86"/>
        <v>119140.16974877325</v>
      </c>
      <c r="AK90" s="11">
        <f t="shared" si="86"/>
        <v>130842.10141459487</v>
      </c>
      <c r="AL90" s="11">
        <f t="shared" si="86"/>
        <v>140205.31169410644</v>
      </c>
      <c r="AM90" s="11"/>
      <c r="AN90" s="11">
        <f t="shared" ref="AN90" si="87">+AN89+AN88</f>
        <v>140205.31169410641</v>
      </c>
      <c r="AO90" s="11">
        <f t="shared" ref="AO90:AP90" si="88">+AO89+AO88</f>
        <v>183556.08745600222</v>
      </c>
      <c r="AP90" s="11">
        <f t="shared" si="88"/>
        <v>246350.45414351556</v>
      </c>
      <c r="AQ90" s="11"/>
      <c r="AR90" s="11"/>
      <c r="AS90" s="11"/>
      <c r="AT90" s="89"/>
      <c r="AU90" s="174"/>
      <c r="AV90" s="174"/>
      <c r="AW90" s="174"/>
    </row>
    <row r="91" spans="1:49" ht="13" x14ac:dyDescent="0.3">
      <c r="A91" s="1"/>
      <c r="B91" s="1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89"/>
      <c r="AU91" s="174"/>
      <c r="AV91" s="174"/>
      <c r="AW91" s="174"/>
    </row>
    <row r="92" spans="1:49" ht="13" x14ac:dyDescent="0.3">
      <c r="A92" s="1"/>
      <c r="B92" s="1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89"/>
      <c r="AU92" s="174"/>
      <c r="AV92" s="174"/>
      <c r="AW92" s="174"/>
    </row>
    <row r="93" spans="1:49" s="169" customFormat="1" ht="13" x14ac:dyDescent="0.3">
      <c r="A93" s="2" t="s">
        <v>63</v>
      </c>
      <c r="B93" s="168">
        <f>+B52+B68+B69</f>
        <v>49259</v>
      </c>
      <c r="C93" s="168">
        <f t="shared" ref="C93:E93" si="89">+C52+C68+C69</f>
        <v>59293</v>
      </c>
      <c r="D93" s="168">
        <f t="shared" si="89"/>
        <v>71044</v>
      </c>
      <c r="E93" s="168">
        <f t="shared" si="89"/>
        <v>87720</v>
      </c>
      <c r="F93" s="168"/>
      <c r="G93" s="168">
        <f t="shared" ref="G93:J93" si="90">+G52+G68+G69</f>
        <v>25152</v>
      </c>
      <c r="H93" s="168">
        <f t="shared" si="90"/>
        <v>27640</v>
      </c>
      <c r="I93" s="168">
        <f t="shared" si="90"/>
        <v>26043</v>
      </c>
      <c r="J93" s="168">
        <f t="shared" si="90"/>
        <v>26510</v>
      </c>
      <c r="K93" s="2"/>
      <c r="L93" s="168">
        <f>+L52+L68+L69</f>
        <v>105345</v>
      </c>
      <c r="M93" s="168"/>
      <c r="N93" s="168">
        <f t="shared" ref="N93:P93" si="91">+N52+N68+N69</f>
        <v>26500</v>
      </c>
      <c r="O93" s="168">
        <f t="shared" si="91"/>
        <v>26585</v>
      </c>
      <c r="P93" s="168">
        <f t="shared" si="91"/>
        <v>28366</v>
      </c>
      <c r="Q93" s="168">
        <f>+Q52+Q68+Q69</f>
        <v>30544</v>
      </c>
      <c r="R93" s="168"/>
      <c r="S93" s="168">
        <f>+S52+S68+S69</f>
        <v>111995</v>
      </c>
      <c r="T93" s="168"/>
      <c r="U93" s="168">
        <f>+U52+U68+U69</f>
        <v>33323</v>
      </c>
      <c r="V93" s="168">
        <f>+V52+V68+V69</f>
        <v>35819</v>
      </c>
      <c r="W93" s="168">
        <f>+W52+W68+W69</f>
        <v>36311</v>
      </c>
      <c r="X93" s="168">
        <f>+X52+X68+X69</f>
        <v>37001</v>
      </c>
      <c r="Y93" s="168"/>
      <c r="Z93" s="168">
        <f>+Z52+Z68+Z69</f>
        <v>142454</v>
      </c>
      <c r="AA93" s="168"/>
      <c r="AB93" s="168">
        <f>+AB52+AB68+AB69</f>
        <v>40767</v>
      </c>
      <c r="AC93" s="168">
        <f>+AC52+AC68+AC69</f>
        <v>41569</v>
      </c>
      <c r="AD93" s="168">
        <f>+AD52+AD68+AD69</f>
        <v>43720</v>
      </c>
      <c r="AE93" s="168">
        <f>+AE52+AE68+AE69</f>
        <v>48599</v>
      </c>
      <c r="AF93" s="168"/>
      <c r="AG93" s="168">
        <f>+AG52+AG68+AG69</f>
        <v>174655</v>
      </c>
      <c r="AH93" s="168"/>
      <c r="AI93" s="168">
        <f>+AI52+AI68+AI69</f>
        <v>49926.046599999994</v>
      </c>
      <c r="AJ93" s="168">
        <f>+AJ52+AJ68+AJ69</f>
        <v>52133.198349999991</v>
      </c>
      <c r="AK93" s="168">
        <f>+AK52+AK68+AK69</f>
        <v>51860.665120000005</v>
      </c>
      <c r="AL93" s="168">
        <f>+AL52+AL68+AL69</f>
        <v>55753.623249999997</v>
      </c>
      <c r="AM93" s="168"/>
      <c r="AN93" s="168">
        <f>+AN52+AN68+AN69</f>
        <v>209673.53331999996</v>
      </c>
      <c r="AO93" s="168">
        <f>+AO52+AO68+AO69</f>
        <v>226967.63106459999</v>
      </c>
      <c r="AP93" s="168">
        <f>+AP52+AP68+AP69</f>
        <v>255598.37569304497</v>
      </c>
      <c r="AQ93" s="168"/>
      <c r="AR93" s="168"/>
      <c r="AS93" s="168"/>
      <c r="AT93" s="174"/>
      <c r="AU93" s="174"/>
      <c r="AV93" s="174"/>
      <c r="AW93" s="174"/>
    </row>
    <row r="94" spans="1:49" s="222" customFormat="1" ht="13" x14ac:dyDescent="0.3">
      <c r="A94" s="67" t="s">
        <v>35</v>
      </c>
      <c r="B94" s="73">
        <f>B93/B$41</f>
        <v>0.44634831460674157</v>
      </c>
      <c r="C94" s="73">
        <f>C93/C$41</f>
        <v>0.47116645343801405</v>
      </c>
      <c r="D94" s="73">
        <f>D93/D$41</f>
        <v>0.49675908121525714</v>
      </c>
      <c r="E94" s="73">
        <f>E93/E$41</f>
        <v>0.52186949693017948</v>
      </c>
      <c r="F94" s="73"/>
      <c r="G94" s="87">
        <f>G93/G$41</f>
        <v>0.55502350111437204</v>
      </c>
      <c r="H94" s="87">
        <f>H93/H$41</f>
        <v>0.53433343643674602</v>
      </c>
      <c r="I94" s="87">
        <f>I93/I$41</f>
        <v>0.52761345218800648</v>
      </c>
      <c r="J94" s="87">
        <f>J93/J$41</f>
        <v>0.5111346765641569</v>
      </c>
      <c r="K94" s="25"/>
      <c r="L94" s="73">
        <f>L93/L$41</f>
        <v>0.53132092600998637</v>
      </c>
      <c r="M94" s="73"/>
      <c r="N94" s="87">
        <f>N93/N$41</f>
        <v>0.52870994772754476</v>
      </c>
      <c r="O94" s="87">
        <f>O93/O$41</f>
        <v>0.50400970671317802</v>
      </c>
      <c r="P94" s="87">
        <f>P93/P$41</f>
        <v>0.53665550447433641</v>
      </c>
      <c r="Q94" s="87">
        <f>Q93/Q$41</f>
        <v>0.54359394187474419</v>
      </c>
      <c r="R94" s="73"/>
      <c r="S94" s="87">
        <f>S93/S$41</f>
        <v>0.52849019654106599</v>
      </c>
      <c r="T94" s="73"/>
      <c r="U94" s="87">
        <f>U93/U$41</f>
        <v>0.5896102057787922</v>
      </c>
      <c r="V94" s="87">
        <f>V93/V$41</f>
        <v>0.57753950338600446</v>
      </c>
      <c r="W94" s="87">
        <f>W93/W$41</f>
        <v>0.58700572278444174</v>
      </c>
      <c r="X94" s="87">
        <f>X93/X$41</f>
        <v>0.57164707154664973</v>
      </c>
      <c r="Y94" s="73"/>
      <c r="Z94" s="87">
        <f>Z93/Z$41</f>
        <v>0.58115550623771017</v>
      </c>
      <c r="AA94" s="73"/>
      <c r="AB94" s="87">
        <f>AB93/AB$41</f>
        <v>0.62159030266066939</v>
      </c>
      <c r="AC94" s="87">
        <f>AC93/AC$41</f>
        <v>0.59698127297794112</v>
      </c>
      <c r="AD94" s="87">
        <f>AD93/AD$41</f>
        <v>0.62398310164701853</v>
      </c>
      <c r="AE94" s="87">
        <f>AE93/AE$41</f>
        <v>0.63577137923365734</v>
      </c>
      <c r="AF94" s="73"/>
      <c r="AG94" s="87">
        <f>AG93/AG$41</f>
        <v>0.61995073192202299</v>
      </c>
      <c r="AH94" s="87"/>
      <c r="AI94" s="87">
        <f>AI93/AI$41</f>
        <v>0.66066459148891288</v>
      </c>
      <c r="AJ94" s="87">
        <f>AJ93/AJ$41</f>
        <v>0.65139668536521511</v>
      </c>
      <c r="AK94" s="87">
        <f>AK93/AK$41</f>
        <v>0.6420442883551547</v>
      </c>
      <c r="AL94" s="87">
        <f>AL93/AL$41</f>
        <v>0.63182458799497965</v>
      </c>
      <c r="AM94" s="87"/>
      <c r="AN94" s="87">
        <f>AN93/AN$41</f>
        <v>0.64590671356761065</v>
      </c>
      <c r="AO94" s="87">
        <f>AO93/AO$41</f>
        <v>0.63118331164840857</v>
      </c>
      <c r="AP94" s="87">
        <f>AP93/AP$41</f>
        <v>0.6324134405805113</v>
      </c>
      <c r="AQ94" s="87"/>
      <c r="AR94" s="87"/>
      <c r="AS94" s="87"/>
      <c r="AT94" s="189"/>
      <c r="AU94" s="221"/>
      <c r="AV94" s="221"/>
      <c r="AW94" s="221"/>
    </row>
    <row r="95" spans="1:49" s="222" customFormat="1" ht="13" x14ac:dyDescent="0.3">
      <c r="A95" s="67" t="s">
        <v>31</v>
      </c>
      <c r="B95" s="73"/>
      <c r="C95" s="73">
        <f>C93/B93-1</f>
        <v>0.20369881645993626</v>
      </c>
      <c r="D95" s="73">
        <f>D93/C93-1</f>
        <v>0.19818528325434714</v>
      </c>
      <c r="E95" s="73">
        <f>E93/D93-1</f>
        <v>0.23472777433703063</v>
      </c>
      <c r="F95" s="73"/>
      <c r="G95" s="87"/>
      <c r="H95" s="87"/>
      <c r="I95" s="87"/>
      <c r="J95" s="87"/>
      <c r="K95" s="25"/>
      <c r="L95" s="73">
        <f>L93/E93-1</f>
        <v>0.20092339261285908</v>
      </c>
      <c r="M95" s="73"/>
      <c r="N95" s="73">
        <f>N93/G93-1</f>
        <v>5.3594147582697094E-2</v>
      </c>
      <c r="O95" s="73">
        <f t="shared" ref="O95:P95" si="92">O93/H93-1</f>
        <v>-3.8169319826338644E-2</v>
      </c>
      <c r="P95" s="73">
        <f t="shared" si="92"/>
        <v>8.9198633029988761E-2</v>
      </c>
      <c r="Q95" s="73">
        <f>Q93/J93-1</f>
        <v>0.15216899283289331</v>
      </c>
      <c r="R95" s="73"/>
      <c r="S95" s="87">
        <f>S93/L93-1</f>
        <v>6.3125919597512903E-2</v>
      </c>
      <c r="T95" s="73"/>
      <c r="U95" s="87">
        <f>U93/N93-1</f>
        <v>0.25747169811320747</v>
      </c>
      <c r="V95" s="87">
        <f>V93/O93-1</f>
        <v>0.34733872484483741</v>
      </c>
      <c r="W95" s="87">
        <f>W93/P93-1</f>
        <v>0.28008883875061685</v>
      </c>
      <c r="X95" s="87">
        <f>X93/Q93-1</f>
        <v>0.21139994761655312</v>
      </c>
      <c r="Y95" s="73"/>
      <c r="Z95" s="87">
        <f>Z93/S93-1</f>
        <v>0.27196749854904234</v>
      </c>
      <c r="AA95" s="73"/>
      <c r="AB95" s="87">
        <f>AB93/U93-1</f>
        <v>0.2233892506677071</v>
      </c>
      <c r="AC95" s="87">
        <f>AC93/V93-1</f>
        <v>0.16052932801027398</v>
      </c>
      <c r="AD95" s="87">
        <f>AD93/W93-1</f>
        <v>0.20404285202831107</v>
      </c>
      <c r="AE95" s="87">
        <f>AE93/X93-1</f>
        <v>0.31345098781114022</v>
      </c>
      <c r="AF95" s="73"/>
      <c r="AG95" s="87">
        <f>AG93/Z93-1</f>
        <v>0.22604489870414302</v>
      </c>
      <c r="AH95" s="87"/>
      <c r="AI95" s="87">
        <f>AI93/AB93-1</f>
        <v>0.22466815316309741</v>
      </c>
      <c r="AJ95" s="87">
        <f>AJ93/AC93-1</f>
        <v>0.25413645625345782</v>
      </c>
      <c r="AK95" s="87">
        <f>AK93/AD93-1</f>
        <v>0.18620002561756643</v>
      </c>
      <c r="AL95" s="87">
        <f>AL93/AE93-1</f>
        <v>0.14721749933126183</v>
      </c>
      <c r="AM95" s="87"/>
      <c r="AN95" s="87">
        <f>AN93/AG93-1</f>
        <v>0.20050117843749082</v>
      </c>
      <c r="AO95" s="87">
        <f>AO93/AN93-1</f>
        <v>8.2481071744072265E-2</v>
      </c>
      <c r="AP95" s="87">
        <f>AP93/AO93-1</f>
        <v>0.12614461583861725</v>
      </c>
      <c r="AQ95" s="87"/>
      <c r="AR95" s="87"/>
      <c r="AS95" s="87"/>
      <c r="AT95" s="189"/>
      <c r="AU95" s="221"/>
      <c r="AV95" s="221"/>
      <c r="AW95" s="221"/>
    </row>
    <row r="96" spans="1:49" ht="13" x14ac:dyDescent="0.3">
      <c r="A96" s="67"/>
      <c r="B96" s="1"/>
      <c r="C96" s="1"/>
      <c r="D96" s="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89"/>
      <c r="AU96" s="174"/>
      <c r="AV96" s="174"/>
      <c r="AW96" s="174"/>
    </row>
    <row r="97" spans="1:52" ht="13" x14ac:dyDescent="0.3">
      <c r="A97" s="1" t="s">
        <v>55</v>
      </c>
      <c r="B97" s="130">
        <v>4301</v>
      </c>
      <c r="C97" s="130">
        <v>6574</v>
      </c>
      <c r="D97" s="130">
        <v>9496</v>
      </c>
      <c r="E97" s="130">
        <v>12541</v>
      </c>
      <c r="F97" s="91"/>
      <c r="G97" s="1"/>
      <c r="H97" s="1"/>
      <c r="I97" s="1"/>
      <c r="J97" s="1"/>
      <c r="K97" s="1"/>
      <c r="L97" s="130">
        <v>14902</v>
      </c>
      <c r="M97" s="91"/>
      <c r="N97" s="91"/>
      <c r="O97" s="91"/>
      <c r="P97" s="91"/>
      <c r="Q97" s="91"/>
      <c r="R97" s="91"/>
      <c r="S97" s="195">
        <v>17067</v>
      </c>
      <c r="T97" s="91"/>
      <c r="U97" s="91"/>
      <c r="V97" s="91"/>
      <c r="W97" s="91"/>
      <c r="X97" s="91"/>
      <c r="Y97" s="91"/>
      <c r="Z97" s="195">
        <v>27145</v>
      </c>
      <c r="AA97" s="91"/>
      <c r="AB97" s="91"/>
      <c r="AC97" s="91"/>
      <c r="AD97" s="91"/>
      <c r="AE97" s="91"/>
      <c r="AF97" s="91"/>
      <c r="AG97" s="91">
        <f>'Investment Memo'!B41</f>
        <v>46172</v>
      </c>
      <c r="AH97" s="91"/>
      <c r="AI97" s="91"/>
      <c r="AJ97" s="91"/>
      <c r="AK97" s="91"/>
      <c r="AL97" s="91"/>
      <c r="AM97" s="91"/>
      <c r="AN97" s="91">
        <f>'Investment Memo'!B41</f>
        <v>46172</v>
      </c>
      <c r="AO97" s="91">
        <f>+AN97</f>
        <v>46172</v>
      </c>
      <c r="AP97" s="91">
        <f>+AO97</f>
        <v>46172</v>
      </c>
      <c r="AQ97" s="91"/>
      <c r="AR97" s="91"/>
      <c r="AS97" s="91"/>
      <c r="AT97" s="195"/>
      <c r="AU97" s="174"/>
      <c r="AV97" s="174"/>
      <c r="AW97" s="174"/>
      <c r="AZ97" s="183"/>
    </row>
    <row r="98" spans="1:52" ht="13" x14ac:dyDescent="0.3">
      <c r="A98" s="1" t="s">
        <v>56</v>
      </c>
      <c r="B98" s="130">
        <f>B97+76898</f>
        <v>81199</v>
      </c>
      <c r="C98" s="130">
        <f>72781+C97</f>
        <v>79355</v>
      </c>
      <c r="D98" s="130">
        <f>67407+D97</f>
        <v>76903</v>
      </c>
      <c r="E98" s="130">
        <f>63910+E97</f>
        <v>76451</v>
      </c>
      <c r="F98" s="91"/>
      <c r="G98" s="1"/>
      <c r="H98" s="1"/>
      <c r="I98" s="1"/>
      <c r="J98" s="1"/>
      <c r="K98" s="1"/>
      <c r="L98" s="130">
        <f>55511+L97</f>
        <v>70413</v>
      </c>
      <c r="M98" s="91"/>
      <c r="N98" s="91"/>
      <c r="O98" s="91"/>
      <c r="P98" s="91"/>
      <c r="Q98" s="91"/>
      <c r="R98" s="91"/>
      <c r="S98" s="195">
        <v>69932.97</v>
      </c>
      <c r="T98" s="91"/>
      <c r="U98" s="91"/>
      <c r="V98" s="91"/>
      <c r="W98" s="91"/>
      <c r="X98" s="91"/>
      <c r="Y98" s="91"/>
      <c r="Z98" s="195">
        <f>51221+Z97</f>
        <v>78366</v>
      </c>
      <c r="AA98" s="91"/>
      <c r="AB98" s="91"/>
      <c r="AC98" s="91"/>
      <c r="AD98" s="91"/>
      <c r="AE98" s="91"/>
      <c r="AF98" s="91"/>
      <c r="AG98" s="91">
        <f>'Investment Memo'!B87+AG79+AG80</f>
        <v>86343.679999999993</v>
      </c>
      <c r="AH98" s="91"/>
      <c r="AI98" s="91"/>
      <c r="AJ98" s="91"/>
      <c r="AK98" s="91"/>
      <c r="AL98" s="91"/>
      <c r="AM98" s="91"/>
      <c r="AN98" s="91">
        <f>'Investment Memo'!B87+SUM(AI79:AL80)</f>
        <v>92305.68</v>
      </c>
      <c r="AO98" s="91">
        <f>+AN98+AO79+AO80</f>
        <v>83055.739999999991</v>
      </c>
      <c r="AP98" s="91">
        <f>+AO98+AP79+AP80</f>
        <v>81056.709999999992</v>
      </c>
      <c r="AQ98" s="91"/>
      <c r="AR98" s="91"/>
      <c r="AS98" s="91"/>
      <c r="AT98" s="195"/>
      <c r="AU98" s="174"/>
      <c r="AV98" s="174"/>
      <c r="AW98" s="174"/>
    </row>
    <row r="99" spans="1:52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96"/>
      <c r="AU99" s="174"/>
      <c r="AV99" s="174"/>
      <c r="AW99" s="174"/>
    </row>
    <row r="100" spans="1:52" ht="13" x14ac:dyDescent="0.3">
      <c r="A100" s="123" t="s">
        <v>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89"/>
      <c r="AU100" s="174"/>
      <c r="AV100" s="174"/>
      <c r="AW100" s="174"/>
    </row>
    <row r="101" spans="1:52" ht="13" x14ac:dyDescent="0.3">
      <c r="A101" s="1" t="s">
        <v>57</v>
      </c>
      <c r="B101" s="133" t="str">
        <f>+IF((B97-B90)/B93&gt;0,(B97-B90)/B93,"NM")</f>
        <v>NM</v>
      </c>
      <c r="C101" s="133" t="str">
        <f t="shared" ref="C101:E101" si="93">+IF((C97-C90)/C93&gt;0,(C97-C90)/C93,"NM")</f>
        <v>NM</v>
      </c>
      <c r="D101" s="133" t="str">
        <f t="shared" si="93"/>
        <v>NM</v>
      </c>
      <c r="E101" s="133" t="str">
        <f t="shared" si="93"/>
        <v>NM</v>
      </c>
      <c r="F101" s="13"/>
      <c r="G101" s="13"/>
      <c r="H101" s="13"/>
      <c r="I101" s="13"/>
      <c r="J101" s="13"/>
      <c r="K101" s="13"/>
      <c r="L101" s="133" t="str">
        <f>+IF((L97-L90)/L93&gt;0,(L97-L90)/L93,"NM")</f>
        <v>NM</v>
      </c>
      <c r="M101" s="133"/>
      <c r="N101" s="133"/>
      <c r="O101" s="133"/>
      <c r="P101" s="133"/>
      <c r="Q101" s="133"/>
      <c r="R101" s="133"/>
      <c r="S101" s="133" t="str">
        <f>+IF((S97-S90)/S93&gt;0,(S97-S90)/S93,"NM")</f>
        <v>NM</v>
      </c>
      <c r="T101" s="133"/>
      <c r="U101" s="133"/>
      <c r="V101" s="133"/>
      <c r="W101" s="133"/>
      <c r="X101" s="133"/>
      <c r="Y101" s="133"/>
      <c r="Z101" s="133" t="str">
        <f>+IF((Z97-Z90)/Z93&gt;0,(Z97-Z90)/Z93,"NM")</f>
        <v>NM</v>
      </c>
      <c r="AA101" s="133"/>
      <c r="AB101" s="133"/>
      <c r="AC101" s="133"/>
      <c r="AD101" s="133"/>
      <c r="AE101" s="133"/>
      <c r="AF101" s="133"/>
      <c r="AG101" s="133" t="str">
        <f>+IF((AG97-AG90)/AG93&gt;0,(AG97-AG90)/AG93,"NM")</f>
        <v>NM</v>
      </c>
      <c r="AH101" s="133"/>
      <c r="AI101" s="133"/>
      <c r="AJ101" s="133"/>
      <c r="AK101" s="133"/>
      <c r="AL101" s="133"/>
      <c r="AM101" s="133"/>
      <c r="AN101" s="133" t="str">
        <f>+IF((AN97-AN90)/AN93&gt;0,(AN97-AN90)/AN93,"NM")</f>
        <v>NM</v>
      </c>
      <c r="AO101" s="133" t="str">
        <f>+IF((AO97-AO90)/AO93&gt;0,(AO97-AO90)/AO93,"NM")</f>
        <v>NM</v>
      </c>
      <c r="AP101" s="133" t="str">
        <f>+IF((AP97-AP90)/AP93&gt;0,(AP97-AP90)/AP93,"NM")</f>
        <v>NM</v>
      </c>
      <c r="AQ101" s="133"/>
      <c r="AR101" s="133"/>
      <c r="AS101" s="133"/>
      <c r="AT101" s="197"/>
      <c r="AU101" s="174"/>
      <c r="AV101" s="174"/>
      <c r="AW101" s="174"/>
    </row>
    <row r="102" spans="1:52" ht="13" x14ac:dyDescent="0.3">
      <c r="A102" s="1" t="s">
        <v>45</v>
      </c>
      <c r="B102" s="133" t="str">
        <f>+IF((B98-B90)/B93&gt;0,(B98-B90)/B93,"NM")</f>
        <v>NM</v>
      </c>
      <c r="C102" s="133" t="str">
        <f t="shared" ref="C102:E102" si="94">+IF((C98-C90)/C93&gt;0,(C98-C90)/C93,"NM")</f>
        <v>NM</v>
      </c>
      <c r="D102" s="133" t="str">
        <f t="shared" si="94"/>
        <v>NM</v>
      </c>
      <c r="E102" s="133" t="str">
        <f t="shared" si="94"/>
        <v>NM</v>
      </c>
      <c r="F102" s="13"/>
      <c r="G102" s="13"/>
      <c r="H102" s="13"/>
      <c r="I102" s="13"/>
      <c r="J102" s="13"/>
      <c r="K102" s="13"/>
      <c r="L102" s="133" t="str">
        <f>+IF((L98-L90)/L93&gt;0,(L98-L90)/L93,"NM")</f>
        <v>NM</v>
      </c>
      <c r="M102" s="13"/>
      <c r="N102" s="13"/>
      <c r="O102" s="13"/>
      <c r="P102" s="13"/>
      <c r="Q102" s="13"/>
      <c r="R102" s="13"/>
      <c r="S102" s="133" t="str">
        <f>+IF((S98-S90)/S93&gt;0,(S98-S90)/S93,"NM")</f>
        <v>NM</v>
      </c>
      <c r="T102" s="13"/>
      <c r="U102" s="133"/>
      <c r="V102" s="133"/>
      <c r="W102" s="133"/>
      <c r="X102" s="133"/>
      <c r="Y102" s="13"/>
      <c r="Z102" s="133">
        <f>+IF((Z98-Z90)/Z93&gt;0,(Z98-Z90)/Z93,"NM")</f>
        <v>1.9816923357715472E-2</v>
      </c>
      <c r="AA102" s="13"/>
      <c r="AB102" s="133"/>
      <c r="AC102" s="133"/>
      <c r="AD102" s="133"/>
      <c r="AE102" s="133"/>
      <c r="AF102" s="13"/>
      <c r="AG102" s="133" t="str">
        <f>+IF((AG98-AG90)/AG93&gt;0,(AG98-AG90)/AG93,"NM")</f>
        <v>NM</v>
      </c>
      <c r="AH102" s="133"/>
      <c r="AI102" s="133"/>
      <c r="AJ102" s="133"/>
      <c r="AK102" s="133"/>
      <c r="AL102" s="133"/>
      <c r="AM102" s="133"/>
      <c r="AN102" s="133" t="str">
        <f>+IF((AN98-AN90)/AN93&gt;0,(AN98-AN90)/AN93,"NM")</f>
        <v>NM</v>
      </c>
      <c r="AO102" s="133" t="str">
        <f>+IF((AO98-AO90)/AO93&gt;0,(AO98-AO90)/AO93,"NM")</f>
        <v>NM</v>
      </c>
      <c r="AP102" s="133" t="str">
        <f>+IF((AP98-AP90)/AP93&gt;0,(AP98-AP90)/AP93,"NM")</f>
        <v>NM</v>
      </c>
      <c r="AQ102" s="133"/>
      <c r="AR102" s="133"/>
      <c r="AS102" s="133"/>
      <c r="AT102" s="197"/>
      <c r="AU102" s="174"/>
      <c r="AV102" s="174"/>
      <c r="AW102" s="174"/>
    </row>
    <row r="103" spans="1:52" x14ac:dyDescent="0.25">
      <c r="AT103" s="194"/>
      <c r="AU103" s="194"/>
      <c r="AV103" s="194"/>
      <c r="AW103" s="194"/>
    </row>
    <row r="104" spans="1:52" ht="13" x14ac:dyDescent="0.3">
      <c r="A104" s="1" t="s">
        <v>144</v>
      </c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133" t="e">
        <f ca="1">(S98-S88+'Investment Memo'!$I$28)/S93</f>
        <v>#NAME?</v>
      </c>
      <c r="T104" s="228"/>
      <c r="U104" s="133"/>
      <c r="V104" s="133"/>
      <c r="W104" s="133"/>
      <c r="X104" s="133"/>
      <c r="Y104" s="228"/>
      <c r="Z104" s="133" t="e">
        <f ca="1">(Z98-Z88+'Investment Memo'!$I$28)/Z93</f>
        <v>#NAME?</v>
      </c>
      <c r="AA104" s="228"/>
      <c r="AB104" s="133"/>
      <c r="AC104" s="133"/>
      <c r="AD104" s="13"/>
      <c r="AE104" s="13"/>
      <c r="AG104" s="133" t="e">
        <f ca="1">(AG98-AG88+'Investment Memo'!$I$28)/AG93</f>
        <v>#NAME?</v>
      </c>
      <c r="AH104" s="13"/>
      <c r="AI104" s="13"/>
      <c r="AJ104" s="13"/>
      <c r="AK104" s="13"/>
      <c r="AL104" s="13"/>
      <c r="AM104" s="13"/>
      <c r="AN104" s="133" t="e">
        <f ca="1">(AN98-AN88+'Investment Memo'!$I$28)/AN93</f>
        <v>#NAME?</v>
      </c>
      <c r="AO104" s="133" t="e">
        <f ca="1">(AO98-AO88+'Investment Memo'!$I$28)/AO93</f>
        <v>#NAME?</v>
      </c>
      <c r="AP104" s="133" t="e">
        <f ca="1">(AP98-AP88+'Investment Memo'!$I$28)/AP93</f>
        <v>#NAME?</v>
      </c>
      <c r="AQ104" s="13"/>
      <c r="AR104" s="13"/>
      <c r="AS104" s="13"/>
      <c r="AT104" s="198"/>
      <c r="AU104" s="194"/>
      <c r="AV104" s="194"/>
      <c r="AW104" s="194"/>
    </row>
    <row r="105" spans="1:52" ht="13" x14ac:dyDescent="0.3">
      <c r="A105" s="1" t="s">
        <v>145</v>
      </c>
      <c r="S105" s="185" t="e">
        <f ca="1">(S73+S75)/'Investment Memo'!$I$28</f>
        <v>#NAME?</v>
      </c>
      <c r="U105" s="185"/>
      <c r="V105" s="185"/>
      <c r="W105" s="185"/>
      <c r="X105" s="185"/>
      <c r="Z105" s="185" t="e">
        <f ca="1">(Z73+Z75)/'Investment Memo'!$I$28</f>
        <v>#NAME?</v>
      </c>
      <c r="AB105" s="185"/>
      <c r="AC105" s="185"/>
      <c r="AD105" s="185"/>
      <c r="AE105" s="185"/>
      <c r="AG105" s="185" t="e">
        <f ca="1">(AG73+AG75)/'Investment Memo'!$I$28</f>
        <v>#NAME?</v>
      </c>
      <c r="AH105" s="185"/>
      <c r="AI105" s="185"/>
      <c r="AJ105" s="185"/>
      <c r="AK105" s="185"/>
      <c r="AL105" s="185"/>
      <c r="AM105" s="185"/>
      <c r="AN105" s="229" t="e">
        <f ca="1">(AN73+AN75)/'Investment Memo'!$I$28</f>
        <v>#NAME?</v>
      </c>
      <c r="AO105" s="229" t="e">
        <f ca="1">(AO73+AO75)/'Investment Memo'!$I$28</f>
        <v>#NAME?</v>
      </c>
      <c r="AP105" s="229" t="e">
        <f ca="1">(AP73+AP75)/'Investment Memo'!$I$28</f>
        <v>#NAME?</v>
      </c>
      <c r="AQ105" s="185"/>
      <c r="AR105" s="185"/>
      <c r="AS105" s="185"/>
      <c r="AT105" s="199"/>
      <c r="AU105" s="194"/>
      <c r="AV105" s="194"/>
      <c r="AW105" s="194"/>
    </row>
  </sheetData>
  <pageMargins left="0.75" right="0.75" top="1" bottom="1" header="0.5" footer="0.5"/>
  <pageSetup scale="20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1562-54EE-48B2-B597-05526C854EC9}">
  <sheetPr codeName="Sheet3"/>
  <dimension ref="A1:AD40"/>
  <sheetViews>
    <sheetView showGridLines="0" view="pageBreakPreview" zoomScaleNormal="10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9.36328125" defaultRowHeight="12.5" outlineLevelCol="1" x14ac:dyDescent="0.25"/>
  <cols>
    <col min="1" max="1" width="36.36328125" style="167" customWidth="1"/>
    <col min="2" max="6" width="10.6328125" style="167" customWidth="1"/>
    <col min="7" max="10" width="10.6328125" style="167" hidden="1" customWidth="1" outlineLevel="1"/>
    <col min="11" max="11" width="10.6328125" style="167" customWidth="1" collapsed="1"/>
    <col min="12" max="15" width="10.6328125" style="167" hidden="1" customWidth="1" outlineLevel="1"/>
    <col min="16" max="16" width="10.6328125" style="167" customWidth="1" collapsed="1"/>
    <col min="17" max="20" width="10.6328125" style="167" hidden="1" customWidth="1" outlineLevel="1"/>
    <col min="21" max="21" width="10.6328125" style="167" customWidth="1" collapsed="1"/>
    <col min="22" max="25" width="10.6328125" style="167" hidden="1" customWidth="1" outlineLevel="1"/>
    <col min="26" max="26" width="10.6328125" style="167" customWidth="1" collapsed="1"/>
    <col min="27" max="27" width="10.6328125" style="167" customWidth="1"/>
    <col min="28" max="16384" width="9.36328125" style="167"/>
  </cols>
  <sheetData>
    <row r="1" spans="1:28" s="141" customFormat="1" ht="13" x14ac:dyDescent="0.3">
      <c r="A1" s="140" t="s">
        <v>77</v>
      </c>
      <c r="B1" s="140"/>
    </row>
    <row r="2" spans="1:28" s="141" customFormat="1" ht="13" x14ac:dyDescent="0.3">
      <c r="A2" s="141" t="s">
        <v>93</v>
      </c>
    </row>
    <row r="3" spans="1:28" s="140" customFormat="1" ht="13" x14ac:dyDescent="0.3">
      <c r="A3" s="142" t="s">
        <v>72</v>
      </c>
      <c r="B3" s="143" t="s">
        <v>109</v>
      </c>
      <c r="C3" s="143" t="s">
        <v>73</v>
      </c>
      <c r="D3" s="143" t="s">
        <v>105</v>
      </c>
      <c r="E3" s="143" t="s">
        <v>106</v>
      </c>
      <c r="F3" s="143" t="s">
        <v>111</v>
      </c>
      <c r="G3" s="143" t="s">
        <v>129</v>
      </c>
      <c r="H3" s="143" t="s">
        <v>130</v>
      </c>
      <c r="I3" s="143" t="s">
        <v>131</v>
      </c>
      <c r="J3" s="143" t="s">
        <v>164</v>
      </c>
      <c r="K3" s="143" t="s">
        <v>165</v>
      </c>
      <c r="L3" s="143" t="s">
        <v>185</v>
      </c>
      <c r="M3" s="143" t="s">
        <v>186</v>
      </c>
      <c r="N3" s="143" t="s">
        <v>187</v>
      </c>
      <c r="O3" s="143" t="s">
        <v>146</v>
      </c>
      <c r="P3" s="143" t="s">
        <v>192</v>
      </c>
      <c r="Q3" s="143" t="s">
        <v>197</v>
      </c>
      <c r="R3" s="143" t="s">
        <v>198</v>
      </c>
      <c r="S3" s="143" t="s">
        <v>188</v>
      </c>
      <c r="T3" s="143" t="s">
        <v>189</v>
      </c>
      <c r="U3" s="143" t="s">
        <v>205</v>
      </c>
      <c r="V3" s="143" t="s">
        <v>206</v>
      </c>
      <c r="W3" s="143" t="s">
        <v>207</v>
      </c>
      <c r="X3" s="143" t="s">
        <v>208</v>
      </c>
      <c r="Y3" s="143" t="s">
        <v>209</v>
      </c>
      <c r="Z3" s="143" t="s">
        <v>148</v>
      </c>
      <c r="AA3" s="143" t="s">
        <v>191</v>
      </c>
      <c r="AB3" s="143" t="s">
        <v>215</v>
      </c>
    </row>
    <row r="4" spans="1:28" s="140" customFormat="1" ht="13" x14ac:dyDescent="0.3"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Q4" s="151"/>
      <c r="R4" s="151"/>
      <c r="S4" s="151"/>
      <c r="T4" s="151"/>
    </row>
    <row r="5" spans="1:28" s="140" customFormat="1" ht="13" x14ac:dyDescent="0.3">
      <c r="A5" s="140" t="s">
        <v>75</v>
      </c>
      <c r="B5" s="144">
        <f>+Model!B41</f>
        <v>110360</v>
      </c>
      <c r="C5" s="144">
        <f>+Model!C41</f>
        <v>125843</v>
      </c>
      <c r="D5" s="144">
        <f>+Model!D41</f>
        <v>143015</v>
      </c>
      <c r="E5" s="144">
        <f>+Model!E41</f>
        <v>168088</v>
      </c>
      <c r="F5" s="144">
        <f>+Model!L41</f>
        <v>198270</v>
      </c>
      <c r="G5" s="144">
        <f>+Model!N41+Model!J41+Model!I41+Model!H41</f>
        <v>203075</v>
      </c>
      <c r="H5" s="144">
        <f>+Model!O41+Model!N41+Model!J41+Model!I41</f>
        <v>204094</v>
      </c>
      <c r="I5" s="144">
        <f>+Model!P41+Model!O41+Model!N41+Model!J41</f>
        <v>207591</v>
      </c>
      <c r="J5" s="144">
        <f>SUM(Model!N41:Q41)</f>
        <v>211915</v>
      </c>
      <c r="K5" s="144">
        <f>+Model!S41</f>
        <v>211915</v>
      </c>
      <c r="L5" s="144">
        <f>SUM(Model!U41,Model!O41:Q41)</f>
        <v>218310</v>
      </c>
      <c r="M5" s="144">
        <f>SUM(Model!U41:V41,Model!P41:Q41)</f>
        <v>227583</v>
      </c>
      <c r="N5" s="144">
        <f>SUM(Model!U41:W41,Model!Q41)</f>
        <v>236584</v>
      </c>
      <c r="O5" s="144">
        <f>SUM(Model!U41:X41)</f>
        <v>245122</v>
      </c>
      <c r="P5" s="144">
        <f>+Model!Z41</f>
        <v>245122</v>
      </c>
      <c r="Q5" s="144">
        <f>SUM(Model!V41:X41,Model!AB41)</f>
        <v>254190</v>
      </c>
      <c r="R5" s="144">
        <f>SUM(Model!W41:X41,Model!AB41:AC41)</f>
        <v>261802</v>
      </c>
      <c r="S5" s="144">
        <f>SUM(Model!X41,Model!AB41:AD41)</f>
        <v>270010</v>
      </c>
      <c r="T5" s="144">
        <f>SUM(Model!AB41:AE41)</f>
        <v>281724</v>
      </c>
      <c r="U5" s="144">
        <f>SUM(Model!AB41:AE41)</f>
        <v>281724</v>
      </c>
      <c r="V5" s="144">
        <f>Model!AI41+Model!AE41+Model!AD41+Model!AC41</f>
        <v>291708.43</v>
      </c>
      <c r="W5" s="144">
        <f>Model!AJ41+Model!AI41+Model!AE41+Model!AD41</f>
        <v>302109.38</v>
      </c>
      <c r="X5" s="144">
        <f>Model!AK41+Model!AJ41+Model!AI41+Model!AE41</f>
        <v>312817.65999999997</v>
      </c>
      <c r="Y5" s="144">
        <f>Model!AL41+Model!AK41+Model!AJ41+Model!AI41</f>
        <v>324618.90999999997</v>
      </c>
      <c r="Z5" s="144">
        <f>Model!AN41</f>
        <v>324618.90999999997</v>
      </c>
      <c r="AA5" s="144">
        <f>Model!AO41</f>
        <v>359590.67179999995</v>
      </c>
      <c r="AB5" s="144">
        <f>Model!AP41</f>
        <v>404163.41477249999</v>
      </c>
    </row>
    <row r="6" spans="1:28" s="140" customFormat="1" ht="13" x14ac:dyDescent="0.3">
      <c r="A6" s="140" t="s">
        <v>108</v>
      </c>
      <c r="B6" s="144">
        <f>-SUM(Model!B44:B45)</f>
        <v>38353</v>
      </c>
      <c r="C6" s="144">
        <f>-SUM(Model!C44:C45)</f>
        <v>42910</v>
      </c>
      <c r="D6" s="144">
        <f>-SUM(Model!D44:D45)</f>
        <v>46078</v>
      </c>
      <c r="E6" s="144">
        <f>-SUM(Model!E44:E45)</f>
        <v>52232</v>
      </c>
      <c r="F6" s="144">
        <f>-SUM(Model!L44:L45)</f>
        <v>62650</v>
      </c>
      <c r="G6" s="144">
        <f>-SUM(Model!N44:N45,Model!H44:J45)</f>
        <v>64456</v>
      </c>
      <c r="H6" s="144">
        <f>-SUM(Model!N44:O45,Model!I44:J45)</f>
        <v>64984</v>
      </c>
      <c r="I6" s="144">
        <f>-SUM(Model!N44:P45,Model!J44:J45)</f>
        <v>65497</v>
      </c>
      <c r="J6" s="144">
        <f>-SUM(Model!N44:Q45)</f>
        <v>65863</v>
      </c>
      <c r="K6" s="144">
        <f>-SUM(Model!S44:S45)</f>
        <v>65863</v>
      </c>
      <c r="L6" s="144">
        <f>-SUM(Model!U44:U45,Model!O44:Q45)</f>
        <v>66713</v>
      </c>
      <c r="M6" s="144">
        <f>-SUM(Model!U44:V45,Model!P44:Q45)</f>
        <v>68848</v>
      </c>
      <c r="N6" s="144">
        <f>-SUM(Model!U44:W45,Model!Q44:Q45)</f>
        <v>71225</v>
      </c>
      <c r="O6" s="144">
        <f>-SUM(Model!U44:X45)</f>
        <v>74114</v>
      </c>
      <c r="P6" s="144">
        <f>-SUM(Model!Z44:Z45)</f>
        <v>74114</v>
      </c>
      <c r="Q6" s="144">
        <f>-SUM(Model!V44:X45,Model!AB44:AB45)</f>
        <v>77911</v>
      </c>
      <c r="R6" s="144">
        <f>-SUM(Model!W44:X45,Model!AB44:AC45)</f>
        <v>80087</v>
      </c>
      <c r="S6" s="144">
        <f>-SUM(Model!X44:X45,Model!AB44:AD45)</f>
        <v>83501</v>
      </c>
      <c r="T6" s="144">
        <f>-SUM(Model!AB44:AE45)</f>
        <v>87831</v>
      </c>
      <c r="U6" s="144">
        <f>-SUM(Model!AB44:AE45)</f>
        <v>87831</v>
      </c>
      <c r="V6" s="144">
        <f>-SUM(Model!AI44:AI45,Model!AC44:AE45)</f>
        <v>91914.217600000004</v>
      </c>
      <c r="W6" s="144">
        <f>-SUM(Model!AI44:AJ45,Model!AD44:AE45)</f>
        <v>95805.794549999991</v>
      </c>
      <c r="X6" s="144">
        <f>-SUM(Model!AI44:AK45,Model!AE44:AE45)</f>
        <v>99896.112710000001</v>
      </c>
      <c r="Y6" s="144">
        <f>-SUM(Model!AI44:AL45)</f>
        <v>104384.35946000001</v>
      </c>
      <c r="Z6" s="144">
        <f>-SUM(Model!AN44:AN45)</f>
        <v>104384.35946000001</v>
      </c>
      <c r="AA6" s="144">
        <f>-SUM(Model!AO44:AO45)</f>
        <v>115788.19631959999</v>
      </c>
      <c r="AB6" s="144">
        <f>-SUM(Model!AP44:AP45)</f>
        <v>126503.14882379249</v>
      </c>
    </row>
    <row r="7" spans="1:28" s="140" customFormat="1" ht="13" x14ac:dyDescent="0.3"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</row>
    <row r="8" spans="1:28" s="140" customFormat="1" ht="13" x14ac:dyDescent="0.3">
      <c r="A8" s="141" t="s">
        <v>89</v>
      </c>
      <c r="B8" s="152">
        <v>26481</v>
      </c>
      <c r="C8" s="152">
        <v>29524</v>
      </c>
      <c r="D8" s="152">
        <v>32011</v>
      </c>
      <c r="E8" s="152">
        <v>38043</v>
      </c>
      <c r="F8" s="152">
        <v>44261</v>
      </c>
      <c r="G8" s="152">
        <v>31279</v>
      </c>
      <c r="H8" s="152">
        <v>35833</v>
      </c>
      <c r="I8" s="152">
        <v>37420</v>
      </c>
      <c r="J8" s="152">
        <v>48688</v>
      </c>
      <c r="K8" s="152">
        <f>+K9*K$5</f>
        <v>48688</v>
      </c>
      <c r="L8" s="152">
        <v>36953</v>
      </c>
      <c r="M8" s="152">
        <v>42831</v>
      </c>
      <c r="N8" s="152">
        <v>44029</v>
      </c>
      <c r="O8" s="152">
        <v>56924</v>
      </c>
      <c r="P8" s="152">
        <f>+P9*P$5</f>
        <v>56924</v>
      </c>
      <c r="Q8" s="152">
        <v>44148</v>
      </c>
      <c r="R8" s="152">
        <v>48188</v>
      </c>
      <c r="S8" s="152">
        <v>51700</v>
      </c>
      <c r="T8" s="152">
        <v>69905</v>
      </c>
      <c r="U8" s="153">
        <f>T8</f>
        <v>69905</v>
      </c>
      <c r="V8" s="153">
        <f t="shared" ref="V8" si="0">+V9*V$5</f>
        <v>71468.56534999999</v>
      </c>
      <c r="W8" s="153">
        <f t="shared" ref="W8:AB8" si="1">+W9*W$5</f>
        <v>78548.438800000004</v>
      </c>
      <c r="X8" s="153">
        <f t="shared" si="1"/>
        <v>84460.768200000006</v>
      </c>
      <c r="Y8" s="153">
        <f t="shared" si="1"/>
        <v>89270.200249999994</v>
      </c>
      <c r="Z8" s="153">
        <f t="shared" si="1"/>
        <v>89270.200249999994</v>
      </c>
      <c r="AA8" s="153">
        <f t="shared" si="1"/>
        <v>97089.481385999999</v>
      </c>
      <c r="AB8" s="153">
        <f t="shared" si="1"/>
        <v>101040.853693125</v>
      </c>
    </row>
    <row r="9" spans="1:28" s="140" customFormat="1" ht="13" x14ac:dyDescent="0.3">
      <c r="A9" s="141" t="s">
        <v>82</v>
      </c>
      <c r="B9" s="145">
        <f>B8/B$5</f>
        <v>0.23995106922798115</v>
      </c>
      <c r="C9" s="145">
        <f>C8/C$5</f>
        <v>0.23460979156568104</v>
      </c>
      <c r="D9" s="145">
        <f t="shared" ref="D9:F9" si="2">D8/D$5</f>
        <v>0.22382966821662065</v>
      </c>
      <c r="E9" s="145">
        <f t="shared" si="2"/>
        <v>0.2263278758745419</v>
      </c>
      <c r="F9" s="145">
        <f t="shared" si="2"/>
        <v>0.22323599132496091</v>
      </c>
      <c r="G9" s="145">
        <f t="shared" ref="G9:I9" si="3">G8/G$5</f>
        <v>0.15402683737535394</v>
      </c>
      <c r="H9" s="145">
        <f t="shared" si="3"/>
        <v>0.17557106039374015</v>
      </c>
      <c r="I9" s="145">
        <f t="shared" si="3"/>
        <v>0.18025829636159563</v>
      </c>
      <c r="J9" s="145">
        <f t="shared" ref="J9:L9" si="4">J8/J$5</f>
        <v>0.22975249510416912</v>
      </c>
      <c r="K9" s="145">
        <f>+J9</f>
        <v>0.22975249510416912</v>
      </c>
      <c r="L9" s="145">
        <f t="shared" si="4"/>
        <v>0.16926847143969584</v>
      </c>
      <c r="M9" s="145">
        <f t="shared" ref="M9:O9" si="5">M8/M$5</f>
        <v>0.18819947008344209</v>
      </c>
      <c r="N9" s="145">
        <f t="shared" si="5"/>
        <v>0.18610303317215027</v>
      </c>
      <c r="O9" s="145">
        <f t="shared" si="5"/>
        <v>0.23222721746722041</v>
      </c>
      <c r="P9" s="145">
        <f>O9</f>
        <v>0.23222721746722041</v>
      </c>
      <c r="Q9" s="145">
        <f t="shared" ref="Q9:U9" si="6">Q8/Q$5</f>
        <v>0.17368110468547149</v>
      </c>
      <c r="R9" s="145">
        <f t="shared" si="6"/>
        <v>0.18406276499033622</v>
      </c>
      <c r="S9" s="145">
        <f t="shared" si="6"/>
        <v>0.19147438983741344</v>
      </c>
      <c r="T9" s="145">
        <f t="shared" si="6"/>
        <v>0.24813292442248441</v>
      </c>
      <c r="U9" s="145">
        <f t="shared" si="6"/>
        <v>0.24813292442248441</v>
      </c>
      <c r="V9" s="163">
        <v>0.245</v>
      </c>
      <c r="W9" s="163">
        <v>0.26</v>
      </c>
      <c r="X9" s="163">
        <v>0.27</v>
      </c>
      <c r="Y9" s="163">
        <v>0.27500000000000002</v>
      </c>
      <c r="Z9" s="163">
        <f>Y9</f>
        <v>0.27500000000000002</v>
      </c>
      <c r="AA9" s="163">
        <v>0.27</v>
      </c>
      <c r="AB9" s="163">
        <v>0.25</v>
      </c>
    </row>
    <row r="10" spans="1:28" s="140" customFormat="1" ht="13" x14ac:dyDescent="0.3">
      <c r="A10" s="141" t="s">
        <v>86</v>
      </c>
      <c r="B10" s="153">
        <f>365*B8/B$5</f>
        <v>87.582140268213124</v>
      </c>
      <c r="C10" s="153">
        <f>365*C8/C$5</f>
        <v>85.632573921473579</v>
      </c>
      <c r="D10" s="153">
        <f t="shared" ref="D10:P10" si="7">365*D8/D$5</f>
        <v>81.697828899066536</v>
      </c>
      <c r="E10" s="153">
        <f t="shared" si="7"/>
        <v>82.609674694207797</v>
      </c>
      <c r="F10" s="153">
        <f t="shared" si="7"/>
        <v>81.481136833610734</v>
      </c>
      <c r="G10" s="153">
        <f t="shared" ref="G10:I10" si="8">365*G8/G$5</f>
        <v>56.219795642004186</v>
      </c>
      <c r="H10" s="153">
        <f t="shared" si="8"/>
        <v>64.083437043715151</v>
      </c>
      <c r="I10" s="153">
        <f t="shared" si="8"/>
        <v>65.794278171982413</v>
      </c>
      <c r="J10" s="153">
        <f t="shared" ref="J10" si="9">365*J8/J$5</f>
        <v>83.859660713021725</v>
      </c>
      <c r="K10" s="153">
        <f>365*K8/K$5</f>
        <v>83.859660713021725</v>
      </c>
      <c r="L10" s="153">
        <f>365*L8/L$5</f>
        <v>61.782992075488984</v>
      </c>
      <c r="M10" s="153">
        <f>365*M8/M$5</f>
        <v>68.692806580456363</v>
      </c>
      <c r="N10" s="153">
        <f>365*N8/N$5</f>
        <v>67.927607107834845</v>
      </c>
      <c r="O10" s="153">
        <f t="shared" si="7"/>
        <v>84.762934375535451</v>
      </c>
      <c r="P10" s="153">
        <f t="shared" si="7"/>
        <v>84.762934375535451</v>
      </c>
      <c r="Q10" s="153">
        <f t="shared" ref="Q10:Y10" si="10">365*Q8/Q$5</f>
        <v>63.393603210197099</v>
      </c>
      <c r="R10" s="153">
        <f t="shared" si="10"/>
        <v>67.182909221472713</v>
      </c>
      <c r="S10" s="153">
        <f t="shared" si="10"/>
        <v>69.888152290655896</v>
      </c>
      <c r="T10" s="153">
        <f t="shared" si="10"/>
        <v>90.568517414206809</v>
      </c>
      <c r="U10" s="153">
        <f t="shared" si="10"/>
        <v>90.568517414206809</v>
      </c>
      <c r="V10" s="153">
        <f t="shared" si="10"/>
        <v>89.424999999999983</v>
      </c>
      <c r="W10" s="153">
        <f t="shared" si="10"/>
        <v>94.9</v>
      </c>
      <c r="X10" s="153">
        <f t="shared" si="10"/>
        <v>98.550000000000011</v>
      </c>
      <c r="Y10" s="153">
        <f t="shared" si="10"/>
        <v>100.375</v>
      </c>
      <c r="Z10" s="153">
        <f>365*Z8/Z$5</f>
        <v>100.375</v>
      </c>
      <c r="AA10" s="153">
        <f>365*AA8/AA$5</f>
        <v>98.550000000000011</v>
      </c>
      <c r="AB10" s="153">
        <f>365*AB8/AB$5</f>
        <v>91.25</v>
      </c>
    </row>
    <row r="11" spans="1:28" s="140" customFormat="1" ht="13" x14ac:dyDescent="0.3">
      <c r="A11" s="14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</row>
    <row r="12" spans="1:28" s="140" customFormat="1" ht="13" x14ac:dyDescent="0.3">
      <c r="A12" s="141" t="s">
        <v>102</v>
      </c>
      <c r="B12" s="152">
        <v>2662</v>
      </c>
      <c r="C12" s="152">
        <v>2063</v>
      </c>
      <c r="D12" s="152">
        <v>1895</v>
      </c>
      <c r="E12" s="152">
        <v>2636</v>
      </c>
      <c r="F12" s="152">
        <v>3742</v>
      </c>
      <c r="G12" s="152">
        <v>4268</v>
      </c>
      <c r="H12" s="152">
        <v>2980</v>
      </c>
      <c r="I12" s="152">
        <v>2877</v>
      </c>
      <c r="J12" s="152">
        <v>2500</v>
      </c>
      <c r="K12" s="152">
        <f t="shared" ref="K12" si="11">+K13*K$6</f>
        <v>2500</v>
      </c>
      <c r="L12" s="152">
        <v>3000</v>
      </c>
      <c r="M12" s="152">
        <v>1615</v>
      </c>
      <c r="N12" s="152">
        <v>1304</v>
      </c>
      <c r="O12" s="152">
        <v>1246</v>
      </c>
      <c r="P12" s="152">
        <f>+P13*P$6</f>
        <v>1246</v>
      </c>
      <c r="Q12" s="152">
        <v>1626</v>
      </c>
      <c r="R12" s="152">
        <v>909</v>
      </c>
      <c r="S12" s="152">
        <v>848</v>
      </c>
      <c r="T12" s="152">
        <v>938</v>
      </c>
      <c r="U12" s="153">
        <f>T12</f>
        <v>938</v>
      </c>
      <c r="V12" s="153">
        <f t="shared" ref="V12:Y12" si="12">+V13*V$6</f>
        <v>1011.0563936</v>
      </c>
      <c r="W12" s="153">
        <f t="shared" si="12"/>
        <v>1149.6695345999999</v>
      </c>
      <c r="X12" s="153">
        <f t="shared" si="12"/>
        <v>1298.64946523</v>
      </c>
      <c r="Y12" s="153">
        <f t="shared" si="12"/>
        <v>1461.3810324400001</v>
      </c>
      <c r="Z12" s="153">
        <f>+Z13*Z$6</f>
        <v>1461.3810324400001</v>
      </c>
      <c r="AA12" s="153">
        <f>+AA13*AA$6</f>
        <v>1736.8229447939998</v>
      </c>
      <c r="AB12" s="153">
        <f>+AB13*AB$6</f>
        <v>1771.0440835330949</v>
      </c>
    </row>
    <row r="13" spans="1:28" s="140" customFormat="1" ht="13" x14ac:dyDescent="0.3">
      <c r="A13" s="141" t="s">
        <v>83</v>
      </c>
      <c r="B13" s="145">
        <f>+B12/B$6</f>
        <v>6.9407869006335873E-2</v>
      </c>
      <c r="C13" s="145">
        <f>+C12/C$6</f>
        <v>4.8077371242134702E-2</v>
      </c>
      <c r="D13" s="145">
        <f t="shared" ref="D13:F13" si="13">+D12/D$6</f>
        <v>4.1125916923477585E-2</v>
      </c>
      <c r="E13" s="145">
        <f t="shared" si="13"/>
        <v>5.0467146576811152E-2</v>
      </c>
      <c r="F13" s="145">
        <f t="shared" si="13"/>
        <v>5.9728651237031125E-2</v>
      </c>
      <c r="G13" s="145">
        <f t="shared" ref="G13:H13" si="14">+G12/G$6</f>
        <v>6.6215713044557534E-2</v>
      </c>
      <c r="H13" s="145">
        <f t="shared" si="14"/>
        <v>4.585744183183553E-2</v>
      </c>
      <c r="I13" s="145">
        <f t="shared" ref="I13:L13" si="15">+I12/I$6</f>
        <v>4.3925675985159625E-2</v>
      </c>
      <c r="J13" s="145">
        <f t="shared" si="15"/>
        <v>3.7957578610145301E-2</v>
      </c>
      <c r="K13" s="145">
        <f>+J13</f>
        <v>3.7957578610145301E-2</v>
      </c>
      <c r="L13" s="145">
        <f t="shared" si="15"/>
        <v>4.4968746721028886E-2</v>
      </c>
      <c r="M13" s="145">
        <f t="shared" ref="M13:O13" si="16">+M12/M$6</f>
        <v>2.3457471531489658E-2</v>
      </c>
      <c r="N13" s="145">
        <f t="shared" si="16"/>
        <v>1.8308178308178307E-2</v>
      </c>
      <c r="O13" s="145">
        <f t="shared" si="16"/>
        <v>1.6811938365221147E-2</v>
      </c>
      <c r="P13" s="145">
        <f>O13</f>
        <v>1.6811938365221147E-2</v>
      </c>
      <c r="Q13" s="145">
        <f t="shared" ref="Q13:U13" si="17">+Q12/Q$6</f>
        <v>2.0869967013643773E-2</v>
      </c>
      <c r="R13" s="145">
        <f t="shared" si="17"/>
        <v>1.1350156704583765E-2</v>
      </c>
      <c r="S13" s="145">
        <f t="shared" si="17"/>
        <v>1.0155566999197615E-2</v>
      </c>
      <c r="T13" s="145">
        <f t="shared" si="17"/>
        <v>1.0679600596600289E-2</v>
      </c>
      <c r="U13" s="145">
        <f t="shared" si="17"/>
        <v>1.0679600596600289E-2</v>
      </c>
      <c r="V13" s="163">
        <v>1.0999999999999999E-2</v>
      </c>
      <c r="W13" s="163">
        <v>1.2E-2</v>
      </c>
      <c r="X13" s="163">
        <v>1.2999999999999999E-2</v>
      </c>
      <c r="Y13" s="163">
        <v>1.4E-2</v>
      </c>
      <c r="Z13" s="163">
        <f>Y13</f>
        <v>1.4E-2</v>
      </c>
      <c r="AA13" s="163">
        <v>1.4999999999999999E-2</v>
      </c>
      <c r="AB13" s="163">
        <v>1.4E-2</v>
      </c>
    </row>
    <row r="14" spans="1:28" s="140" customFormat="1" ht="13" x14ac:dyDescent="0.3">
      <c r="A14" s="141" t="s">
        <v>103</v>
      </c>
      <c r="B14" s="153">
        <f>365*B12/B$6</f>
        <v>25.333872187312597</v>
      </c>
      <c r="C14" s="153">
        <f>365*C12/C$6</f>
        <v>17.548240503379166</v>
      </c>
      <c r="D14" s="153">
        <f t="shared" ref="D14:P14" si="18">365*D12/D$6</f>
        <v>15.010959677069318</v>
      </c>
      <c r="E14" s="153">
        <f t="shared" si="18"/>
        <v>18.420508500536069</v>
      </c>
      <c r="F14" s="153">
        <f t="shared" si="18"/>
        <v>21.80095770151636</v>
      </c>
      <c r="G14" s="153">
        <f t="shared" ref="G14:H14" si="19">365*G12/G$6</f>
        <v>24.168735261263496</v>
      </c>
      <c r="H14" s="153">
        <f t="shared" si="19"/>
        <v>16.737966268619967</v>
      </c>
      <c r="I14" s="153">
        <f t="shared" ref="I14" si="20">365*I12/I$6</f>
        <v>16.032871734583264</v>
      </c>
      <c r="J14" s="153">
        <f t="shared" ref="J14" si="21">365*J12/J$6</f>
        <v>13.854516192703034</v>
      </c>
      <c r="K14" s="153">
        <f t="shared" si="18"/>
        <v>13.854516192703034</v>
      </c>
      <c r="L14" s="153">
        <f t="shared" si="18"/>
        <v>16.413592553175544</v>
      </c>
      <c r="M14" s="153">
        <f t="shared" ref="M14:N14" si="22">365*M12/M$6</f>
        <v>8.5619771089937249</v>
      </c>
      <c r="N14" s="153">
        <f t="shared" si="22"/>
        <v>6.6824850824850826</v>
      </c>
      <c r="O14" s="153">
        <f t="shared" si="18"/>
        <v>6.1363575033057183</v>
      </c>
      <c r="P14" s="153">
        <f t="shared" si="18"/>
        <v>6.1363575033057183</v>
      </c>
      <c r="Q14" s="153">
        <f t="shared" ref="Q14:Y14" si="23">365*Q12/Q$6</f>
        <v>7.6175379599799768</v>
      </c>
      <c r="R14" s="153">
        <f t="shared" si="23"/>
        <v>4.1428071971730747</v>
      </c>
      <c r="S14" s="153">
        <f t="shared" si="23"/>
        <v>3.7067819547071292</v>
      </c>
      <c r="T14" s="153">
        <f t="shared" si="23"/>
        <v>3.8980542177591055</v>
      </c>
      <c r="U14" s="153">
        <f t="shared" si="23"/>
        <v>3.8980542177591055</v>
      </c>
      <c r="V14" s="153">
        <f t="shared" si="23"/>
        <v>4.0149999999999997</v>
      </c>
      <c r="W14" s="153">
        <f t="shared" si="23"/>
        <v>4.38</v>
      </c>
      <c r="X14" s="153">
        <f t="shared" si="23"/>
        <v>4.7450000000000001</v>
      </c>
      <c r="Y14" s="153">
        <f t="shared" si="23"/>
        <v>5.1099999999999994</v>
      </c>
      <c r="Z14" s="153">
        <f>365*Z12/Z$6</f>
        <v>5.1099999999999994</v>
      </c>
      <c r="AA14" s="153">
        <f>365*AA12/AA$6</f>
        <v>5.4749999999999996</v>
      </c>
      <c r="AB14" s="153">
        <f>365*AB12/AB$6</f>
        <v>5.1099999999999994</v>
      </c>
    </row>
    <row r="15" spans="1:28" s="140" customFormat="1" ht="13" x14ac:dyDescent="0.3">
      <c r="A15" s="14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</row>
    <row r="16" spans="1:28" s="140" customFormat="1" ht="13" x14ac:dyDescent="0.3">
      <c r="A16" s="141" t="s">
        <v>132</v>
      </c>
      <c r="B16" s="152">
        <v>6751</v>
      </c>
      <c r="C16" s="152">
        <v>10146</v>
      </c>
      <c r="D16" s="152">
        <v>11482</v>
      </c>
      <c r="E16" s="152">
        <v>13393</v>
      </c>
      <c r="F16" s="152">
        <v>16924</v>
      </c>
      <c r="G16" s="152">
        <v>18003</v>
      </c>
      <c r="H16" s="152">
        <v>19502</v>
      </c>
      <c r="I16" s="152">
        <v>19165</v>
      </c>
      <c r="J16" s="152">
        <v>21807</v>
      </c>
      <c r="K16" s="152">
        <f t="shared" ref="K16" si="24">+K17*K$5</f>
        <v>21807</v>
      </c>
      <c r="L16" s="152">
        <v>23682</v>
      </c>
      <c r="M16" s="152">
        <v>21930</v>
      </c>
      <c r="N16" s="152">
        <v>21826</v>
      </c>
      <c r="O16" s="152">
        <v>26021</v>
      </c>
      <c r="P16" s="152">
        <f>+P17*P$5</f>
        <v>26021</v>
      </c>
      <c r="Q16" s="152">
        <v>25724</v>
      </c>
      <c r="R16" s="152">
        <v>26428</v>
      </c>
      <c r="S16" s="152">
        <v>24478</v>
      </c>
      <c r="T16" s="152">
        <v>25723</v>
      </c>
      <c r="U16" s="153">
        <f>T16</f>
        <v>25723</v>
      </c>
      <c r="V16" s="153">
        <f t="shared" ref="V16:Y16" si="25">+V17*V$5</f>
        <v>26253.758699999998</v>
      </c>
      <c r="W16" s="153">
        <f t="shared" si="25"/>
        <v>27491.953580000001</v>
      </c>
      <c r="X16" s="153">
        <f t="shared" si="25"/>
        <v>28779.224719999998</v>
      </c>
      <c r="Y16" s="153">
        <f t="shared" si="25"/>
        <v>30189.558629999996</v>
      </c>
      <c r="Z16" s="153">
        <f>+Z17*Z$5</f>
        <v>30189.558629999996</v>
      </c>
      <c r="AA16" s="153">
        <f>+AA17*AA$5</f>
        <v>32363.160461999996</v>
      </c>
      <c r="AB16" s="153">
        <f>+AB17*AB$5</f>
        <v>34758.053670434994</v>
      </c>
    </row>
    <row r="17" spans="1:30" s="140" customFormat="1" ht="13" x14ac:dyDescent="0.3">
      <c r="A17" s="141" t="s">
        <v>82</v>
      </c>
      <c r="B17" s="145">
        <f>B16/B$5</f>
        <v>6.1172526277636828E-2</v>
      </c>
      <c r="C17" s="145">
        <f>C16/C$5</f>
        <v>8.0624269923635E-2</v>
      </c>
      <c r="D17" s="145">
        <f t="shared" ref="D17:I17" si="26">D16/D$5</f>
        <v>8.0285284760339831E-2</v>
      </c>
      <c r="E17" s="145">
        <f t="shared" si="26"/>
        <v>7.9678501737185284E-2</v>
      </c>
      <c r="F17" s="145">
        <f t="shared" si="26"/>
        <v>8.5358349725122309E-2</v>
      </c>
      <c r="G17" s="145">
        <f t="shared" si="26"/>
        <v>8.8651975870983626E-2</v>
      </c>
      <c r="H17" s="145">
        <f t="shared" si="26"/>
        <v>9.5554009427028727E-2</v>
      </c>
      <c r="I17" s="145">
        <f t="shared" si="26"/>
        <v>9.2320958037679868E-2</v>
      </c>
      <c r="J17" s="145">
        <f t="shared" ref="J17:O17" si="27">J16/J$5</f>
        <v>0.10290446641342048</v>
      </c>
      <c r="K17" s="145">
        <f>+J17</f>
        <v>0.10290446641342048</v>
      </c>
      <c r="L17" s="145">
        <f t="shared" si="27"/>
        <v>0.10847876872337502</v>
      </c>
      <c r="M17" s="145">
        <f t="shared" si="27"/>
        <v>9.6360448715413716E-2</v>
      </c>
      <c r="N17" s="145">
        <f t="shared" si="27"/>
        <v>9.2254759408920292E-2</v>
      </c>
      <c r="O17" s="145">
        <f t="shared" si="27"/>
        <v>0.1061553022576513</v>
      </c>
      <c r="P17" s="145">
        <f>O17</f>
        <v>0.1061553022576513</v>
      </c>
      <c r="Q17" s="145">
        <f t="shared" ref="Q17:U17" si="28">Q16/Q$5</f>
        <v>0.10119988984617806</v>
      </c>
      <c r="R17" s="145">
        <f t="shared" si="28"/>
        <v>0.10094651683333206</v>
      </c>
      <c r="S17" s="145">
        <f t="shared" si="28"/>
        <v>9.0655901633272848E-2</v>
      </c>
      <c r="T17" s="145">
        <f t="shared" si="28"/>
        <v>9.1305675057858041E-2</v>
      </c>
      <c r="U17" s="145">
        <f t="shared" si="28"/>
        <v>9.1305675057858041E-2</v>
      </c>
      <c r="V17" s="163">
        <v>0.09</v>
      </c>
      <c r="W17" s="163">
        <v>9.0999999999999998E-2</v>
      </c>
      <c r="X17" s="163">
        <v>9.1999999999999998E-2</v>
      </c>
      <c r="Y17" s="163">
        <v>9.2999999999999999E-2</v>
      </c>
      <c r="Z17" s="163">
        <f>Y17</f>
        <v>9.2999999999999999E-2</v>
      </c>
      <c r="AA17" s="163">
        <v>0.09</v>
      </c>
      <c r="AB17" s="163">
        <v>8.5999999999999993E-2</v>
      </c>
    </row>
    <row r="18" spans="1:30" s="140" customFormat="1" ht="13" x14ac:dyDescent="0.3">
      <c r="A18" s="14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</row>
    <row r="19" spans="1:30" s="140" customFormat="1" ht="13" x14ac:dyDescent="0.3">
      <c r="A19" s="141" t="s">
        <v>133</v>
      </c>
      <c r="B19" s="152">
        <v>7442</v>
      </c>
      <c r="C19" s="152">
        <v>14723</v>
      </c>
      <c r="D19" s="152">
        <v>13138</v>
      </c>
      <c r="E19" s="152">
        <v>15075</v>
      </c>
      <c r="F19" s="152">
        <v>21897</v>
      </c>
      <c r="G19" s="152">
        <v>23482</v>
      </c>
      <c r="H19" s="152">
        <v>24994</v>
      </c>
      <c r="I19" s="152">
        <v>26954</v>
      </c>
      <c r="J19" s="152">
        <v>30601</v>
      </c>
      <c r="K19" s="152">
        <f t="shared" ref="K19" si="29">+K20*K$5</f>
        <v>30601</v>
      </c>
      <c r="L19" s="152">
        <v>32154</v>
      </c>
      <c r="M19" s="152">
        <v>32265</v>
      </c>
      <c r="N19" s="152">
        <v>35551</v>
      </c>
      <c r="O19" s="152">
        <v>36460</v>
      </c>
      <c r="P19" s="152">
        <f>+P20*P$5</f>
        <v>36460</v>
      </c>
      <c r="Q19" s="152">
        <v>37793</v>
      </c>
      <c r="R19" s="152">
        <v>36943</v>
      </c>
      <c r="S19" s="152">
        <v>38234</v>
      </c>
      <c r="T19" s="152">
        <v>40565</v>
      </c>
      <c r="U19" s="153">
        <f>T19</f>
        <v>40565</v>
      </c>
      <c r="V19" s="153">
        <f t="shared" ref="V19:Y19" si="30">+V20*V$5</f>
        <v>42006.013919999998</v>
      </c>
      <c r="W19" s="153">
        <f t="shared" si="30"/>
        <v>44107.96948</v>
      </c>
      <c r="X19" s="153">
        <f t="shared" si="30"/>
        <v>46297.013679999996</v>
      </c>
      <c r="Y19" s="153">
        <f t="shared" si="30"/>
        <v>48692.836499999998</v>
      </c>
      <c r="Z19" s="153">
        <f>+Z20*Z$5</f>
        <v>48692.836499999998</v>
      </c>
      <c r="AA19" s="153">
        <f>+AA20*AA$5</f>
        <v>52500.238082799988</v>
      </c>
      <c r="AB19" s="153">
        <f>+AB20*AB$5</f>
        <v>56582.878068150007</v>
      </c>
    </row>
    <row r="20" spans="1:30" s="141" customFormat="1" ht="13" x14ac:dyDescent="0.3">
      <c r="A20" s="141" t="s">
        <v>82</v>
      </c>
      <c r="B20" s="145">
        <f>B19/B$5</f>
        <v>6.7433852845233774E-2</v>
      </c>
      <c r="C20" s="145">
        <f>C19/C$5</f>
        <v>0.11699498581565919</v>
      </c>
      <c r="D20" s="145">
        <f t="shared" ref="D20" si="31">D19/D$5</f>
        <v>9.1864489738838581E-2</v>
      </c>
      <c r="E20" s="145">
        <f t="shared" ref="E20" si="32">E19/E$5</f>
        <v>8.968516491361668E-2</v>
      </c>
      <c r="F20" s="145">
        <f t="shared" ref="F20:I20" si="33">F19/F$5</f>
        <v>0.11044030866999546</v>
      </c>
      <c r="G20" s="145">
        <f t="shared" si="33"/>
        <v>0.11563215560753416</v>
      </c>
      <c r="H20" s="145">
        <f t="shared" si="33"/>
        <v>0.12246317873136887</v>
      </c>
      <c r="I20" s="145">
        <f t="shared" si="33"/>
        <v>0.12984185248878805</v>
      </c>
      <c r="J20" s="145">
        <f t="shared" ref="J20:O20" si="34">J19/J$5</f>
        <v>0.14440223674586508</v>
      </c>
      <c r="K20" s="145">
        <f>+J20</f>
        <v>0.14440223674586508</v>
      </c>
      <c r="L20" s="145">
        <f t="shared" si="34"/>
        <v>0.14728596949292291</v>
      </c>
      <c r="M20" s="145">
        <f t="shared" si="34"/>
        <v>0.14177245224819077</v>
      </c>
      <c r="N20" s="145">
        <f t="shared" si="34"/>
        <v>0.15026798092854968</v>
      </c>
      <c r="O20" s="145">
        <f t="shared" si="34"/>
        <v>0.14874225895676438</v>
      </c>
      <c r="P20" s="145">
        <f>O20</f>
        <v>0.14874225895676438</v>
      </c>
      <c r="Q20" s="145">
        <f t="shared" ref="Q20:U20" si="35">Q19/Q$5</f>
        <v>0.14868012116920415</v>
      </c>
      <c r="R20" s="145">
        <f t="shared" si="35"/>
        <v>0.14111045752133292</v>
      </c>
      <c r="S20" s="145">
        <f t="shared" si="35"/>
        <v>0.14160216288285618</v>
      </c>
      <c r="T20" s="145">
        <f t="shared" si="35"/>
        <v>0.14398844258920077</v>
      </c>
      <c r="U20" s="145">
        <f t="shared" si="35"/>
        <v>0.14398844258920077</v>
      </c>
      <c r="V20" s="163">
        <v>0.14399999999999999</v>
      </c>
      <c r="W20" s="163">
        <v>0.14599999999999999</v>
      </c>
      <c r="X20" s="163">
        <v>0.14799999999999999</v>
      </c>
      <c r="Y20" s="163">
        <v>0.15</v>
      </c>
      <c r="Z20" s="163">
        <f>Y20</f>
        <v>0.15</v>
      </c>
      <c r="AA20" s="163">
        <v>0.14599999999999999</v>
      </c>
      <c r="AB20" s="163">
        <v>0.14000000000000001</v>
      </c>
    </row>
    <row r="21" spans="1:30" s="141" customFormat="1" ht="13" x14ac:dyDescent="0.3"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40"/>
      <c r="V21" s="140"/>
      <c r="W21" s="140"/>
      <c r="X21" s="140"/>
      <c r="Y21" s="140"/>
      <c r="Z21" s="140"/>
      <c r="AA21" s="140"/>
    </row>
    <row r="22" spans="1:30" s="141" customFormat="1" ht="13" x14ac:dyDescent="0.3">
      <c r="A22" s="141" t="s">
        <v>107</v>
      </c>
      <c r="B22" s="152">
        <v>8617</v>
      </c>
      <c r="C22" s="152">
        <v>9382</v>
      </c>
      <c r="D22" s="152">
        <v>12530</v>
      </c>
      <c r="E22" s="152">
        <v>15163</v>
      </c>
      <c r="F22" s="152">
        <v>19000</v>
      </c>
      <c r="G22" s="152">
        <v>16609</v>
      </c>
      <c r="H22" s="152">
        <v>15354</v>
      </c>
      <c r="I22" s="152">
        <v>15305</v>
      </c>
      <c r="J22" s="152">
        <v>18095</v>
      </c>
      <c r="K22" s="152">
        <f t="shared" ref="K22" si="36">+K23*K$6</f>
        <v>18095</v>
      </c>
      <c r="L22" s="152">
        <v>19307</v>
      </c>
      <c r="M22" s="152">
        <v>17695</v>
      </c>
      <c r="N22" s="152">
        <v>18087</v>
      </c>
      <c r="O22" s="152">
        <v>21996</v>
      </c>
      <c r="P22" s="152">
        <f>+P23*P$6</f>
        <v>21996</v>
      </c>
      <c r="Q22" s="152">
        <v>22768</v>
      </c>
      <c r="R22" s="152">
        <v>22608</v>
      </c>
      <c r="S22" s="152">
        <v>26250</v>
      </c>
      <c r="T22" s="152">
        <v>27724</v>
      </c>
      <c r="U22" s="153">
        <f>T22</f>
        <v>27724</v>
      </c>
      <c r="V22" s="153">
        <f t="shared" ref="V22:Y22" si="37">+V23*V$6</f>
        <v>28493.407456000001</v>
      </c>
      <c r="W22" s="153">
        <f t="shared" si="37"/>
        <v>28741.738364999997</v>
      </c>
      <c r="X22" s="153">
        <f t="shared" si="37"/>
        <v>28969.872685899998</v>
      </c>
      <c r="Y22" s="153">
        <f t="shared" si="37"/>
        <v>31315.307838000001</v>
      </c>
      <c r="Z22" s="153">
        <f>+Z23*Z$6</f>
        <v>31315.307838000001</v>
      </c>
      <c r="AA22" s="153">
        <f>+AA23*AA$6</f>
        <v>34736.458895879994</v>
      </c>
      <c r="AB22" s="153">
        <f>+AB23*AB$6</f>
        <v>39215.976135375669</v>
      </c>
    </row>
    <row r="23" spans="1:30" s="141" customFormat="1" ht="13" x14ac:dyDescent="0.3">
      <c r="A23" s="141" t="s">
        <v>83</v>
      </c>
      <c r="B23" s="145">
        <f>+B22/B$6</f>
        <v>0.22467603577295125</v>
      </c>
      <c r="C23" s="145">
        <f>+C22/C$6</f>
        <v>0.2186436728035423</v>
      </c>
      <c r="D23" s="145">
        <f>+D22/D$6</f>
        <v>0.27193020530404965</v>
      </c>
      <c r="E23" s="145">
        <f>+E22/E$6</f>
        <v>0.29030096492571605</v>
      </c>
      <c r="F23" s="145">
        <f t="shared" ref="F23:G23" si="38">+F22/F$6</f>
        <v>0.30327214684756582</v>
      </c>
      <c r="G23" s="145">
        <f t="shared" si="38"/>
        <v>0.25767965744073479</v>
      </c>
      <c r="H23" s="145">
        <f t="shared" ref="H23:I23" si="39">+H22/H$6</f>
        <v>0.23627354425704788</v>
      </c>
      <c r="I23" s="145">
        <f t="shared" si="39"/>
        <v>0.23367482480113594</v>
      </c>
      <c r="J23" s="145">
        <f t="shared" ref="J23:L23" si="40">+J22/J$6</f>
        <v>0.27473695398023168</v>
      </c>
      <c r="K23" s="145">
        <f>+J23</f>
        <v>0.27473695398023168</v>
      </c>
      <c r="L23" s="145">
        <f t="shared" si="40"/>
        <v>0.28940386431430154</v>
      </c>
      <c r="M23" s="145">
        <f t="shared" ref="M23:O23" si="41">+M22/M$6</f>
        <v>0.25701545433418543</v>
      </c>
      <c r="N23" s="145">
        <f t="shared" si="41"/>
        <v>0.25394173394173392</v>
      </c>
      <c r="O23" s="145">
        <f t="shared" si="41"/>
        <v>0.29678603232857492</v>
      </c>
      <c r="P23" s="145">
        <f>O23</f>
        <v>0.29678603232857492</v>
      </c>
      <c r="Q23" s="145">
        <f t="shared" ref="Q23:U23" si="42">+Q22/Q$6</f>
        <v>0.2922308788232727</v>
      </c>
      <c r="R23" s="145">
        <f t="shared" si="42"/>
        <v>0.28229300635558829</v>
      </c>
      <c r="S23" s="145">
        <f t="shared" si="42"/>
        <v>0.31436749260487901</v>
      </c>
      <c r="T23" s="145">
        <f t="shared" si="42"/>
        <v>0.31565164918992156</v>
      </c>
      <c r="U23" s="145">
        <f t="shared" si="42"/>
        <v>0.31565164918992156</v>
      </c>
      <c r="V23" s="163">
        <v>0.31</v>
      </c>
      <c r="W23" s="163">
        <v>0.3</v>
      </c>
      <c r="X23" s="163">
        <v>0.28999999999999998</v>
      </c>
      <c r="Y23" s="163">
        <v>0.3</v>
      </c>
      <c r="Z23" s="163">
        <f>Y23</f>
        <v>0.3</v>
      </c>
      <c r="AA23" s="163">
        <v>0.3</v>
      </c>
      <c r="AB23" s="163">
        <v>0.31</v>
      </c>
    </row>
    <row r="24" spans="1:30" s="141" customFormat="1" ht="13" x14ac:dyDescent="0.3">
      <c r="A24" s="141" t="s">
        <v>87</v>
      </c>
      <c r="B24" s="153">
        <f>365*B22/B$6</f>
        <v>82.006753057127213</v>
      </c>
      <c r="C24" s="153">
        <f>365*C22/C$6</f>
        <v>79.804940573292939</v>
      </c>
      <c r="D24" s="153">
        <f t="shared" ref="D24:P24" si="43">365*D22/D$6</f>
        <v>99.254524935978125</v>
      </c>
      <c r="E24" s="153">
        <f t="shared" si="43"/>
        <v>105.95985219788635</v>
      </c>
      <c r="F24" s="153">
        <f t="shared" si="43"/>
        <v>110.69433359936153</v>
      </c>
      <c r="G24" s="153">
        <f t="shared" ref="G24:H24" si="44">365*G22/G$6</f>
        <v>94.053074965868191</v>
      </c>
      <c r="H24" s="153">
        <f t="shared" si="44"/>
        <v>86.239843653822476</v>
      </c>
      <c r="I24" s="153">
        <f t="shared" ref="I24" si="45">365*I22/I$6</f>
        <v>85.291311052414613</v>
      </c>
      <c r="J24" s="153">
        <f t="shared" ref="J24" si="46">365*J22/J$6</f>
        <v>100.27898820278457</v>
      </c>
      <c r="K24" s="153">
        <f t="shared" si="43"/>
        <v>100.27898820278457</v>
      </c>
      <c r="L24" s="153">
        <f t="shared" si="43"/>
        <v>105.63241047472007</v>
      </c>
      <c r="M24" s="153">
        <f t="shared" ref="M24:N24" si="47">365*M22/M$6</f>
        <v>93.810640831977693</v>
      </c>
      <c r="N24" s="153">
        <f t="shared" si="47"/>
        <v>92.688732888732886</v>
      </c>
      <c r="O24" s="153">
        <f t="shared" si="43"/>
        <v>108.32690179992984</v>
      </c>
      <c r="P24" s="153">
        <f t="shared" si="43"/>
        <v>108.32690179992984</v>
      </c>
      <c r="Q24" s="153">
        <f t="shared" ref="Q24:Y24" si="48">365*Q22/Q$6</f>
        <v>106.66427077049454</v>
      </c>
      <c r="R24" s="153">
        <f t="shared" si="48"/>
        <v>103.03694731978973</v>
      </c>
      <c r="S24" s="153">
        <f t="shared" si="48"/>
        <v>114.74413480078083</v>
      </c>
      <c r="T24" s="153">
        <f t="shared" si="48"/>
        <v>115.21285195432137</v>
      </c>
      <c r="U24" s="153">
        <f t="shared" si="48"/>
        <v>115.21285195432137</v>
      </c>
      <c r="V24" s="153">
        <f t="shared" si="48"/>
        <v>113.15</v>
      </c>
      <c r="W24" s="153">
        <f t="shared" si="48"/>
        <v>109.5</v>
      </c>
      <c r="X24" s="153">
        <f t="shared" si="48"/>
        <v>105.85</v>
      </c>
      <c r="Y24" s="153">
        <f t="shared" si="48"/>
        <v>109.49999999999999</v>
      </c>
      <c r="Z24" s="153">
        <f>365*Z22/Z$6</f>
        <v>109.49999999999999</v>
      </c>
      <c r="AA24" s="153">
        <f>365*AA22/AA$6</f>
        <v>109.5</v>
      </c>
      <c r="AB24" s="153">
        <f>365*AB22/AB$6</f>
        <v>113.14999999999998</v>
      </c>
    </row>
    <row r="25" spans="1:30" s="141" customFormat="1" ht="13" x14ac:dyDescent="0.3"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D25" s="166"/>
    </row>
    <row r="26" spans="1:30" s="141" customFormat="1" ht="13" x14ac:dyDescent="0.3">
      <c r="A26" s="141" t="s">
        <v>134</v>
      </c>
      <c r="B26" s="152">
        <v>28905</v>
      </c>
      <c r="C26" s="152">
        <v>32676</v>
      </c>
      <c r="D26" s="152">
        <v>36000</v>
      </c>
      <c r="E26" s="152">
        <v>41525</v>
      </c>
      <c r="F26" s="152">
        <v>45538</v>
      </c>
      <c r="G26" s="152">
        <v>41340</v>
      </c>
      <c r="H26" s="152">
        <v>36982</v>
      </c>
      <c r="I26" s="152">
        <v>36903</v>
      </c>
      <c r="J26" s="152">
        <v>50901</v>
      </c>
      <c r="K26" s="152">
        <f t="shared" ref="K26" si="49">+K27*K$6</f>
        <v>50901</v>
      </c>
      <c r="L26" s="152">
        <v>46429</v>
      </c>
      <c r="M26" s="152">
        <v>43068</v>
      </c>
      <c r="N26" s="152">
        <v>41888</v>
      </c>
      <c r="O26" s="152">
        <v>57582</v>
      </c>
      <c r="P26" s="152">
        <f>+P27*P$6</f>
        <v>57582.000000000007</v>
      </c>
      <c r="Q26" s="152">
        <v>53026</v>
      </c>
      <c r="R26" s="152">
        <v>45508</v>
      </c>
      <c r="S26" s="152">
        <v>44636</v>
      </c>
      <c r="T26" s="152">
        <v>64555</v>
      </c>
      <c r="U26" s="153">
        <f>T26</f>
        <v>64555</v>
      </c>
      <c r="V26" s="153">
        <f t="shared" ref="V26:Y26" si="50">+V27*V$6</f>
        <v>66178.236671999999</v>
      </c>
      <c r="W26" s="153">
        <f t="shared" si="50"/>
        <v>69459.201048749994</v>
      </c>
      <c r="X26" s="153">
        <f t="shared" si="50"/>
        <v>72924.162278300006</v>
      </c>
      <c r="Y26" s="153">
        <f t="shared" si="50"/>
        <v>76722.504203100005</v>
      </c>
      <c r="Z26" s="153">
        <f>+Z27*Z$6</f>
        <v>76722.504203100005</v>
      </c>
      <c r="AA26" s="153">
        <f>+AA27*AA$6</f>
        <v>84525.38331330799</v>
      </c>
      <c r="AB26" s="153">
        <f>+AB27*AB$6</f>
        <v>88552.204176654734</v>
      </c>
    </row>
    <row r="27" spans="1:30" s="141" customFormat="1" ht="13" x14ac:dyDescent="0.3">
      <c r="A27" s="141" t="s">
        <v>83</v>
      </c>
      <c r="B27" s="145">
        <f>+B26/B$6</f>
        <v>0.75365681954475527</v>
      </c>
      <c r="C27" s="145">
        <f>+C26/C$6</f>
        <v>0.76150081566068517</v>
      </c>
      <c r="D27" s="145">
        <f>+D26/D$6</f>
        <v>0.78128390989192242</v>
      </c>
      <c r="E27" s="145">
        <f>+E26/E$6</f>
        <v>0.79501072139684481</v>
      </c>
      <c r="F27" s="145">
        <f t="shared" ref="F27:I27" si="51">+F26/F$6</f>
        <v>0.72686352753391859</v>
      </c>
      <c r="G27" s="145">
        <f t="shared" si="51"/>
        <v>0.64136775474742458</v>
      </c>
      <c r="H27" s="145">
        <f t="shared" si="51"/>
        <v>0.56909393081373871</v>
      </c>
      <c r="I27" s="145">
        <f t="shared" si="51"/>
        <v>0.56343038612455532</v>
      </c>
      <c r="J27" s="145">
        <f t="shared" ref="J27:O27" si="52">+J26/J$6</f>
        <v>0.77283148353400244</v>
      </c>
      <c r="K27" s="145">
        <f>+J27</f>
        <v>0.77283148353400244</v>
      </c>
      <c r="L27" s="145">
        <f t="shared" si="52"/>
        <v>0.69595131383688336</v>
      </c>
      <c r="M27" s="145">
        <f t="shared" si="52"/>
        <v>0.62555194050662333</v>
      </c>
      <c r="N27" s="145">
        <f t="shared" si="52"/>
        <v>0.5881081081081081</v>
      </c>
      <c r="O27" s="145">
        <f t="shared" si="52"/>
        <v>0.77693823029387166</v>
      </c>
      <c r="P27" s="145">
        <f>O27</f>
        <v>0.77693823029387166</v>
      </c>
      <c r="Q27" s="145">
        <f t="shared" ref="Q27:U27" si="53">+Q26/Q$6</f>
        <v>0.68059709155318249</v>
      </c>
      <c r="R27" s="145">
        <f t="shared" si="53"/>
        <v>0.56823204764818258</v>
      </c>
      <c r="S27" s="145">
        <f t="shared" si="53"/>
        <v>0.53455647237757631</v>
      </c>
      <c r="T27" s="145">
        <f t="shared" si="53"/>
        <v>0.73499106238116385</v>
      </c>
      <c r="U27" s="145">
        <f t="shared" si="53"/>
        <v>0.73499106238116385</v>
      </c>
      <c r="V27" s="163">
        <v>0.72</v>
      </c>
      <c r="W27" s="163">
        <v>0.72499999999999998</v>
      </c>
      <c r="X27" s="163">
        <v>0.73</v>
      </c>
      <c r="Y27" s="163">
        <v>0.73499999999999999</v>
      </c>
      <c r="Z27" s="163">
        <f>Y27</f>
        <v>0.73499999999999999</v>
      </c>
      <c r="AA27" s="163">
        <v>0.73</v>
      </c>
      <c r="AB27" s="163">
        <v>0.7</v>
      </c>
    </row>
    <row r="28" spans="1:30" s="141" customFormat="1" ht="13" x14ac:dyDescent="0.3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</row>
    <row r="29" spans="1:30" s="141" customFormat="1" ht="13" x14ac:dyDescent="0.3">
      <c r="A29" s="141" t="s">
        <v>70</v>
      </c>
      <c r="B29" s="152">
        <v>2121</v>
      </c>
      <c r="C29" s="152">
        <v>5665</v>
      </c>
      <c r="D29" s="152">
        <v>2130</v>
      </c>
      <c r="E29" s="152">
        <v>2174</v>
      </c>
      <c r="F29" s="152">
        <v>4067</v>
      </c>
      <c r="G29" s="152">
        <v>6729</v>
      </c>
      <c r="H29" s="152">
        <v>3553</v>
      </c>
      <c r="I29" s="152">
        <v>4163</v>
      </c>
      <c r="J29" s="152">
        <v>4152</v>
      </c>
      <c r="K29" s="152">
        <f t="shared" ref="K29" si="54">+K30*K$6</f>
        <v>4152</v>
      </c>
      <c r="L29" s="152">
        <v>8035</v>
      </c>
      <c r="M29" s="152">
        <v>5787</v>
      </c>
      <c r="N29" s="152">
        <v>7311</v>
      </c>
      <c r="O29" s="152">
        <v>5017</v>
      </c>
      <c r="P29" s="152">
        <f>+P30*P$6</f>
        <v>5017</v>
      </c>
      <c r="Q29" s="152">
        <v>2581</v>
      </c>
      <c r="R29" s="152">
        <v>6056</v>
      </c>
      <c r="S29" s="152">
        <v>6805</v>
      </c>
      <c r="T29" s="152">
        <v>7211</v>
      </c>
      <c r="U29" s="153">
        <f>T29</f>
        <v>7211</v>
      </c>
      <c r="V29" s="153">
        <f t="shared" ref="V29:Y29" si="55">+V30*V$6</f>
        <v>7353.1374080000005</v>
      </c>
      <c r="W29" s="153">
        <f t="shared" si="55"/>
        <v>7760.2693585499992</v>
      </c>
      <c r="X29" s="153">
        <f t="shared" si="55"/>
        <v>8191.4812422200002</v>
      </c>
      <c r="Y29" s="153">
        <f t="shared" si="55"/>
        <v>8663.9018351800005</v>
      </c>
      <c r="Z29" s="153">
        <f>+Z30*Z$6</f>
        <v>8663.9018351800005</v>
      </c>
      <c r="AA29" s="153">
        <f>+AA30*AA$6</f>
        <v>8684.1147239699985</v>
      </c>
      <c r="AB29" s="153">
        <f>+AB30*AB$6</f>
        <v>9487.7361617844363</v>
      </c>
    </row>
    <row r="30" spans="1:30" s="141" customFormat="1" ht="13" x14ac:dyDescent="0.3">
      <c r="A30" s="141" t="s">
        <v>83</v>
      </c>
      <c r="B30" s="145">
        <f>+B29/B$6</f>
        <v>5.5302062420149664E-2</v>
      </c>
      <c r="C30" s="145">
        <f>+C29/C$6</f>
        <v>0.13202050804008389</v>
      </c>
      <c r="D30" s="145">
        <f>+D29/D$6</f>
        <v>4.6225964668605408E-2</v>
      </c>
      <c r="E30" s="145">
        <f>+E29/E$6</f>
        <v>4.1621994179813139E-2</v>
      </c>
      <c r="F30" s="145">
        <f t="shared" ref="F30:I30" si="56">+F29/F$6</f>
        <v>6.4916201117318439E-2</v>
      </c>
      <c r="G30" s="145">
        <f t="shared" si="56"/>
        <v>0.1043967978155641</v>
      </c>
      <c r="H30" s="145">
        <f t="shared" si="56"/>
        <v>5.4674996922319342E-2</v>
      </c>
      <c r="I30" s="145">
        <f t="shared" si="56"/>
        <v>6.3560163060903549E-2</v>
      </c>
      <c r="J30" s="145">
        <f t="shared" ref="J30:O30" si="57">+J29/J$6</f>
        <v>6.3039946555729323E-2</v>
      </c>
      <c r="K30" s="145">
        <f>+J30</f>
        <v>6.3039946555729323E-2</v>
      </c>
      <c r="L30" s="145">
        <f t="shared" si="57"/>
        <v>0.1204412933011557</v>
      </c>
      <c r="M30" s="145">
        <f t="shared" si="57"/>
        <v>8.4054729258656757E-2</v>
      </c>
      <c r="N30" s="145">
        <f t="shared" si="57"/>
        <v>0.10264654264654265</v>
      </c>
      <c r="O30" s="145">
        <f t="shared" si="57"/>
        <v>6.7693013465741969E-2</v>
      </c>
      <c r="P30" s="145">
        <f>O30</f>
        <v>6.7693013465741969E-2</v>
      </c>
      <c r="Q30" s="145">
        <f t="shared" ref="Q30:U30" si="58">+Q29/Q$6</f>
        <v>3.312754296569162E-2</v>
      </c>
      <c r="R30" s="145">
        <f t="shared" si="58"/>
        <v>7.5617765679823187E-2</v>
      </c>
      <c r="S30" s="145">
        <f t="shared" si="58"/>
        <v>8.1496029987664823E-2</v>
      </c>
      <c r="T30" s="145">
        <f t="shared" si="58"/>
        <v>8.2100852774077485E-2</v>
      </c>
      <c r="U30" s="145">
        <f t="shared" si="58"/>
        <v>8.2100852774077485E-2</v>
      </c>
      <c r="V30" s="163">
        <v>0.08</v>
      </c>
      <c r="W30" s="163">
        <v>8.1000000000000003E-2</v>
      </c>
      <c r="X30" s="163">
        <v>8.2000000000000003E-2</v>
      </c>
      <c r="Y30" s="163">
        <v>8.3000000000000004E-2</v>
      </c>
      <c r="Z30" s="163">
        <f>Y30</f>
        <v>8.3000000000000004E-2</v>
      </c>
      <c r="AA30" s="163">
        <v>7.4999999999999997E-2</v>
      </c>
      <c r="AB30" s="163">
        <v>7.4999999999999997E-2</v>
      </c>
    </row>
    <row r="31" spans="1:30" s="141" customFormat="1" ht="13" x14ac:dyDescent="0.3"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</row>
    <row r="32" spans="1:30" s="141" customFormat="1" ht="13" x14ac:dyDescent="0.3">
      <c r="A32" s="141" t="s">
        <v>135</v>
      </c>
      <c r="B32" s="152">
        <v>8744</v>
      </c>
      <c r="C32" s="152">
        <v>9351</v>
      </c>
      <c r="D32" s="152">
        <v>10027</v>
      </c>
      <c r="E32" s="152">
        <v>11666</v>
      </c>
      <c r="F32" s="152">
        <v>13067</v>
      </c>
      <c r="G32" s="152">
        <v>12058</v>
      </c>
      <c r="H32" s="152">
        <v>12802</v>
      </c>
      <c r="I32" s="152">
        <v>12664</v>
      </c>
      <c r="J32" s="152">
        <v>14745</v>
      </c>
      <c r="K32" s="152">
        <f t="shared" ref="K32" si="59">+K33*K$6</f>
        <v>14745</v>
      </c>
      <c r="L32" s="152">
        <v>14475</v>
      </c>
      <c r="M32" s="152">
        <v>16362</v>
      </c>
      <c r="N32" s="152">
        <v>18023</v>
      </c>
      <c r="O32" s="152">
        <v>19185</v>
      </c>
      <c r="P32" s="152">
        <f>+P33*P$6</f>
        <v>19185</v>
      </c>
      <c r="Q32" s="152">
        <v>19114</v>
      </c>
      <c r="R32" s="152">
        <v>20286</v>
      </c>
      <c r="S32" s="152">
        <v>22937</v>
      </c>
      <c r="T32" s="152">
        <v>25020</v>
      </c>
      <c r="U32" s="153">
        <f>T32</f>
        <v>25020</v>
      </c>
      <c r="V32" s="153">
        <f t="shared" ref="V32:Y32" si="60">+V33*V$6</f>
        <v>22978.554400000001</v>
      </c>
      <c r="W32" s="153">
        <f t="shared" si="60"/>
        <v>24909.506582999998</v>
      </c>
      <c r="X32" s="153">
        <f t="shared" si="60"/>
        <v>26971.950431700003</v>
      </c>
      <c r="Y32" s="153">
        <f t="shared" si="60"/>
        <v>29227.620648800006</v>
      </c>
      <c r="Z32" s="153">
        <f>+Z33*Z$6</f>
        <v>29227.620648800006</v>
      </c>
      <c r="AA32" s="153">
        <f>+AA33*AA$6</f>
        <v>31262.813006291999</v>
      </c>
      <c r="AB32" s="153">
        <f>+AB33*AB$6</f>
        <v>32890.818694186048</v>
      </c>
    </row>
    <row r="33" spans="1:28" s="141" customFormat="1" ht="13" x14ac:dyDescent="0.3">
      <c r="A33" s="141" t="s">
        <v>83</v>
      </c>
      <c r="B33" s="145">
        <f>+B32/B$6</f>
        <v>0.22798738038745339</v>
      </c>
      <c r="C33" s="145">
        <f>+C32/C$6</f>
        <v>0.21792123048240503</v>
      </c>
      <c r="D33" s="145">
        <f>+D32/D$6</f>
        <v>0.21760927123573071</v>
      </c>
      <c r="E33" s="145">
        <f>+E32/E$6</f>
        <v>0.22334967069995404</v>
      </c>
      <c r="F33" s="145">
        <f t="shared" ref="F33:I33" si="61">+F32/F$6</f>
        <v>0.20857142857142857</v>
      </c>
      <c r="G33" s="145">
        <f t="shared" si="61"/>
        <v>0.18707335236440362</v>
      </c>
      <c r="H33" s="145">
        <f t="shared" si="61"/>
        <v>0.19700233903730149</v>
      </c>
      <c r="I33" s="145">
        <f t="shared" si="61"/>
        <v>0.19335236728399774</v>
      </c>
      <c r="J33" s="145">
        <f t="shared" ref="J33:O33" si="62">+J32/J$6</f>
        <v>0.22387379864263698</v>
      </c>
      <c r="K33" s="145">
        <f>+J33</f>
        <v>0.22387379864263698</v>
      </c>
      <c r="L33" s="145">
        <f t="shared" si="62"/>
        <v>0.21697420292896438</v>
      </c>
      <c r="M33" s="145">
        <f t="shared" si="62"/>
        <v>0.23765396235184755</v>
      </c>
      <c r="N33" s="145">
        <f t="shared" si="62"/>
        <v>0.25304317304317303</v>
      </c>
      <c r="O33" s="145">
        <f t="shared" si="62"/>
        <v>0.2588579755511779</v>
      </c>
      <c r="P33" s="145">
        <f>O33</f>
        <v>0.2588579755511779</v>
      </c>
      <c r="Q33" s="145">
        <f t="shared" ref="Q33:U33" si="63">+Q32/Q$6</f>
        <v>0.24533121125386659</v>
      </c>
      <c r="R33" s="145">
        <f t="shared" si="63"/>
        <v>0.25329953675378025</v>
      </c>
      <c r="S33" s="145">
        <f t="shared" si="63"/>
        <v>0.27469132106202321</v>
      </c>
      <c r="T33" s="145">
        <f t="shared" si="63"/>
        <v>0.28486525258735529</v>
      </c>
      <c r="U33" s="145">
        <f t="shared" si="63"/>
        <v>0.28486525258735529</v>
      </c>
      <c r="V33" s="163">
        <v>0.25</v>
      </c>
      <c r="W33" s="163">
        <v>0.26</v>
      </c>
      <c r="X33" s="163">
        <v>0.27</v>
      </c>
      <c r="Y33" s="163">
        <v>0.28000000000000003</v>
      </c>
      <c r="Z33" s="163">
        <f>Y33</f>
        <v>0.28000000000000003</v>
      </c>
      <c r="AA33" s="163">
        <v>0.27</v>
      </c>
      <c r="AB33" s="163">
        <v>0.26</v>
      </c>
    </row>
    <row r="34" spans="1:28" s="141" customFormat="1" ht="13" x14ac:dyDescent="0.3"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</row>
    <row r="35" spans="1:28" s="141" customFormat="1" ht="13" x14ac:dyDescent="0.3">
      <c r="A35" s="141" t="s">
        <v>136</v>
      </c>
      <c r="B35" s="152">
        <v>5211</v>
      </c>
      <c r="C35" s="152">
        <v>7581</v>
      </c>
      <c r="D35" s="152">
        <v>10632</v>
      </c>
      <c r="E35" s="152">
        <v>13427</v>
      </c>
      <c r="F35" s="152">
        <v>15526</v>
      </c>
      <c r="G35" s="152">
        <v>15311</v>
      </c>
      <c r="H35" s="152">
        <v>16479</v>
      </c>
      <c r="I35" s="152">
        <v>17437</v>
      </c>
      <c r="J35" s="152">
        <v>17981</v>
      </c>
      <c r="K35" s="152">
        <f t="shared" ref="K35" si="64">+K36*K$6</f>
        <v>17981</v>
      </c>
      <c r="L35" s="152">
        <v>18634</v>
      </c>
      <c r="M35" s="152">
        <v>20787</v>
      </c>
      <c r="N35" s="152">
        <v>23271</v>
      </c>
      <c r="O35" s="152">
        <v>27064</v>
      </c>
      <c r="P35" s="152">
        <f>+P36*P$6</f>
        <v>27064</v>
      </c>
      <c r="Q35" s="152">
        <v>31165</v>
      </c>
      <c r="R35" s="152">
        <v>35906</v>
      </c>
      <c r="S35" s="152">
        <v>38536</v>
      </c>
      <c r="T35" s="152">
        <v>45186</v>
      </c>
      <c r="U35" s="153">
        <f>T35</f>
        <v>45186</v>
      </c>
      <c r="V35" s="153">
        <f t="shared" ref="V35:Y35" si="65">+V36*V$6</f>
        <v>45957.108800000002</v>
      </c>
      <c r="W35" s="153">
        <f t="shared" si="65"/>
        <v>48860.9552205</v>
      </c>
      <c r="X35" s="153">
        <f t="shared" si="65"/>
        <v>51945.978609199999</v>
      </c>
      <c r="Y35" s="153">
        <f t="shared" si="65"/>
        <v>55323.710513800004</v>
      </c>
      <c r="Z35" s="153">
        <f>+Z36*Z$6</f>
        <v>55323.710513800004</v>
      </c>
      <c r="AA35" s="153">
        <f>+AA36*AA$6</f>
        <v>60209.862086191992</v>
      </c>
      <c r="AB35" s="153">
        <f>+AB36*AB$6</f>
        <v>64516.605900134171</v>
      </c>
    </row>
    <row r="36" spans="1:28" s="141" customFormat="1" ht="13" x14ac:dyDescent="0.3">
      <c r="A36" s="141" t="s">
        <v>83</v>
      </c>
      <c r="B36" s="145">
        <f>+B35/B$6</f>
        <v>0.13586942351315412</v>
      </c>
      <c r="C36" s="145">
        <f>+C35/C$6</f>
        <v>0.17667210440456771</v>
      </c>
      <c r="D36" s="145">
        <f>+D35/D$6</f>
        <v>0.23073918138808108</v>
      </c>
      <c r="E36" s="145">
        <f>+E35/E$6</f>
        <v>0.25706463470669322</v>
      </c>
      <c r="F36" s="145">
        <f t="shared" ref="F36:I36" si="66">+F35/F$6</f>
        <v>0.24782122905027934</v>
      </c>
      <c r="G36" s="145">
        <f t="shared" si="66"/>
        <v>0.23754188904058582</v>
      </c>
      <c r="H36" s="145">
        <f t="shared" si="66"/>
        <v>0.25358549796873076</v>
      </c>
      <c r="I36" s="145">
        <f t="shared" si="66"/>
        <v>0.26622593401224481</v>
      </c>
      <c r="J36" s="145">
        <f t="shared" ref="J36:O36" si="67">+J35/J$6</f>
        <v>0.27300608839560908</v>
      </c>
      <c r="K36" s="145">
        <f>+J36</f>
        <v>0.27300608839560908</v>
      </c>
      <c r="L36" s="145">
        <f t="shared" si="67"/>
        <v>0.27931587546655073</v>
      </c>
      <c r="M36" s="145">
        <f t="shared" si="67"/>
        <v>0.30192598187311176</v>
      </c>
      <c r="N36" s="145">
        <f t="shared" si="67"/>
        <v>0.32672516672516672</v>
      </c>
      <c r="O36" s="145">
        <f t="shared" si="67"/>
        <v>0.36516717489273282</v>
      </c>
      <c r="P36" s="145">
        <f>O36</f>
        <v>0.36516717489273282</v>
      </c>
      <c r="Q36" s="145">
        <f t="shared" ref="Q36:U36" si="68">+Q35/Q$6</f>
        <v>0.40000770109483896</v>
      </c>
      <c r="R36" s="145">
        <f t="shared" si="68"/>
        <v>0.44833743304156731</v>
      </c>
      <c r="S36" s="145">
        <f t="shared" si="68"/>
        <v>0.46150345504844253</v>
      </c>
      <c r="T36" s="145">
        <f t="shared" si="68"/>
        <v>0.5144652799125593</v>
      </c>
      <c r="U36" s="145">
        <f t="shared" si="68"/>
        <v>0.5144652799125593</v>
      </c>
      <c r="V36" s="163">
        <v>0.5</v>
      </c>
      <c r="W36" s="163">
        <v>0.51</v>
      </c>
      <c r="X36" s="163">
        <v>0.52</v>
      </c>
      <c r="Y36" s="163">
        <v>0.53</v>
      </c>
      <c r="Z36" s="163">
        <f>Y36</f>
        <v>0.53</v>
      </c>
      <c r="AA36" s="163">
        <v>0.52</v>
      </c>
      <c r="AB36" s="163">
        <v>0.51</v>
      </c>
    </row>
    <row r="37" spans="1:28" s="141" customFormat="1" ht="13.5" x14ac:dyDescent="0.35">
      <c r="B37" s="145"/>
      <c r="C37" s="145"/>
      <c r="D37" s="145"/>
      <c r="E37" s="145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8" s="141" customFormat="1" ht="13" x14ac:dyDescent="0.3">
      <c r="A38" s="146" t="s">
        <v>74</v>
      </c>
      <c r="B38" s="147">
        <f t="shared" ref="B38" si="69">+B8+B12+B16+B19-B22-B26-B29-B32-B35</f>
        <v>-10262</v>
      </c>
      <c r="C38" s="147">
        <f>+C8+C12+C16+C19-C22-C26-C29-C32-C35</f>
        <v>-8199</v>
      </c>
      <c r="D38" s="147">
        <f t="shared" ref="D38:P38" si="70">+D8+D12+D16+D19-D22-D26-D29-D32-D35</f>
        <v>-12793</v>
      </c>
      <c r="E38" s="147">
        <f t="shared" si="70"/>
        <v>-14808</v>
      </c>
      <c r="F38" s="147">
        <f t="shared" si="70"/>
        <v>-10374</v>
      </c>
      <c r="G38" s="147">
        <f t="shared" si="70"/>
        <v>-15015</v>
      </c>
      <c r="H38" s="147">
        <f t="shared" si="70"/>
        <v>-1861</v>
      </c>
      <c r="I38" s="147">
        <f t="shared" si="70"/>
        <v>-56</v>
      </c>
      <c r="J38" s="147">
        <f t="shared" si="70"/>
        <v>-2278</v>
      </c>
      <c r="K38" s="147">
        <f>+K8+K12+K16+K19-K22-K26-K29-K32-K35</f>
        <v>-2278</v>
      </c>
      <c r="L38" s="147">
        <f>+L8+L12+L16+L19-L22-L26-L29-L32-L35</f>
        <v>-11091</v>
      </c>
      <c r="M38" s="147">
        <f>+M8+M12+M16+M19-M22-M26-M29-M32-M35</f>
        <v>-5058</v>
      </c>
      <c r="N38" s="147">
        <f t="shared" ref="N38" si="71">+N8+N12+N16+N19-N22-N26-N29-N32-N35</f>
        <v>-5870</v>
      </c>
      <c r="O38" s="147">
        <f>+O8+O12+O16+O19-O22-O26-O29-O32-O35</f>
        <v>-10193</v>
      </c>
      <c r="P38" s="147">
        <f t="shared" si="70"/>
        <v>-10193.000000000007</v>
      </c>
      <c r="Q38" s="147">
        <f>+Q8+Q12+Q16+Q19-Q22-Q26-Q29-Q32-Q35</f>
        <v>-19363</v>
      </c>
      <c r="R38" s="147">
        <f>+R8+R12+R16+R19-R22-R26-R29-R32-R35</f>
        <v>-17896</v>
      </c>
      <c r="S38" s="147">
        <f t="shared" ref="S38" si="72">+S8+S12+S16+S19-S22-S26-S29-S32-S35</f>
        <v>-23904</v>
      </c>
      <c r="T38" s="147">
        <f>+T8+T12+T16+T19-T22-T26-T29-T32-T35</f>
        <v>-32565</v>
      </c>
      <c r="U38" s="147">
        <f t="shared" ref="U38:Z38" si="73">+U8+U12+U16+U19-U22-U26-U29-U32-U35</f>
        <v>-32565</v>
      </c>
      <c r="V38" s="147">
        <f t="shared" si="73"/>
        <v>-30221.05037240003</v>
      </c>
      <c r="W38" s="147">
        <f t="shared" si="73"/>
        <v>-28433.639181199997</v>
      </c>
      <c r="X38" s="147">
        <f t="shared" si="73"/>
        <v>-28167.789182089997</v>
      </c>
      <c r="Y38" s="147">
        <f t="shared" si="73"/>
        <v>-31639.068626440047</v>
      </c>
      <c r="Z38" s="147">
        <f t="shared" si="73"/>
        <v>-31639.068626440047</v>
      </c>
      <c r="AA38" s="147">
        <f t="shared" ref="AA38:AB38" si="74">+AA8+AA12+AA16+AA19-AA22-AA26-AA29-AA32-AA35</f>
        <v>-35728.929150048018</v>
      </c>
      <c r="AB38" s="147">
        <f t="shared" si="74"/>
        <v>-40510.511552891941</v>
      </c>
    </row>
    <row r="39" spans="1:28" ht="13" x14ac:dyDescent="0.3">
      <c r="A39" s="148" t="s">
        <v>76</v>
      </c>
      <c r="B39" s="142"/>
      <c r="C39" s="154"/>
      <c r="D39" s="154"/>
      <c r="E39" s="154"/>
      <c r="F39" s="147"/>
      <c r="G39" s="147"/>
      <c r="H39" s="147"/>
      <c r="I39" s="147"/>
      <c r="J39" s="147"/>
      <c r="K39" s="154"/>
      <c r="L39" s="147"/>
      <c r="M39" s="147"/>
      <c r="N39" s="147"/>
      <c r="O39" s="147"/>
      <c r="P39" s="147"/>
      <c r="Q39" s="147"/>
      <c r="R39" s="147"/>
      <c r="S39" s="147"/>
      <c r="T39" s="147">
        <f>+S38-T38</f>
        <v>8661</v>
      </c>
      <c r="U39" s="154"/>
      <c r="V39" s="154">
        <f>V38-U38</f>
        <v>2343.94962759997</v>
      </c>
      <c r="W39" s="154">
        <f t="shared" ref="W39:Y39" si="75">W38-V38</f>
        <v>1787.4111912000335</v>
      </c>
      <c r="X39" s="154">
        <f t="shared" si="75"/>
        <v>265.84999910999977</v>
      </c>
      <c r="Y39" s="154">
        <f t="shared" si="75"/>
        <v>-3471.2794443500497</v>
      </c>
      <c r="Z39" s="154"/>
      <c r="AA39" s="154">
        <f>+Z38-AA38</f>
        <v>4089.8605236079711</v>
      </c>
      <c r="AB39" s="154">
        <f>+AA38-AB38</f>
        <v>4781.5824028439238</v>
      </c>
    </row>
    <row r="40" spans="1:28" ht="13" x14ac:dyDescent="0.3">
      <c r="A40" s="141"/>
      <c r="B40" s="141"/>
      <c r="C40" s="152"/>
      <c r="D40" s="152"/>
      <c r="E40" s="152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</row>
  </sheetData>
  <pageMargins left="0.7" right="0.7" top="0.75" bottom="0.75" header="0.3" footer="0.3"/>
  <pageSetup scale="3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D897C85EAE84299403B79D587D95A" ma:contentTypeVersion="15" ma:contentTypeDescription="Create a new document." ma:contentTypeScope="" ma:versionID="f944517214357e1f160bba220dd458b9">
  <xsd:schema xmlns:xsd="http://www.w3.org/2001/XMLSchema" xmlns:xs="http://www.w3.org/2001/XMLSchema" xmlns:p="http://schemas.microsoft.com/office/2006/metadata/properties" xmlns:ns2="a105cff3-8e8b-4d47-9384-3cbee93f04fd" xmlns:ns3="5a1495c0-f88b-484b-85ed-438d02e123c7" targetNamespace="http://schemas.microsoft.com/office/2006/metadata/properties" ma:root="true" ma:fieldsID="f7d7591c7457f0be24fa5d51000473ec" ns2:_="" ns3:_="">
    <xsd:import namespace="a105cff3-8e8b-4d47-9384-3cbee93f04fd"/>
    <xsd:import namespace="5a1495c0-f88b-484b-85ed-438d02e123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5cff3-8e8b-4d47-9384-3cbee93f0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4906ce-3f41-481e-9243-6ba741723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495c0-f88b-484b-85ed-438d02e123c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d0b1ad-01b8-4443-b7bf-50f7435d7af8}" ma:internalName="TaxCatchAll" ma:showField="CatchAllData" ma:web="5a1495c0-f88b-484b-85ed-438d02e123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05cff3-8e8b-4d47-9384-3cbee93f04fd">
      <Terms xmlns="http://schemas.microsoft.com/office/infopath/2007/PartnerControls"/>
    </lcf76f155ced4ddcb4097134ff3c332f>
    <TaxCatchAll xmlns="5a1495c0-f88b-484b-85ed-438d02e123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60389E-29E0-451C-8A3E-6F34DE60A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5cff3-8e8b-4d47-9384-3cbee93f04fd"/>
    <ds:schemaRef ds:uri="5a1495c0-f88b-484b-85ed-438d02e123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6C9F18-0ED5-40B8-9977-9E09ECFCDB76}">
  <ds:schemaRefs>
    <ds:schemaRef ds:uri="http://schemas.microsoft.com/office/2006/metadata/properties"/>
    <ds:schemaRef ds:uri="http://schemas.microsoft.com/office/infopath/2007/PartnerControls"/>
    <ds:schemaRef ds:uri="a105cff3-8e8b-4d47-9384-3cbee93f04fd"/>
    <ds:schemaRef ds:uri="5a1495c0-f88b-484b-85ed-438d02e123c7"/>
  </ds:schemaRefs>
</ds:datastoreItem>
</file>

<file path=customXml/itemProps3.xml><?xml version="1.0" encoding="utf-8"?>
<ds:datastoreItem xmlns:ds="http://schemas.openxmlformats.org/officeDocument/2006/customXml" ds:itemID="{FFAA3F3C-525B-49D7-B231-3F4EF0BEE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Investment Memo</vt:lpstr>
      <vt:lpstr>Model</vt:lpstr>
      <vt:lpstr>Working Capital Calculations</vt:lpstr>
      <vt:lpstr>'Investment Memo'!Print_Area</vt:lpstr>
      <vt:lpstr>Model!Print_Area</vt:lpstr>
      <vt:lpstr>'Working Capital Calculations'!Print_Area</vt:lpstr>
      <vt:lpstr>'Investment Memo'!Print_Titles</vt:lpstr>
    </vt:vector>
  </TitlesOfParts>
  <Company>Four Corners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Srinivasan</dc:creator>
  <cp:lastModifiedBy>Nishit Wadhwani</cp:lastModifiedBy>
  <cp:lastPrinted>2023-10-26T11:32:16Z</cp:lastPrinted>
  <dcterms:created xsi:type="dcterms:W3CDTF">2004-09-07T20:41:44Z</dcterms:created>
  <dcterms:modified xsi:type="dcterms:W3CDTF">2025-08-30T15:09:29Z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{E79C2FC2-AF30-48D9-B0B1-CE66566DF9FC}</vt:lpwstr>
  </property>
  <property fmtid="{D5CDD505-2E9C-101B-9397-08002B2CF9AE}" pid="3" name="ContentTypeId">
    <vt:lpwstr>0x010100715D897C85EAE84299403B79D587D95A</vt:lpwstr>
  </property>
  <property fmtid="{D5CDD505-2E9C-101B-9397-08002B2CF9AE}" pid="4" name="MediaServiceImageTags">
    <vt:lpwstr/>
  </property>
</Properties>
</file>