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ristonepartner-my.sharepoint.com/personal/nishit_wadhwani_tristone-partners_com/Documents/Desktop/Excel/"/>
    </mc:Choice>
  </mc:AlternateContent>
  <xr:revisionPtr revIDLastSave="25" documentId="8_{6391F94F-F0AA-4E3C-819E-352C91BAD780}" xr6:coauthVersionLast="47" xr6:coauthVersionMax="47" xr10:uidLastSave="{BE8DC760-EEFE-4589-8975-70606126E79C}"/>
  <bookViews>
    <workbookView xWindow="-110" yWindow="-110" windowWidth="19420" windowHeight="11500" xr2:uid="{00000000-000D-0000-FFFF-FFFF00000000}"/>
  </bookViews>
  <sheets>
    <sheet name="Model" sheetId="13" r:id="rId1"/>
  </sheets>
  <definedNames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CCOUNT_CHANGE" hidden="1">"c1449"</definedName>
    <definedName name="IQ_ACCOUNTING_FFIEC" hidden="1">"c13054"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ENCY" hidden="1">"c8960"</definedName>
    <definedName name="IQ_AGENCY_INVEST_SECURITIES_FFIEC" hidden="1">"c13458"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 hidden="1">"c8921"</definedName>
    <definedName name="IQ_ASSETS_NAME_AP_ABS" hidden="1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REUT" hidden="1">"c3630"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"c11749"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OVER_SHARES" hidden="1">"c1349"</definedName>
    <definedName name="IQ_BV_SHARE" hidden="1">"c100"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REUT" hidden="1">"c6800"</definedName>
    <definedName name="IQ_CAL_Y" hidden="1">"c102"</definedName>
    <definedName name="IQ_CAL_Y_EST" hidden="1">"c6797"</definedName>
    <definedName name="IQ_CAL_Y_EST_CIQ" hidden="1">"c6809"</definedName>
    <definedName name="IQ_CAL_Y_EST_REUT" hidden="1">"c6801"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NAME_AP" hidden="1">"c8926"</definedName>
    <definedName name="IQ_CASH_OPER_NAME_AP_ABS" hidden="1">"c8945"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RECOV_FFIEC" hidden="1">"c13200"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"c13596"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RACTS_OTHER_COMMODITIES_EQUITIES._FDIC" hidden="1">"c6522"</definedName>
    <definedName name="IQ_CONTRACTS_OTHER_COMMODITIES_EQUITIES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E_DEPOSITS_ASSETS_TOT_FFIEC" hidden="1">"c13442"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ED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OMER_LIAB_ACCEPTANCES_OUT_FFIEC" hidden="1">"c12835"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ES" hidden="1">"c1356"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FF_LASTCLOSE_TARGET_PRICE_CIQ" hidden="1">"c4767"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CO_FFIEC" hidden="1">"c13032"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GW_ACT_OR_EST" hidden="1">"c4306"</definedName>
    <definedName name="IQ_EBIT_INT" hidden="1">"c360"</definedName>
    <definedName name="IQ_EBIT_MARGIN" hidden="1">"c359"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GW_ACT_OR_EST" hidden="1">"c4320"</definedName>
    <definedName name="IQ_EBIT_SBC_GW_ACT_OR_EST_CIQ" hidden="1">"c4845"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GW_ACT_OR_EST" hidden="1">"c4354"</definedName>
    <definedName name="IQ_EBT_SBC_GW_ACT_OR_EST_CIQ" hidden="1">"c4879"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P" hidden="1">"c8880"</definedName>
    <definedName name="IQ_EPS_AP_ABS" hidden="1">"c8899"</definedName>
    <definedName name="IQ_EPS_EST" hidden="1">"c399"</definedName>
    <definedName name="IQ_EPS_EST_BOTTOM_UP_CIQ" hidden="1">"c12026"</definedName>
    <definedName name="IQ_EPS_EST_CIQ" hidden="1">"c4994"</definedName>
    <definedName name="IQ_EPS_EST_REUT" hidden="1">"c5453"</definedName>
    <definedName name="IQ_EPS_GW_ACT_OR_EST_CIQ" hidden="1">"c5066"</definedName>
    <definedName name="IQ_EPS_GW_EST" hidden="1">"c1737"</definedName>
    <definedName name="IQ_EPS_GW_EST_BOTTOM_UP_CIQ" hidden="1">"c12028"</definedName>
    <definedName name="IQ_EPS_GW_EST_CIQ" hidden="1">"c4723"</definedName>
    <definedName name="IQ_EPS_GW_EST_REUT" hidden="1">"c5389"</definedName>
    <definedName name="IQ_EPS_GW_HIGH_EST" hidden="1">"c1739"</definedName>
    <definedName name="IQ_EPS_GW_HIGH_EST_CIQ" hidden="1">"c4725"</definedName>
    <definedName name="IQ_EPS_GW_HIGH_EST_REUT" hidden="1">"c5391"</definedName>
    <definedName name="IQ_EPS_GW_LOW_EST" hidden="1">"c1740"</definedName>
    <definedName name="IQ_EPS_GW_LOW_EST_CIQ" hidden="1">"c4726"</definedName>
    <definedName name="IQ_EPS_GW_LOW_EST_REUT" hidden="1">"c5392"</definedName>
    <definedName name="IQ_EPS_GW_MEDIAN_EST" hidden="1">"c1738"</definedName>
    <definedName name="IQ_EPS_GW_MEDIAN_EST_CIQ" hidden="1">"c4724"</definedName>
    <definedName name="IQ_EPS_GW_MEDIAN_EST_REUT" hidden="1">"c5390"</definedName>
    <definedName name="IQ_EPS_GW_NUM_EST" hidden="1">"c1741"</definedName>
    <definedName name="IQ_EPS_GW_NUM_EST_CIQ" hidden="1">"c4727"</definedName>
    <definedName name="IQ_EPS_GW_NUM_EST_REUT" hidden="1">"c5393"</definedName>
    <definedName name="IQ_EPS_GW_STDDEV_EST" hidden="1">"c1742"</definedName>
    <definedName name="IQ_EPS_GW_STDDEV_EST_CIQ" hidden="1">"c4728"</definedName>
    <definedName name="IQ_EPS_GW_STDDEV_EST_REUT" hidden="1">"c5394"</definedName>
    <definedName name="IQ_EPS_HIGH_EST" hidden="1">"c400"</definedName>
    <definedName name="IQ_EPS_HIGH_EST_CIQ" hidden="1">"c4995"</definedName>
    <definedName name="IQ_EPS_HIGH_EST_REUT" hidden="1">"c5454"</definedName>
    <definedName name="IQ_EPS_LOW_EST" hidden="1">"c401"</definedName>
    <definedName name="IQ_EPS_LOW_EST_CIQ" hidden="1">"c4996"</definedName>
    <definedName name="IQ_EPS_LOW_EST_REUT" hidden="1">"c5455"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_CIQ" hidden="1">"c12027"</definedName>
    <definedName name="IQ_EPS_NORM_EST_CIQ" hidden="1">"c4667"</definedName>
    <definedName name="IQ_EPS_NORM_EST_REUT" hidden="1">"c5326"</definedName>
    <definedName name="IQ_EPS_NORM_HIGH_EST" hidden="1">"c2228"</definedName>
    <definedName name="IQ_EPS_NORM_HIGH_EST_CIQ" hidden="1">"c4669"</definedName>
    <definedName name="IQ_EPS_NORM_HIGH_EST_REUT" hidden="1">"c5328"</definedName>
    <definedName name="IQ_EPS_NORM_LOW_EST" hidden="1">"c2229"</definedName>
    <definedName name="IQ_EPS_NORM_LOW_EST_CIQ" hidden="1">"c4670"</definedName>
    <definedName name="IQ_EPS_NORM_LOW_EST_REUT" hidden="1">"c5329"</definedName>
    <definedName name="IQ_EPS_NORM_MEDIAN_EST" hidden="1">"c2227"</definedName>
    <definedName name="IQ_EPS_NORM_MEDIAN_EST_CIQ" hidden="1">"c4668"</definedName>
    <definedName name="IQ_EPS_NORM_MEDIAN_EST_REUT" hidden="1">"c5327"</definedName>
    <definedName name="IQ_EPS_NORM_NUM_EST" hidden="1">"c2230"</definedName>
    <definedName name="IQ_EPS_NORM_NUM_EST_CIQ" hidden="1">"c4671"</definedName>
    <definedName name="IQ_EPS_NORM_NUM_EST_REUT" hidden="1">"c5330"</definedName>
    <definedName name="IQ_EPS_NORM_STDDEV_EST" hidden="1">"c2231"</definedName>
    <definedName name="IQ_EPS_NORM_STDDEV_EST_CIQ" hidden="1">"c4672"</definedName>
    <definedName name="IQ_EPS_NORM_STDDEV_EST_REUT" hidden="1">"c5331"</definedName>
    <definedName name="IQ_EPS_NUM_EST" hidden="1">"c402"</definedName>
    <definedName name="IQ_EPS_NUM_EST_CIQ" hidden="1">"c4992"</definedName>
    <definedName name="IQ_EPS_NUM_EST_REUT" hidden="1">"c5451"</definedName>
    <definedName name="IQ_EPS_REPORT_ACT_OR_EST_CIQ" hidden="1">"c5067"</definedName>
    <definedName name="IQ_EPS_REPORTED_EST" hidden="1">"c1744"</definedName>
    <definedName name="IQ_EPS_REPORTED_EST_BOTTOM_UP_CIQ" hidden="1">"c12029"</definedName>
    <definedName name="IQ_EPS_REPORTED_EST_CIQ" hidden="1">"c4730"</definedName>
    <definedName name="IQ_EPS_REPORTED_EST_REUT" hidden="1">"c5396"</definedName>
    <definedName name="IQ_EPS_REPORTED_HIGH_EST" hidden="1">"c1746"</definedName>
    <definedName name="IQ_EPS_REPORTED_HIGH_EST_CIQ" hidden="1">"c4732"</definedName>
    <definedName name="IQ_EPS_REPORTED_HIGH_EST_REUT" hidden="1">"c5398"</definedName>
    <definedName name="IQ_EPS_REPORTED_LOW_EST" hidden="1">"c1747"</definedName>
    <definedName name="IQ_EPS_REPORTED_LOW_EST_CIQ" hidden="1">"c4733"</definedName>
    <definedName name="IQ_EPS_REPORTED_LOW_EST_REUT" hidden="1">"c5399"</definedName>
    <definedName name="IQ_EPS_REPORTED_MEDIAN_EST" hidden="1">"c1745"</definedName>
    <definedName name="IQ_EPS_REPORTED_MEDIAN_EST_CIQ" hidden="1">"c4731"</definedName>
    <definedName name="IQ_EPS_REPORTED_MEDIAN_EST_REUT" hidden="1">"c5397"</definedName>
    <definedName name="IQ_EPS_REPORTED_NUM_EST" hidden="1">"c1748"</definedName>
    <definedName name="IQ_EPS_REPORTED_NUM_EST_CIQ" hidden="1">"c4734"</definedName>
    <definedName name="IQ_EPS_REPORTED_NUM_EST_REUT" hidden="1">"c5400"</definedName>
    <definedName name="IQ_EPS_REPORTED_STDDEV_EST" hidden="1">"c1749"</definedName>
    <definedName name="IQ_EPS_REPORTED_STDDEV_EST_CIQ" hidden="1">"c4735"</definedName>
    <definedName name="IQ_EPS_REPORTED_STDDEV_EST_REUT" hidden="1">"c5401"</definedName>
    <definedName name="IQ_EPS_SBC_ACT_OR_EST" hidden="1">"c4376"</definedName>
    <definedName name="IQ_EPS_SBC_ACT_OR_EST_CIQ" hidden="1">"c4901"</definedName>
    <definedName name="IQ_EPS_SBC_GW_ACT_OR_EST" hidden="1">"c4380"</definedName>
    <definedName name="IQ_EPS_SBC_GW_ACT_OR_EST_CIQ" hidden="1">"c4905"</definedName>
    <definedName name="IQ_EPS_STDDEV_EST" hidden="1">"c403"</definedName>
    <definedName name="IQ_EPS_STDDEV_EST_CIQ" hidden="1">"c4993"</definedName>
    <definedName name="IQ_EPS_STDDEV_EST_REUT" hidden="1">"c5452"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WITHOUT_FAIR_VALUES_FFIEC" hidden="1">"c12846"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T_ACT_EBITDA" hidden="1">"c1664"</definedName>
    <definedName name="IQ_EST_ACT_EBITDA_CIQ" hidden="1">"c3667"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REUT" hidden="1">"c5395"</definedName>
    <definedName name="IQ_EST_ACT_EPS_NORM" hidden="1">"c2232"</definedName>
    <definedName name="IQ_EST_ACT_EPS_NORM_CIQ" hidden="1">"c4673"</definedName>
    <definedName name="IQ_EST_ACT_EPS_NORM_REUT" hidden="1">"c5332"</definedName>
    <definedName name="IQ_EST_ACT_EPS_REPORTED" hidden="1">"c1750"</definedName>
    <definedName name="IQ_EST_ACT_EPS_REPORTED_CIQ" hidden="1">"c4736"</definedName>
    <definedName name="IQ_EST_ACT_EPS_REPORTED_REUT" hidden="1">"c5402"</definedName>
    <definedName name="IQ_EST_ACT_REV" hidden="1">"c2113"</definedName>
    <definedName name="IQ_EST_ACT_REV_CIQ" hidden="1">"c3666"</definedName>
    <definedName name="IQ_EST_CURRENCY" hidden="1">"c2140"</definedName>
    <definedName name="IQ_EST_CURRENCY_CIQ" hidden="1">"c4769"</definedName>
    <definedName name="IQ_EST_CURRENCY_REUT" hidden="1">"c5437"</definedName>
    <definedName name="IQ_EST_DATE" hidden="1">"c1634"</definedName>
    <definedName name="IQ_EST_DATE_CIQ" hidden="1">"c4770"</definedName>
    <definedName name="IQ_EST_DATE_REUT" hidden="1">"c5438"</definedName>
    <definedName name="IQ_EST_EBITDA_DIFF" hidden="1">"c1867"</definedName>
    <definedName name="IQ_EST_EBITDA_DIFF_CIQ" hidden="1">"c3719"</definedName>
    <definedName name="IQ_EST_EBITDA_SURPRISE_PERCENT" hidden="1">"c1868"</definedName>
    <definedName name="IQ_EST_EBITDA_SURPRISE_PERCENT_CIQ" hidden="1">"c3720"</definedName>
    <definedName name="IQ_EST_EPS_DIFF" hidden="1">"c1864"</definedName>
    <definedName name="IQ_EST_EPS_DIFF_CIQ" hidden="1">"c4999"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5YR" hidden="1">"c1655"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W_DIFF" hidden="1">"c1891"</definedName>
    <definedName name="IQ_EST_EPS_GW_DIFF_CIQ" hidden="1">"c4761"</definedName>
    <definedName name="IQ_EST_EPS_GW_DIFF_REUT" hidden="1">"c5429"</definedName>
    <definedName name="IQ_EST_EPS_GW_SURPRISE_PERCENT" hidden="1">"c1892"</definedName>
    <definedName name="IQ_EST_EPS_GW_SURPRISE_PERCENT_CIQ" hidden="1">"c4762"</definedName>
    <definedName name="IQ_EST_EPS_GW_SURPRISE_PERCENT_REUT" hidden="1">"c5430"</definedName>
    <definedName name="IQ_EST_EPS_NORM_DIFF" hidden="1">"c2247"</definedName>
    <definedName name="IQ_EST_EPS_NORM_DIFF_CIQ" hidden="1">"c4745"</definedName>
    <definedName name="IQ_EST_EPS_NORM_DIFF_REUT" hidden="1">"c5411"</definedName>
    <definedName name="IQ_EST_EPS_NORM_SURPRISE_PERCENT" hidden="1">"c2248"</definedName>
    <definedName name="IQ_EST_EPS_NORM_SURPRISE_PERCENT_CIQ" hidden="1">"c4746"</definedName>
    <definedName name="IQ_EST_EPS_NORM_SURPRISE_PERCENT_REUT" hidden="1">"c5412"</definedName>
    <definedName name="IQ_EST_EPS_REPORT_DIFF" hidden="1">"c1893"</definedName>
    <definedName name="IQ_EST_EPS_REPORT_DIFF_CIQ" hidden="1">"c4763"</definedName>
    <definedName name="IQ_EST_EPS_REPORT_DIFF_REUT" hidden="1">"c5431"</definedName>
    <definedName name="IQ_EST_EPS_REPORT_SURPRISE_PERCENT" hidden="1">"c1894"</definedName>
    <definedName name="IQ_EST_EPS_REPORT_SURPRISE_PERCENT_CIQ" hidden="1">"c4764"</definedName>
    <definedName name="IQ_EST_EPS_REPORT_SURPRISE_PERCENT_REUT" hidden="1">"c5432"</definedName>
    <definedName name="IQ_EST_EPS_SURPRISE_PERCENT" hidden="1">"c1635"</definedName>
    <definedName name="IQ_EST_EPS_SURPRISE_PERCENT_CIQ" hidden="1">"c5000"</definedName>
    <definedName name="IQ_EST_FAIR_VALUE_MORT_SERVICING_ASSETS_FFIEC" hidden="1">"c12956"</definedName>
    <definedName name="IQ_EST_FOOTNOTE" hidden="1">"c4540"</definedName>
    <definedName name="IQ_EST_FOOTNOTE_CIQ" hidden="1">"c12022"</definedName>
    <definedName name="IQ_EST_REV_DIFF" hidden="1">"c1865"</definedName>
    <definedName name="IQ_EST_REV_DIFF_CIQ" hidden="1">"c3717"</definedName>
    <definedName name="IQ_EST_REV_SURPRISE_PERCENT" hidden="1">"c1866"</definedName>
    <definedName name="IQ_EST_REV_SURPRISE_PERCENT_CIQ" hidden="1">"c3718"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FUNDS_SOLD" hidden="1">"c2256"</definedName>
    <definedName name="IQ_FEES_COMMISSIONS_BROKERAGE_FFIEC" hidden="1">"c13005"</definedName>
    <definedName name="IQ_FFO" hidden="1">"c1574"</definedName>
    <definedName name="IQ_FFO_ADJ_ACT_OR_EST" hidden="1">"c4435"</definedName>
    <definedName name="IQ_FFO_ADJ_ACT_OR_EST_CIQ" hidden="1">"c4960"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REUT" hidden="1">"c6798"</definedName>
    <definedName name="IQ_FISCAL_Y" hidden="1">"c441"</definedName>
    <definedName name="IQ_FISCAL_Y_EST" hidden="1">"c6795"</definedName>
    <definedName name="IQ_FISCAL_Y_EST_CIQ" hidden="1">"c6807"</definedName>
    <definedName name="IQ_FISCAL_Y_EST_REUT" hidden="1">"c6799"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ND_FEE_INC_NON_INT_INC_FFIEC" hidden="1">"c13493"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_AVG_LOANS_FFIEC" hidden="1">"c13475"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EXP_CASINO" hidden="1">"c8733"</definedName>
    <definedName name="IQ_HG_EXP_DEVELOPMENT" hidden="1">"c8738"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INCENTIVE_MANAGEMENT_FEES" hidden="1">"c8727"</definedName>
    <definedName name="IQ_HG_REV_MANAGEMENT_FEES" hidden="1">"c8718"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PROM_COSTS" hidden="1">"c8745"</definedName>
    <definedName name="IQ_HG_ROOMS_BEG" hidden="1">"c8600"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IR_OIL" hidden="1">"c547"</definedName>
    <definedName name="IQ_IMPAIRMENT_GW" hidden="1">"c548"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SECURED_RE_DOM_FFIEC" hidden="1">"c12977"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ANGIBLES_NET" hidden="1">"c1407"</definedName>
    <definedName name="IQ_INTEREST_BEARING_BALANCES_FDIC" hidden="1">"c6371"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ASE_RECEIVABLES_FOREIGN_FFIEC" hidden="1">"c13483"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QUID_ASSETS_ASSETS_TOT_FFIEC" hidden="1">"c13439"</definedName>
    <definedName name="IQ_LIQUID_ASSETS_NONCORE_FUNDING_FFIEC" hidden="1">"c13339"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DAYS_CLAIMS_PAYABLE" hidden="1">"c9937"</definedName>
    <definedName name="IQ_MC_DAYS_CLAIMS_PAYABLE_EXCL_CAPITATION" hidden="1">"c9938"</definedName>
    <definedName name="IQ_MC_MEDICAL_COSTS_PMPM" hidden="1">"c9925"</definedName>
    <definedName name="IQ_MC_PARENT_CASH" hidden="1">"c9942"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TATUTORY_SURPLUS" hidden="1">"c2772"</definedName>
    <definedName name="IQ_MC_TOTAL_COVERED_LIVES" hidden="1">"c9919"</definedName>
    <definedName name="IQ_MC_TOTAL_MEMBERSHIP" hidden="1">"c9922"</definedName>
    <definedName name="IQ_MC_TOTAL_MEMBERSHIP_CAPITATION" hidden="1">"c9923"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ULTI_RES_PROPERTIES_TRADING_DOM_FFIEC" hidden="1">"c12930"</definedName>
    <definedName name="IQ_MULTIFAMILY_LOANS_GROSS_LOANS_FFIEC" hidden="1">"c13404"</definedName>
    <definedName name="IQ_MULTIFAMILY_LOANS_RISK_BASED_FFIEC" hidden="1">"c13425"</definedName>
    <definedName name="IQ_MULTIFAMILY_RESIDENTIAL_LOANS_FDIC" hidden="1">"c6311"</definedName>
    <definedName name="IQ_MUNICIPAL_INVEST_SECURITIES_FFIEC" hidden="1">"c13459"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EGATIVE_FAIR_VALUE_DERIVATIVES_BENEFICIARY_FFIEC" hidden="1">"c13124"</definedName>
    <definedName name="IQ_NEGATIVE_FAIR_VALUE_DERIVATIVES_GUARANTOR_FFIEC" hidden="1">"c13117"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EARNED" hidden="1">"c2734"</definedName>
    <definedName name="IQ_NET_FUNDS_PURCHASED_ASSETS_TOT_FFIEC" hidden="1">"c13448"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EFORE_CAPITALIZED" hidden="1">"c792"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FFIEC" hidden="1">"c13034"</definedName>
    <definedName name="IQ_NI_MARGIN" hidden="1">"c794"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SBC_ACT_OR_EST" hidden="1">"c4474"</definedName>
    <definedName name="IQ_NI_SBC_ACT_OR_EST_CIQ" hidden="1">"c5012"</definedName>
    <definedName name="IQ_NI_SBC_GW_ACT_OR_EST" hidden="1">"c4478"</definedName>
    <definedName name="IQ_NI_SBC_GW_ACT_OR_EST_CIQ" hidden="1">"c5016"</definedName>
    <definedName name="IQ_NI_SFAS" hidden="1">"c795"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LOANS" hidden="1">"c796"</definedName>
    <definedName name="IQ_NON_CASH" hidden="1">"c1399"</definedName>
    <definedName name="IQ_NON_CASH_ITEMS" hidden="1">"c797"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"c11750"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TOTAL_WELLS_DRILLED" hidden="1">"c10096"</definedName>
    <definedName name="IQ_OG_GROSS_OPERATED_WELLS" hidden="1">"c10092"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" hidden="1">"c6240"</definedName>
    <definedName name="IQ_OPER_INC_REIT" hidden="1">"c853"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FIEC" hidden="1">"c12862"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RIVATIVES_BENEFICIARY_FFIEC" hidden="1">"c13122"</definedName>
    <definedName name="IQ_OTHER_DERIVATIVES_GUARANTOR_FFIEC" hidden="1">"c13115"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 hidden="1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Q_FT" hidden="1">"c8780"</definedName>
    <definedName name="IQ_OTHER_STRIKE_PRICE_GRANTED" hidden="1">"c2692"</definedName>
    <definedName name="IQ_OTHER_TRADING_ASSETS_FFIEC" hidden="1">"c12826"</definedName>
    <definedName name="IQ_OTHER_TRADING_ASSETS_TOTAL_FFIEC" hidden="1">"c12937"</definedName>
    <definedName name="IQ_OTHER_TRADING_LIABILITIES_FFIEC" hidden="1">"c12860"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_INSURED_FDIC" hidden="1">"c6374"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OPERATING_INC_AVG_ASSETS_FFIEC" hidden="1">"c13365"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FESSIONAL" hidden="1">"c1071"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ROVISION_LL_FFIEC" hidden="1">"c13019"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SHARE_ACT_OR_EST" hidden="1">"c4508"</definedName>
    <definedName name="IQ_RECURRING_PROFIT_SHARE_ACT_OR_EST_CIQ" hidden="1">"c5046"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REV" hidden="1">"c1101"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MBEDDED_VALUE" hidden="1">"c9974"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BEFORE_LL_FFIEC" hidden="1">"c13018"</definedName>
    <definedName name="IQ_REVENUE_EST" hidden="1">"c1126"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ISION_DATE_" hidden="1">39926.4158564815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ISK_ADJ_BANK_ASSETS" hidden="1">"c2670"</definedName>
    <definedName name="IQ_RISK_WEIGHTED_ASSETS_FDIC" hidden="1">"c6370"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"c11748"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FIEC" hidden="1">"c12867"</definedName>
    <definedName name="IQ_SUB_NOTES_PAYABLE_UNCONSOLIDATED_TRUSTS_FFIEC" hidden="1">"c12868"</definedName>
    <definedName name="IQ_SUPPLIES_FFIEC" hidden="1">"c13050"</definedName>
    <definedName name="IQ_SURPLUS_FDIC" hidden="1">"c6351"</definedName>
    <definedName name="IQ_SURPLUS_FFIEC" hidden="1">"c12877"</definedName>
    <definedName name="IQ_SVA" hidden="1">"c1214"</definedName>
    <definedName name="IQ_TANGIBLE_EQUITY_ASSETS_FFIEC" hidden="1">"c13346"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100K_OTHER_INSTITUTIONS_FFIEC" hidden="1">"c12953"</definedName>
    <definedName name="IQ_TIME_DEPOSITS_LESS_THAN_100K_FDIC" hidden="1">"c6465"</definedName>
    <definedName name="IQ_TIME_DEPOSITS_MORE_100K_OTHER_INSTITUTIONS_FFIEC" hidden="1">"c12954"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DIC" hidden="1">"c6339"</definedName>
    <definedName name="IQ_TOTAL_ASSETS_FFIEC" hidden="1">"c12849"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NON_CURRENT" hidden="1">"c6191"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EPOSITS_FFIEC" hidden="1">"c13623"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DIC" hidden="1">"c6348"</definedName>
    <definedName name="IQ_TOTAL_LIABILITIES_FFIEC" hidden="1">"c12873"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"c13642"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"c13640"</definedName>
    <definedName name="IQ_TR_TERM_FEE_PCT" hidden="1">"c13641"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OPERATING_INC_FFIEC" hidden="1">"c13385"</definedName>
    <definedName name="IQ_TRADING_REVENUE_FFIEC" hidden="1">"c13004"</definedName>
    <definedName name="IQ_TRANSACTION_ACCOUNTS_FDIC" hidden="1">"c6544"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 hidden="1">"c8783"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_xlnm.Print_Area" localSheetId="0">Model!$A$1:$AP$105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13" l="1"/>
  <c r="L32" i="13"/>
  <c r="Q32" i="13"/>
  <c r="S32" i="13"/>
  <c r="Z32" i="13"/>
  <c r="AE32" i="13"/>
  <c r="AG32" i="13"/>
  <c r="AI32" i="13"/>
  <c r="AJ32" i="13"/>
  <c r="AK32" i="13"/>
  <c r="AL32" i="13"/>
  <c r="AN32" i="13"/>
  <c r="AO32" i="13"/>
  <c r="AP32" i="13"/>
  <c r="C33" i="13"/>
  <c r="D33" i="13"/>
  <c r="E33" i="13"/>
  <c r="G33" i="13"/>
  <c r="H33" i="13"/>
  <c r="I33" i="13"/>
  <c r="J33" i="13"/>
  <c r="L33" i="13"/>
  <c r="N33" i="13"/>
  <c r="O33" i="13"/>
  <c r="P33" i="13"/>
  <c r="Q33" i="13"/>
  <c r="S33" i="13"/>
  <c r="U33" i="13"/>
  <c r="V33" i="13"/>
  <c r="W33" i="13"/>
  <c r="X33" i="13"/>
  <c r="Z33" i="13"/>
  <c r="AB33" i="13"/>
  <c r="AC33" i="13"/>
  <c r="AD33" i="13"/>
  <c r="AE33" i="13"/>
  <c r="AG33" i="13"/>
  <c r="AN33" i="13"/>
  <c r="J35" i="13"/>
  <c r="J36" i="13" s="1"/>
  <c r="L35" i="13"/>
  <c r="L36" i="13" s="1"/>
  <c r="Q35" i="13"/>
  <c r="X36" i="13" s="1"/>
  <c r="S35" i="13"/>
  <c r="Z35" i="13"/>
  <c r="Z36" i="13" s="1"/>
  <c r="AE35" i="13"/>
  <c r="AG35" i="13" s="1"/>
  <c r="AG36" i="13" s="1"/>
  <c r="AI35" i="13"/>
  <c r="AJ35" i="13"/>
  <c r="AK35" i="13"/>
  <c r="C36" i="13"/>
  <c r="D36" i="13"/>
  <c r="E36" i="13"/>
  <c r="G36" i="13"/>
  <c r="H36" i="13"/>
  <c r="I36" i="13"/>
  <c r="N36" i="13"/>
  <c r="O36" i="13"/>
  <c r="P36" i="13"/>
  <c r="Q36" i="13"/>
  <c r="S36" i="13"/>
  <c r="U36" i="13"/>
  <c r="V36" i="13"/>
  <c r="W36" i="13"/>
  <c r="AB36" i="13"/>
  <c r="AC36" i="13"/>
  <c r="AD36" i="13"/>
  <c r="J38" i="13"/>
  <c r="J39" i="13" s="1"/>
  <c r="L38" i="13"/>
  <c r="L39" i="13" s="1"/>
  <c r="Q38" i="13"/>
  <c r="S38" i="13"/>
  <c r="Z38" i="13"/>
  <c r="AE38" i="13"/>
  <c r="AE39" i="13" s="1"/>
  <c r="AG38" i="13"/>
  <c r="AG39" i="13" s="1"/>
  <c r="AI38" i="13"/>
  <c r="AJ38" i="13"/>
  <c r="AK38" i="13"/>
  <c r="AL38" i="13"/>
  <c r="AN38" i="13"/>
  <c r="AO38" i="13" s="1"/>
  <c r="AP38" i="13" s="1"/>
  <c r="C39" i="13"/>
  <c r="D39" i="13"/>
  <c r="E39" i="13"/>
  <c r="G39" i="13"/>
  <c r="H39" i="13"/>
  <c r="I39" i="13"/>
  <c r="N39" i="13"/>
  <c r="O39" i="13"/>
  <c r="P39" i="13"/>
  <c r="Q39" i="13"/>
  <c r="S39" i="13"/>
  <c r="U39" i="13"/>
  <c r="V39" i="13"/>
  <c r="W39" i="13"/>
  <c r="X39" i="13"/>
  <c r="Z39" i="13"/>
  <c r="AB39" i="13"/>
  <c r="AC39" i="13"/>
  <c r="AD39" i="13"/>
  <c r="AJ58" i="13"/>
  <c r="AK58" i="13" s="1"/>
  <c r="AL58" i="13" s="1"/>
  <c r="AI83" i="13"/>
  <c r="AJ83" i="13" s="1"/>
  <c r="AK83" i="13" s="1"/>
  <c r="AL83" i="13" s="1"/>
  <c r="AO80" i="13"/>
  <c r="AJ80" i="13"/>
  <c r="AN80" i="13" s="1"/>
  <c r="AP80" i="13"/>
  <c r="AN84" i="13"/>
  <c r="AN81" i="13"/>
  <c r="AN79" i="13"/>
  <c r="AN78" i="13"/>
  <c r="AN77" i="13"/>
  <c r="AN76" i="13"/>
  <c r="AN70" i="13"/>
  <c r="AN56" i="13"/>
  <c r="AE89" i="13"/>
  <c r="AE62" i="13"/>
  <c r="AE55" i="13"/>
  <c r="AE57" i="13"/>
  <c r="AI57" i="13" s="1"/>
  <c r="AJ57" i="13" s="1"/>
  <c r="AE44" i="13"/>
  <c r="AE45" i="13"/>
  <c r="AE36" i="13" l="1"/>
  <c r="AL35" i="13"/>
  <c r="AN35" i="13" s="1"/>
  <c r="AN39" i="13"/>
  <c r="AJ41" i="13"/>
  <c r="AJ45" i="13" s="1"/>
  <c r="AK41" i="13"/>
  <c r="AN58" i="13"/>
  <c r="AN83" i="13"/>
  <c r="AP55" i="13"/>
  <c r="AO55" i="13"/>
  <c r="AK57" i="13"/>
  <c r="AI41" i="13"/>
  <c r="AE49" i="13"/>
  <c r="AE50" i="13"/>
  <c r="AE51" i="13"/>
  <c r="AO35" i="13" l="1"/>
  <c r="AP35" i="13" s="1"/>
  <c r="AN36" i="13"/>
  <c r="AJ50" i="13"/>
  <c r="AJ49" i="13"/>
  <c r="AJ51" i="13"/>
  <c r="AJ44" i="13"/>
  <c r="AJ46" i="13" s="1"/>
  <c r="AJ47" i="13" s="1"/>
  <c r="AJ68" i="13"/>
  <c r="AJ75" i="13"/>
  <c r="AK50" i="13"/>
  <c r="AK51" i="13"/>
  <c r="AK49" i="13"/>
  <c r="AK68" i="13"/>
  <c r="AK45" i="13"/>
  <c r="AK44" i="13"/>
  <c r="AK75" i="13"/>
  <c r="AI45" i="13"/>
  <c r="AI68" i="13"/>
  <c r="AI50" i="13"/>
  <c r="AI75" i="13"/>
  <c r="AI44" i="13"/>
  <c r="AI51" i="13"/>
  <c r="AI49" i="13"/>
  <c r="AL57" i="13"/>
  <c r="AK46" i="13" l="1"/>
  <c r="AJ52" i="13"/>
  <c r="AJ53" i="13" s="1"/>
  <c r="AK47" i="13"/>
  <c r="AK52" i="13"/>
  <c r="AK53" i="13" s="1"/>
  <c r="AN57" i="13"/>
  <c r="AI46" i="13"/>
  <c r="AL41" i="13"/>
  <c r="AD58" i="13"/>
  <c r="AC41" i="13"/>
  <c r="AJ42" i="13" s="1"/>
  <c r="Z98" i="13"/>
  <c r="AB84" i="13"/>
  <c r="AC83" i="13"/>
  <c r="AC82" i="13"/>
  <c r="AC81" i="13"/>
  <c r="AC76" i="13"/>
  <c r="AC75" i="13"/>
  <c r="AC71" i="13"/>
  <c r="AC70" i="13"/>
  <c r="AC69" i="13"/>
  <c r="AC68" i="13"/>
  <c r="AC58" i="13"/>
  <c r="AB80" i="13"/>
  <c r="AB77" i="13"/>
  <c r="AB72" i="13"/>
  <c r="AB58" i="13"/>
  <c r="AB56" i="13"/>
  <c r="AE56" i="13" s="1"/>
  <c r="AL51" i="13" l="1"/>
  <c r="AN51" i="13" s="1"/>
  <c r="AL44" i="13"/>
  <c r="AL50" i="13"/>
  <c r="AN50" i="13" s="1"/>
  <c r="AL68" i="13"/>
  <c r="AN68" i="13" s="1"/>
  <c r="AL49" i="13"/>
  <c r="AN49" i="13" s="1"/>
  <c r="AL45" i="13"/>
  <c r="AN45" i="13" s="1"/>
  <c r="AL75" i="13"/>
  <c r="AN75" i="13" s="1"/>
  <c r="AI47" i="13"/>
  <c r="AI52" i="13"/>
  <c r="AI53" i="13" s="1"/>
  <c r="AD81" i="13"/>
  <c r="AE81" i="13" s="1"/>
  <c r="AG81" i="13" s="1"/>
  <c r="AD69" i="13"/>
  <c r="AE69" i="13" s="1"/>
  <c r="AI69" i="13" s="1"/>
  <c r="AD70" i="13"/>
  <c r="AE70" i="13" s="1"/>
  <c r="AD82" i="13"/>
  <c r="AE82" i="13" s="1"/>
  <c r="AD71" i="13"/>
  <c r="AE71" i="13" s="1"/>
  <c r="AI71" i="13" s="1"/>
  <c r="AD76" i="13"/>
  <c r="AE76" i="13" s="1"/>
  <c r="AE58" i="13"/>
  <c r="AD68" i="13"/>
  <c r="AE68" i="13" s="1"/>
  <c r="AD83" i="13"/>
  <c r="AE83" i="13" s="1"/>
  <c r="AC72" i="13"/>
  <c r="AD72" i="13" s="1"/>
  <c r="AC84" i="13"/>
  <c r="AD75" i="13"/>
  <c r="AE75" i="13" s="1"/>
  <c r="AC80" i="13"/>
  <c r="AD80" i="13" s="1"/>
  <c r="AC77" i="13"/>
  <c r="AD77" i="13" s="1"/>
  <c r="AG79" i="13"/>
  <c r="AJ69" i="13" l="1"/>
  <c r="AJ71" i="13"/>
  <c r="AK71" i="13" s="1"/>
  <c r="AL71" i="13" s="1"/>
  <c r="AG82" i="13"/>
  <c r="AI82" i="13"/>
  <c r="AL46" i="13"/>
  <c r="AL52" i="13" s="1"/>
  <c r="AL53" i="13" s="1"/>
  <c r="AN44" i="13"/>
  <c r="AI93" i="13"/>
  <c r="AE77" i="13"/>
  <c r="AE72" i="13"/>
  <c r="AE80" i="13"/>
  <c r="AG80" i="13" s="1"/>
  <c r="AD84" i="13"/>
  <c r="AE84" i="13" s="1"/>
  <c r="W58" i="13"/>
  <c r="X57" i="13"/>
  <c r="X56" i="13"/>
  <c r="X55" i="13"/>
  <c r="AG78" i="13"/>
  <c r="AJ82" i="13" l="1"/>
  <c r="AK82" i="13" s="1"/>
  <c r="AL82" i="13" s="1"/>
  <c r="AK69" i="13"/>
  <c r="AJ93" i="13"/>
  <c r="AN71" i="13"/>
  <c r="AL47" i="13"/>
  <c r="AI94" i="13"/>
  <c r="AI55" i="13"/>
  <c r="AG56" i="13"/>
  <c r="AD41" i="13"/>
  <c r="AK42" i="13" s="1"/>
  <c r="AB41" i="13"/>
  <c r="AK55" i="13"/>
  <c r="AK59" i="13" s="1"/>
  <c r="AG76" i="13"/>
  <c r="AG70" i="13"/>
  <c r="AL55" i="13"/>
  <c r="AL59" i="13" s="1"/>
  <c r="AI59" i="13" l="1"/>
  <c r="AK60" i="13"/>
  <c r="AK62" i="13"/>
  <c r="AK63" i="13" s="1"/>
  <c r="AJ94" i="13"/>
  <c r="AL69" i="13"/>
  <c r="AK93" i="13"/>
  <c r="AN82" i="13"/>
  <c r="AL62" i="13"/>
  <c r="AL63" i="13" s="1"/>
  <c r="AL60" i="13"/>
  <c r="AI42" i="13"/>
  <c r="AG55" i="13"/>
  <c r="AG77" i="13"/>
  <c r="V83" i="13"/>
  <c r="V82" i="13"/>
  <c r="V81" i="13"/>
  <c r="V80" i="13"/>
  <c r="V76" i="13"/>
  <c r="V75" i="13"/>
  <c r="V71" i="13"/>
  <c r="V70" i="13"/>
  <c r="V69" i="13"/>
  <c r="V68" i="13"/>
  <c r="V58" i="13"/>
  <c r="U79" i="13"/>
  <c r="AK64" i="13" l="1"/>
  <c r="AK67" i="13"/>
  <c r="AI60" i="13"/>
  <c r="AI62" i="13"/>
  <c r="AI63" i="13" s="1"/>
  <c r="AI64" i="13" s="1"/>
  <c r="AK94" i="13"/>
  <c r="AL93" i="13"/>
  <c r="AN69" i="13"/>
  <c r="AL67" i="13"/>
  <c r="AL64" i="13"/>
  <c r="AD46" i="13"/>
  <c r="AD52" i="13" s="1"/>
  <c r="AD53" i="13" s="1"/>
  <c r="AC46" i="13"/>
  <c r="AC52" i="13" s="1"/>
  <c r="AG57" i="13"/>
  <c r="W69" i="13"/>
  <c r="X69" i="13" s="1"/>
  <c r="W70" i="13"/>
  <c r="X70" i="13" s="1"/>
  <c r="W71" i="13"/>
  <c r="X71" i="13" s="1"/>
  <c r="AB46" i="13"/>
  <c r="AB52" i="13" s="1"/>
  <c r="W83" i="13"/>
  <c r="V79" i="13"/>
  <c r="W79" i="13" s="1"/>
  <c r="W75" i="13"/>
  <c r="W81" i="13"/>
  <c r="X81" i="13" s="1"/>
  <c r="W82" i="13"/>
  <c r="W68" i="13"/>
  <c r="X68" i="13" s="1"/>
  <c r="W76" i="13"/>
  <c r="X76" i="13" s="1"/>
  <c r="W80" i="13"/>
  <c r="X80" i="13" s="1"/>
  <c r="V41" i="13"/>
  <c r="AC42" i="13" s="1"/>
  <c r="Z89" i="13"/>
  <c r="AB89" i="13" s="1"/>
  <c r="AG89" i="13" s="1"/>
  <c r="AI89" i="13" s="1"/>
  <c r="AJ89" i="13" s="1"/>
  <c r="AK89" i="13" s="1"/>
  <c r="AL89" i="13" s="1"/>
  <c r="AN89" i="13" s="1"/>
  <c r="L89" i="13"/>
  <c r="S89" i="13"/>
  <c r="AI67" i="13" l="1"/>
  <c r="AL94" i="13"/>
  <c r="X75" i="13"/>
  <c r="AD47" i="13"/>
  <c r="AC47" i="13"/>
  <c r="X83" i="13"/>
  <c r="AG83" i="13" s="1"/>
  <c r="AC93" i="13"/>
  <c r="AJ95" i="13" s="1"/>
  <c r="AC59" i="13"/>
  <c r="AC53" i="13"/>
  <c r="AD59" i="13"/>
  <c r="X82" i="13"/>
  <c r="AB93" i="13"/>
  <c r="AI95" i="13" s="1"/>
  <c r="AB47" i="13"/>
  <c r="X79" i="13"/>
  <c r="AO89" i="13"/>
  <c r="AP89" i="13" s="1"/>
  <c r="AD93" i="13" l="1"/>
  <c r="AG69" i="13"/>
  <c r="AO69" i="13" s="1"/>
  <c r="AP69" i="13" s="1"/>
  <c r="AG71" i="13"/>
  <c r="AD60" i="13"/>
  <c r="AD63" i="13"/>
  <c r="AC63" i="13"/>
  <c r="AC60" i="13"/>
  <c r="AC94" i="13"/>
  <c r="AB94" i="13"/>
  <c r="AB53" i="13"/>
  <c r="U84" i="13"/>
  <c r="U77" i="13"/>
  <c r="U72" i="13"/>
  <c r="U58" i="13"/>
  <c r="X58" i="13" s="1"/>
  <c r="AG58" i="13" s="1"/>
  <c r="AD94" i="13" l="1"/>
  <c r="AK95" i="13"/>
  <c r="AD67" i="13"/>
  <c r="AD73" i="13" s="1"/>
  <c r="AD64" i="13"/>
  <c r="AC64" i="13"/>
  <c r="AC67" i="13"/>
  <c r="V84" i="13"/>
  <c r="V77" i="13"/>
  <c r="W77" i="13" s="1"/>
  <c r="AB59" i="13"/>
  <c r="V72" i="13"/>
  <c r="W72" i="13" s="1"/>
  <c r="Z81" i="13"/>
  <c r="Z79" i="13"/>
  <c r="Z78" i="13"/>
  <c r="Z76" i="13"/>
  <c r="Z70" i="13"/>
  <c r="AO57" i="13"/>
  <c r="AP57" i="13" s="1"/>
  <c r="Z56" i="13"/>
  <c r="S79" i="13"/>
  <c r="S78" i="13"/>
  <c r="Q62" i="13"/>
  <c r="S62" i="13" s="1"/>
  <c r="Q57" i="13"/>
  <c r="S57" i="13" s="1"/>
  <c r="Q56" i="13"/>
  <c r="S56" i="13" s="1"/>
  <c r="Q55" i="13"/>
  <c r="S55" i="13" s="1"/>
  <c r="Q51" i="13"/>
  <c r="S51" i="13" s="1"/>
  <c r="Q50" i="13"/>
  <c r="S50" i="13" s="1"/>
  <c r="Q49" i="13"/>
  <c r="S49" i="13" s="1"/>
  <c r="Q45" i="13"/>
  <c r="S45" i="13" s="1"/>
  <c r="Q44" i="13"/>
  <c r="S44" i="13" s="1"/>
  <c r="B98" i="13"/>
  <c r="C98" i="13"/>
  <c r="D98" i="13"/>
  <c r="E98" i="13"/>
  <c r="L98" i="13"/>
  <c r="W84" i="13" l="1"/>
  <c r="X77" i="13"/>
  <c r="Z77" i="13" s="1"/>
  <c r="X72" i="13"/>
  <c r="AB63" i="13"/>
  <c r="AB60" i="13"/>
  <c r="Q41" i="13"/>
  <c r="Q46" i="13" s="1"/>
  <c r="Q52" i="13" s="1"/>
  <c r="Q53" i="13" s="1"/>
  <c r="Z83" i="13"/>
  <c r="Z57" i="13"/>
  <c r="Z80" i="13"/>
  <c r="Z82" i="13"/>
  <c r="X84" i="13" l="1"/>
  <c r="AG84" i="13" s="1"/>
  <c r="AB67" i="13"/>
  <c r="AB64" i="13"/>
  <c r="AG41" i="13"/>
  <c r="AE41" i="13"/>
  <c r="X41" i="13"/>
  <c r="S41" i="13"/>
  <c r="S46" i="13" s="1"/>
  <c r="S47" i="13" s="1"/>
  <c r="Z55" i="13"/>
  <c r="AL42" i="13" l="1"/>
  <c r="AG68" i="13"/>
  <c r="AG49" i="13"/>
  <c r="AG45" i="13"/>
  <c r="AG50" i="13"/>
  <c r="AG51" i="13"/>
  <c r="X46" i="13"/>
  <c r="AE42" i="13"/>
  <c r="X42" i="13"/>
  <c r="S52" i="13"/>
  <c r="S53" i="13" s="1"/>
  <c r="P58" i="13"/>
  <c r="O83" i="13"/>
  <c r="O82" i="13"/>
  <c r="O81" i="13"/>
  <c r="O80" i="13"/>
  <c r="O76" i="13"/>
  <c r="O75" i="13"/>
  <c r="O71" i="13"/>
  <c r="O70" i="13"/>
  <c r="O69" i="13"/>
  <c r="O68" i="13"/>
  <c r="O58" i="13"/>
  <c r="N84" i="13"/>
  <c r="N77" i="13"/>
  <c r="N72" i="13"/>
  <c r="N58" i="13"/>
  <c r="J62" i="13"/>
  <c r="J56" i="13"/>
  <c r="L56" i="13" s="1"/>
  <c r="J55" i="13"/>
  <c r="J57" i="13"/>
  <c r="L57" i="13" s="1"/>
  <c r="J51" i="13"/>
  <c r="J50" i="13"/>
  <c r="J49" i="13"/>
  <c r="J45" i="13"/>
  <c r="L45" i="13" s="1"/>
  <c r="J44" i="13"/>
  <c r="I58" i="13"/>
  <c r="H76" i="13"/>
  <c r="I76" i="13" s="1"/>
  <c r="H75" i="13"/>
  <c r="H83" i="13"/>
  <c r="I83" i="13" s="1"/>
  <c r="H82" i="13"/>
  <c r="I82" i="13" s="1"/>
  <c r="J82" i="13" s="1"/>
  <c r="H81" i="13"/>
  <c r="I81" i="13" s="1"/>
  <c r="H80" i="13"/>
  <c r="I80" i="13" s="1"/>
  <c r="H68" i="13"/>
  <c r="H71" i="13"/>
  <c r="H70" i="13"/>
  <c r="H69" i="13"/>
  <c r="I69" i="13" s="1"/>
  <c r="L78" i="13"/>
  <c r="H58" i="13"/>
  <c r="G84" i="13"/>
  <c r="H84" i="13" s="1"/>
  <c r="G77" i="13"/>
  <c r="H77" i="13" s="1"/>
  <c r="G72" i="13"/>
  <c r="H72" i="13" s="1"/>
  <c r="G58" i="13"/>
  <c r="E84" i="13"/>
  <c r="E77" i="13"/>
  <c r="E72" i="13"/>
  <c r="E58" i="13"/>
  <c r="D84" i="13"/>
  <c r="D77" i="13"/>
  <c r="D76" i="13"/>
  <c r="D72" i="13"/>
  <c r="D58" i="13"/>
  <c r="C84" i="13"/>
  <c r="C77" i="13"/>
  <c r="C72" i="13"/>
  <c r="C58" i="13"/>
  <c r="AG75" i="13" l="1"/>
  <c r="AG44" i="13"/>
  <c r="AE46" i="13"/>
  <c r="AE52" i="13" s="1"/>
  <c r="AE93" i="13" s="1"/>
  <c r="X47" i="13"/>
  <c r="X52" i="13"/>
  <c r="X53" i="13" s="1"/>
  <c r="Q58" i="13"/>
  <c r="P69" i="13"/>
  <c r="Q69" i="13" s="1"/>
  <c r="P71" i="13"/>
  <c r="Q71" i="13" s="1"/>
  <c r="P76" i="13"/>
  <c r="Q76" i="13" s="1"/>
  <c r="O77" i="13"/>
  <c r="P77" i="13" s="1"/>
  <c r="Q77" i="13" s="1"/>
  <c r="P80" i="13"/>
  <c r="Q80" i="13" s="1"/>
  <c r="P81" i="13"/>
  <c r="Q81" i="13" s="1"/>
  <c r="P70" i="13"/>
  <c r="Q70" i="13" s="1"/>
  <c r="P75" i="13"/>
  <c r="Q75" i="13" s="1"/>
  <c r="P82" i="13"/>
  <c r="Q82" i="13" s="1"/>
  <c r="P68" i="13"/>
  <c r="Q68" i="13" s="1"/>
  <c r="P83" i="13"/>
  <c r="Q83" i="13" s="1"/>
  <c r="J58" i="13"/>
  <c r="I72" i="13"/>
  <c r="J72" i="13" s="1"/>
  <c r="O72" i="13"/>
  <c r="P72" i="13" s="1"/>
  <c r="O84" i="13"/>
  <c r="P84" i="13" s="1"/>
  <c r="J69" i="13"/>
  <c r="J83" i="13"/>
  <c r="I68" i="13"/>
  <c r="J68" i="13" s="1"/>
  <c r="J81" i="13"/>
  <c r="I75" i="13"/>
  <c r="J75" i="13" s="1"/>
  <c r="I84" i="13"/>
  <c r="J84" i="13" s="1"/>
  <c r="J80" i="13"/>
  <c r="I70" i="13"/>
  <c r="I71" i="13"/>
  <c r="J71" i="13" s="1"/>
  <c r="I77" i="13"/>
  <c r="J77" i="13" s="1"/>
  <c r="J76" i="13"/>
  <c r="B84" i="13"/>
  <c r="B80" i="13"/>
  <c r="B77" i="13"/>
  <c r="B72" i="13"/>
  <c r="B58" i="13"/>
  <c r="L50" i="13"/>
  <c r="L51" i="13"/>
  <c r="AL95" i="13" l="1"/>
  <c r="AG46" i="13"/>
  <c r="AG52" i="13" s="1"/>
  <c r="AG93" i="13" s="1"/>
  <c r="AE94" i="13"/>
  <c r="AE47" i="13"/>
  <c r="AE59" i="13"/>
  <c r="AE53" i="13"/>
  <c r="S71" i="13"/>
  <c r="S70" i="13"/>
  <c r="S76" i="13"/>
  <c r="S80" i="13"/>
  <c r="S58" i="13"/>
  <c r="S59" i="13" s="1"/>
  <c r="S68" i="13"/>
  <c r="X93" i="13"/>
  <c r="S75" i="13"/>
  <c r="S77" i="13"/>
  <c r="S69" i="13"/>
  <c r="S83" i="13"/>
  <c r="Q93" i="13"/>
  <c r="S82" i="13"/>
  <c r="S81" i="13"/>
  <c r="Q72" i="13"/>
  <c r="S72" i="13" s="1"/>
  <c r="Q84" i="13"/>
  <c r="J70" i="13"/>
  <c r="L70" i="13" s="1"/>
  <c r="L77" i="13"/>
  <c r="P41" i="13"/>
  <c r="O41" i="13"/>
  <c r="V42" i="13" s="1"/>
  <c r="N41" i="13"/>
  <c r="J41" i="13"/>
  <c r="Q42" i="13" s="1"/>
  <c r="I41" i="13"/>
  <c r="H41" i="13"/>
  <c r="G41" i="13"/>
  <c r="C41" i="13"/>
  <c r="D41" i="13"/>
  <c r="B41" i="13"/>
  <c r="AJ72" i="13" l="1"/>
  <c r="AK72" i="13"/>
  <c r="AK73" i="13" s="1"/>
  <c r="AK85" i="13" s="1"/>
  <c r="AL72" i="13"/>
  <c r="AL73" i="13" s="1"/>
  <c r="AL85" i="13" s="1"/>
  <c r="AG47" i="13"/>
  <c r="AE95" i="13"/>
  <c r="AG59" i="13"/>
  <c r="AG60" i="13" s="1"/>
  <c r="AG53" i="13"/>
  <c r="AG94" i="13"/>
  <c r="AG62" i="13"/>
  <c r="AE60" i="13"/>
  <c r="S93" i="13"/>
  <c r="S94" i="13" s="1"/>
  <c r="Z69" i="13"/>
  <c r="S63" i="13"/>
  <c r="S60" i="13"/>
  <c r="X95" i="13"/>
  <c r="X94" i="13"/>
  <c r="S84" i="13"/>
  <c r="Z71" i="13"/>
  <c r="P46" i="13"/>
  <c r="P47" i="13" s="1"/>
  <c r="G46" i="13"/>
  <c r="G42" i="13"/>
  <c r="H46" i="13"/>
  <c r="H42" i="13"/>
  <c r="I46" i="13"/>
  <c r="I42" i="13"/>
  <c r="J46" i="13"/>
  <c r="N46" i="13"/>
  <c r="N47" i="13" s="1"/>
  <c r="B46" i="13"/>
  <c r="B52" i="13" s="1"/>
  <c r="B93" i="13" s="1"/>
  <c r="O46" i="13"/>
  <c r="D46" i="13"/>
  <c r="C46" i="13"/>
  <c r="AG63" i="13" l="1"/>
  <c r="AG64" i="13" s="1"/>
  <c r="AE63" i="13"/>
  <c r="AE67" i="13" s="1"/>
  <c r="AO71" i="13"/>
  <c r="AP71" i="13" s="1"/>
  <c r="S67" i="13"/>
  <c r="S73" i="13" s="1"/>
  <c r="S85" i="13" s="1"/>
  <c r="S64" i="13"/>
  <c r="X59" i="13"/>
  <c r="Z84" i="13"/>
  <c r="B47" i="13"/>
  <c r="P52" i="13"/>
  <c r="N52" i="13"/>
  <c r="O47" i="13"/>
  <c r="O52" i="13"/>
  <c r="O93" i="13" s="1"/>
  <c r="B94" i="13"/>
  <c r="B59" i="13"/>
  <c r="B53" i="13"/>
  <c r="AE73" i="13" l="1"/>
  <c r="AE85" i="13" s="1"/>
  <c r="AG67" i="13"/>
  <c r="AE64" i="13"/>
  <c r="Z58" i="13"/>
  <c r="X63" i="13"/>
  <c r="X60" i="13"/>
  <c r="N53" i="13"/>
  <c r="N93" i="13"/>
  <c r="P59" i="13"/>
  <c r="P60" i="13" s="1"/>
  <c r="P93" i="13"/>
  <c r="Q47" i="13"/>
  <c r="N59" i="13"/>
  <c r="N63" i="13" s="1"/>
  <c r="P53" i="13"/>
  <c r="O53" i="13"/>
  <c r="O59" i="13"/>
  <c r="O94" i="13"/>
  <c r="B63" i="13"/>
  <c r="B60" i="13"/>
  <c r="AO58" i="13" l="1"/>
  <c r="AP58" i="13" s="1"/>
  <c r="X67" i="13"/>
  <c r="X64" i="13"/>
  <c r="Q94" i="13"/>
  <c r="Q59" i="13"/>
  <c r="Q63" i="13" s="1"/>
  <c r="Q64" i="13" s="1"/>
  <c r="N94" i="13"/>
  <c r="P63" i="13"/>
  <c r="P64" i="13" s="1"/>
  <c r="P94" i="13"/>
  <c r="N60" i="13"/>
  <c r="O60" i="13"/>
  <c r="O63" i="13"/>
  <c r="N64" i="13"/>
  <c r="N67" i="13"/>
  <c r="N73" i="13" s="1"/>
  <c r="N85" i="13" s="1"/>
  <c r="B67" i="13"/>
  <c r="B73" i="13" s="1"/>
  <c r="B85" i="13" s="1"/>
  <c r="B88" i="13" s="1"/>
  <c r="B64" i="13"/>
  <c r="C87" i="13" l="1"/>
  <c r="B90" i="13"/>
  <c r="P67" i="13"/>
  <c r="P73" i="13" s="1"/>
  <c r="P85" i="13" s="1"/>
  <c r="Q60" i="13"/>
  <c r="O64" i="13"/>
  <c r="O67" i="13"/>
  <c r="O73" i="13" s="1"/>
  <c r="O85" i="13" s="1"/>
  <c r="B101" i="13" l="1"/>
  <c r="B102" i="13"/>
  <c r="Q67" i="13"/>
  <c r="AN97" i="13"/>
  <c r="P42" i="13"/>
  <c r="O42" i="13"/>
  <c r="N42" i="13"/>
  <c r="C42" i="13"/>
  <c r="AG97" i="13" l="1"/>
  <c r="AN98" i="13"/>
  <c r="I47" i="13"/>
  <c r="C47" i="13"/>
  <c r="D52" i="13"/>
  <c r="D93" i="13" s="1"/>
  <c r="G47" i="13"/>
  <c r="H52" i="13"/>
  <c r="H93" i="13" s="1"/>
  <c r="O95" i="13" s="1"/>
  <c r="AG98" i="13" l="1"/>
  <c r="AO97" i="13"/>
  <c r="AP97" i="13" s="1"/>
  <c r="I52" i="13"/>
  <c r="H47" i="13"/>
  <c r="D47" i="13"/>
  <c r="C52" i="13"/>
  <c r="G52" i="13"/>
  <c r="G93" i="13" s="1"/>
  <c r="N95" i="13" s="1"/>
  <c r="H53" i="13"/>
  <c r="D53" i="13"/>
  <c r="D59" i="13"/>
  <c r="L83" i="13"/>
  <c r="L82" i="13"/>
  <c r="L81" i="13"/>
  <c r="L76" i="13"/>
  <c r="L58" i="13"/>
  <c r="C59" i="13" l="1"/>
  <c r="C63" i="13" s="1"/>
  <c r="C67" i="13" s="1"/>
  <c r="C93" i="13"/>
  <c r="I53" i="13"/>
  <c r="I93" i="13"/>
  <c r="P95" i="13" s="1"/>
  <c r="G53" i="13"/>
  <c r="D60" i="13"/>
  <c r="D63" i="13"/>
  <c r="C95" i="13" l="1"/>
  <c r="D95" i="13"/>
  <c r="D64" i="13"/>
  <c r="D67" i="13"/>
  <c r="L80" i="13" l="1"/>
  <c r="L84" i="13"/>
  <c r="L79" i="13"/>
  <c r="E4" i="13" l="1"/>
  <c r="D42" i="13" l="1"/>
  <c r="H59" i="13"/>
  <c r="H94" i="13"/>
  <c r="E41" i="13" l="1"/>
  <c r="H63" i="13"/>
  <c r="H67" i="13" s="1"/>
  <c r="G59" i="13"/>
  <c r="G94" i="13"/>
  <c r="C94" i="13"/>
  <c r="C53" i="13"/>
  <c r="D94" i="13"/>
  <c r="H60" i="13"/>
  <c r="E46" i="13" l="1"/>
  <c r="E47" i="13" s="1"/>
  <c r="J42" i="13"/>
  <c r="L68" i="13"/>
  <c r="L75" i="13"/>
  <c r="L49" i="13"/>
  <c r="L69" i="13"/>
  <c r="G60" i="13"/>
  <c r="G63" i="13"/>
  <c r="C60" i="13"/>
  <c r="E42" i="13"/>
  <c r="H64" i="13"/>
  <c r="E52" i="13" l="1"/>
  <c r="G64" i="13"/>
  <c r="G67" i="13"/>
  <c r="G73" i="13" s="1"/>
  <c r="G85" i="13" s="1"/>
  <c r="J47" i="13"/>
  <c r="J52" i="13"/>
  <c r="J93" i="13" s="1"/>
  <c r="Q95" i="13" s="1"/>
  <c r="L44" i="13"/>
  <c r="C73" i="13"/>
  <c r="C85" i="13" s="1"/>
  <c r="C88" i="13" s="1"/>
  <c r="C90" i="13" s="1"/>
  <c r="C64" i="13"/>
  <c r="D73" i="13"/>
  <c r="D85" i="13" s="1"/>
  <c r="H73" i="13"/>
  <c r="H85" i="13" s="1"/>
  <c r="C101" i="13" l="1"/>
  <c r="C102" i="13"/>
  <c r="E93" i="13"/>
  <c r="E59" i="13"/>
  <c r="E63" i="13" s="1"/>
  <c r="E53" i="13"/>
  <c r="J53" i="13"/>
  <c r="D87" i="13"/>
  <c r="D88" i="13" s="1"/>
  <c r="D90" i="13" s="1"/>
  <c r="D101" i="13" l="1"/>
  <c r="D102" i="13"/>
  <c r="E94" i="13"/>
  <c r="E95" i="13"/>
  <c r="E64" i="13"/>
  <c r="E67" i="13"/>
  <c r="E60" i="13"/>
  <c r="E87" i="13"/>
  <c r="J94" i="13"/>
  <c r="E73" i="13" l="1"/>
  <c r="E85" i="13" s="1"/>
  <c r="E88" i="13" s="1"/>
  <c r="E90" i="13" s="1"/>
  <c r="E101" i="13" l="1"/>
  <c r="E102" i="13"/>
  <c r="L87" i="13"/>
  <c r="L71" i="13"/>
  <c r="L55" i="13"/>
  <c r="G87" i="13"/>
  <c r="G88" i="13" s="1"/>
  <c r="H87" i="13" l="1"/>
  <c r="H88" i="13" s="1"/>
  <c r="G90" i="13"/>
  <c r="I87" i="13" l="1"/>
  <c r="H90" i="13"/>
  <c r="J59" i="13"/>
  <c r="J63" i="13" l="1"/>
  <c r="J67" i="13" s="1"/>
  <c r="J60" i="13"/>
  <c r="L62" i="13" l="1"/>
  <c r="J64" i="13"/>
  <c r="AO98" i="13" l="1"/>
  <c r="AP98" i="13" s="1"/>
  <c r="L41" i="13" l="1"/>
  <c r="S42" i="13" s="1"/>
  <c r="L46" i="13" l="1"/>
  <c r="L47" i="13" s="1"/>
  <c r="L42" i="13"/>
  <c r="L52" i="13" l="1"/>
  <c r="L93" i="13" s="1"/>
  <c r="S95" i="13" s="1"/>
  <c r="L95" i="13" l="1"/>
  <c r="L59" i="13"/>
  <c r="L60" i="13" s="1"/>
  <c r="L53" i="13"/>
  <c r="I94" i="13"/>
  <c r="I59" i="13"/>
  <c r="L94" i="13"/>
  <c r="L63" i="13" l="1"/>
  <c r="L64" i="13" s="1"/>
  <c r="I63" i="13"/>
  <c r="I67" i="13" s="1"/>
  <c r="I60" i="13"/>
  <c r="L67" i="13" l="1"/>
  <c r="L72" i="13"/>
  <c r="I64" i="13"/>
  <c r="L73" i="13" l="1"/>
  <c r="L85" i="13" s="1"/>
  <c r="L88" i="13" s="1"/>
  <c r="L90" i="13" s="1"/>
  <c r="J73" i="13"/>
  <c r="J85" i="13" s="1"/>
  <c r="L101" i="13" l="1"/>
  <c r="L102" i="13"/>
  <c r="N87" i="13"/>
  <c r="N88" i="13" s="1"/>
  <c r="S87" i="13"/>
  <c r="S88" i="13" s="1"/>
  <c r="S90" i="13" s="1"/>
  <c r="I73" i="13"/>
  <c r="O87" i="13" l="1"/>
  <c r="O88" i="13" s="1"/>
  <c r="N90" i="13"/>
  <c r="S101" i="13"/>
  <c r="S102" i="13"/>
  <c r="Z87" i="13"/>
  <c r="U87" i="13"/>
  <c r="I85" i="13"/>
  <c r="I88" i="13" s="1"/>
  <c r="J87" i="13" l="1"/>
  <c r="J88" i="13" s="1"/>
  <c r="J90" i="13" s="1"/>
  <c r="I90" i="13"/>
  <c r="P87" i="13"/>
  <c r="P88" i="13" s="1"/>
  <c r="O90" i="13"/>
  <c r="Q87" i="13" l="1"/>
  <c r="P90" i="13"/>
  <c r="S105" i="13" l="1"/>
  <c r="Q73" i="13"/>
  <c r="Q85" i="13" l="1"/>
  <c r="Q88" i="13" s="1"/>
  <c r="Q90" i="13" s="1"/>
  <c r="S104" i="13" l="1"/>
  <c r="U41" i="13"/>
  <c r="AB42" i="13" s="1"/>
  <c r="U42" i="13" l="1"/>
  <c r="U46" i="13" l="1"/>
  <c r="U47" i="13" s="1"/>
  <c r="U52" i="13" l="1"/>
  <c r="U93" i="13" s="1"/>
  <c r="AB95" i="13" s="1"/>
  <c r="U53" i="13" l="1"/>
  <c r="U59" i="13"/>
  <c r="U60" i="13" s="1"/>
  <c r="U95" i="13"/>
  <c r="U94" i="13"/>
  <c r="U63" i="13" l="1"/>
  <c r="U67" i="13" l="1"/>
  <c r="U73" i="13" s="1"/>
  <c r="U85" i="13" s="1"/>
  <c r="U88" i="13" s="1"/>
  <c r="U64" i="13"/>
  <c r="V87" i="13" l="1"/>
  <c r="U90" i="13"/>
  <c r="V46" i="13" l="1"/>
  <c r="V52" i="13" s="1"/>
  <c r="V47" i="13" l="1"/>
  <c r="V59" i="13"/>
  <c r="V93" i="13"/>
  <c r="AC95" i="13" s="1"/>
  <c r="V53" i="13"/>
  <c r="V95" i="13" l="1"/>
  <c r="V94" i="13"/>
  <c r="V60" i="13"/>
  <c r="V63" i="13" l="1"/>
  <c r="V67" i="13" s="1"/>
  <c r="V64" i="13" l="1"/>
  <c r="V73" i="13"/>
  <c r="V85" i="13" s="1"/>
  <c r="V88" i="13" s="1"/>
  <c r="W87" i="13" l="1"/>
  <c r="V90" i="13"/>
  <c r="Z51" i="13"/>
  <c r="Z45" i="13"/>
  <c r="Z75" i="13"/>
  <c r="W41" i="13"/>
  <c r="AD42" i="13" l="1"/>
  <c r="Z41" i="13"/>
  <c r="Z68" i="13"/>
  <c r="W42" i="13"/>
  <c r="Z50" i="13"/>
  <c r="Z49" i="13"/>
  <c r="Z44" i="13"/>
  <c r="W46" i="13"/>
  <c r="Z46" i="13" l="1"/>
  <c r="AN41" i="13"/>
  <c r="AG42" i="13"/>
  <c r="Z42" i="13"/>
  <c r="W47" i="13"/>
  <c r="W52" i="13"/>
  <c r="AD85" i="13" l="1"/>
  <c r="AN42" i="13"/>
  <c r="Z52" i="13"/>
  <c r="Z47" i="13"/>
  <c r="W93" i="13"/>
  <c r="W59" i="13"/>
  <c r="W53" i="13"/>
  <c r="AO41" i="13" l="1"/>
  <c r="AP41" i="13"/>
  <c r="AN46" i="13"/>
  <c r="AN47" i="13" s="1"/>
  <c r="AC73" i="13"/>
  <c r="AC85" i="13" s="1"/>
  <c r="AD95" i="13"/>
  <c r="Z93" i="13"/>
  <c r="AG95" i="13" s="1"/>
  <c r="Z53" i="13"/>
  <c r="Z59" i="13"/>
  <c r="Z62" i="13"/>
  <c r="W60" i="13"/>
  <c r="W95" i="13"/>
  <c r="W94" i="13"/>
  <c r="AO51" i="13" l="1"/>
  <c r="AO68" i="13"/>
  <c r="AO49" i="13"/>
  <c r="AO44" i="13"/>
  <c r="AO50" i="13"/>
  <c r="AO75" i="13"/>
  <c r="AO45" i="13"/>
  <c r="AO42" i="13"/>
  <c r="AP42" i="13"/>
  <c r="AP75" i="13"/>
  <c r="AP45" i="13"/>
  <c r="AP68" i="13"/>
  <c r="AP49" i="13"/>
  <c r="AP44" i="13"/>
  <c r="AP50" i="13"/>
  <c r="AP51" i="13"/>
  <c r="AN52" i="13"/>
  <c r="AG72" i="13"/>
  <c r="AG73" i="13" s="1"/>
  <c r="AB73" i="13"/>
  <c r="AB85" i="13" s="1"/>
  <c r="W63" i="13"/>
  <c r="W67" i="13" s="1"/>
  <c r="W73" i="13" s="1"/>
  <c r="W85" i="13" s="1"/>
  <c r="W88" i="13" s="1"/>
  <c r="Z94" i="13"/>
  <c r="Z95" i="13"/>
  <c r="Z63" i="13"/>
  <c r="Z60" i="13"/>
  <c r="AO46" i="13" l="1"/>
  <c r="AO52" i="13" s="1"/>
  <c r="AO93" i="13" s="1"/>
  <c r="AP46" i="13"/>
  <c r="AN53" i="13"/>
  <c r="AN93" i="13"/>
  <c r="AN94" i="13" s="1"/>
  <c r="AG85" i="13"/>
  <c r="AG105" i="13"/>
  <c r="W64" i="13"/>
  <c r="Z67" i="13"/>
  <c r="Z64" i="13"/>
  <c r="W90" i="13"/>
  <c r="X87" i="13"/>
  <c r="AO47" i="13" l="1"/>
  <c r="AO59" i="13"/>
  <c r="AO62" i="13" s="1"/>
  <c r="AO63" i="13" s="1"/>
  <c r="AO53" i="13"/>
  <c r="AP47" i="13"/>
  <c r="AP52" i="13"/>
  <c r="AN95" i="13"/>
  <c r="AO95" i="13"/>
  <c r="AO94" i="13"/>
  <c r="AO60" i="13" l="1"/>
  <c r="AO72" i="13"/>
  <c r="AP53" i="13"/>
  <c r="AP93" i="13"/>
  <c r="AP59" i="13"/>
  <c r="AO64" i="13"/>
  <c r="AO67" i="13"/>
  <c r="AP72" i="13" l="1"/>
  <c r="AP62" i="13"/>
  <c r="AP63" i="13" s="1"/>
  <c r="AP60" i="13"/>
  <c r="AP94" i="13"/>
  <c r="AP95" i="13"/>
  <c r="AO73" i="13"/>
  <c r="AO85" i="13" s="1"/>
  <c r="AP64" i="13" l="1"/>
  <c r="AP67" i="13"/>
  <c r="AP73" i="13" s="1"/>
  <c r="AO105" i="13"/>
  <c r="X73" i="13"/>
  <c r="X85" i="13" s="1"/>
  <c r="X88" i="13" s="1"/>
  <c r="X90" i="13" s="1"/>
  <c r="AP85" i="13" l="1"/>
  <c r="AP105" i="13"/>
  <c r="Z72" i="13"/>
  <c r="Z73" i="13" s="1"/>
  <c r="Z105" i="13" l="1"/>
  <c r="Z85" i="13"/>
  <c r="Z88" i="13" s="1"/>
  <c r="AB87" i="13" l="1"/>
  <c r="AB88" i="13" s="1"/>
  <c r="AG87" i="13"/>
  <c r="AG88" i="13" s="1"/>
  <c r="Z104" i="13"/>
  <c r="Z90" i="13"/>
  <c r="AN87" i="13" l="1"/>
  <c r="AI87" i="13"/>
  <c r="AG90" i="13"/>
  <c r="AG104" i="13"/>
  <c r="AC87" i="13"/>
  <c r="AC88" i="13" s="1"/>
  <c r="AB90" i="13"/>
  <c r="Z101" i="13"/>
  <c r="Z102" i="13"/>
  <c r="AG101" i="13" l="1"/>
  <c r="AG102" i="13"/>
  <c r="AC90" i="13"/>
  <c r="AD87" i="13"/>
  <c r="AD88" i="13" s="1"/>
  <c r="AD90" i="13" l="1"/>
  <c r="AE87" i="13"/>
  <c r="AE88" i="13" s="1"/>
  <c r="AE90" i="13" s="1"/>
  <c r="AJ55" i="13" l="1"/>
  <c r="AI72" i="13"/>
  <c r="AJ59" i="13" l="1"/>
  <c r="AN55" i="13"/>
  <c r="AN59" i="13" s="1"/>
  <c r="AI73" i="13"/>
  <c r="AI85" i="13" s="1"/>
  <c r="AI88" i="13" s="1"/>
  <c r="AN72" i="13"/>
  <c r="AN60" i="13" l="1"/>
  <c r="AJ60" i="13"/>
  <c r="AJ62" i="13"/>
  <c r="AJ87" i="13"/>
  <c r="AI90" i="13"/>
  <c r="AJ63" i="13" l="1"/>
  <c r="AN62" i="13"/>
  <c r="AN63" i="13" s="1"/>
  <c r="AN64" i="13" l="1"/>
  <c r="AN67" i="13"/>
  <c r="AN73" i="13" s="1"/>
  <c r="AJ67" i="13"/>
  <c r="AJ73" i="13" s="1"/>
  <c r="AJ85" i="13" s="1"/>
  <c r="AJ88" i="13" s="1"/>
  <c r="AJ64" i="13"/>
  <c r="AK87" i="13" l="1"/>
  <c r="AK88" i="13" s="1"/>
  <c r="AJ90" i="13"/>
  <c r="AN85" i="13"/>
  <c r="AN88" i="13" s="1"/>
  <c r="AN105" i="13"/>
  <c r="AN104" i="13" l="1"/>
  <c r="AN90" i="13"/>
  <c r="AO87" i="13"/>
  <c r="AO88" i="13" s="1"/>
  <c r="AL87" i="13"/>
  <c r="AL88" i="13" s="1"/>
  <c r="AL90" i="13" s="1"/>
  <c r="AK90" i="13"/>
  <c r="AO104" i="13" l="1"/>
  <c r="AP87" i="13"/>
  <c r="AP88" i="13" s="1"/>
  <c r="AO90" i="13"/>
  <c r="AN101" i="13"/>
  <c r="AN102" i="13"/>
  <c r="AP90" i="13" l="1"/>
  <c r="AP104" i="13"/>
  <c r="AO102" i="13"/>
  <c r="AO101" i="13"/>
  <c r="AP101" i="13" l="1"/>
  <c r="AP10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Vivya Sagar</author>
    <author>Aishwarya Samtani</author>
    <author>Kush.vora</author>
    <author>Vishal Gehani</author>
  </authors>
  <commentList>
    <comment ref="V29" authorId="0" shapeId="0" xr:uid="{975FC6D7-0D1A-4F13-A978-43677457C151}">
      <text>
        <r>
          <rPr>
            <sz val="9"/>
            <color indexed="81"/>
            <rFont val="Tahoma"/>
            <family val="2"/>
          </rPr>
          <t xml:space="preserve">
Driven by 55 points of net impact from the Activision Blizzard Inc. (“Activision Blizzard”) acquisition. The net impact reflects the change of Activision Blizzard content from third-party to first-party.
Source: 2Q'24 10-Q Pg 32</t>
        </r>
      </text>
    </comment>
    <comment ref="AI32" authorId="1" shapeId="0" xr:uid="{664E1649-54BB-4114-A636-5AEA7ACC2326}">
      <text>
        <r>
          <rPr>
            <sz val="9"/>
            <color indexed="81"/>
            <rFont val="Tahoma"/>
            <family val="2"/>
          </rPr>
          <t>Q1'26 Productivity &amp; Business Processes Revenue Guidance
$32.2 billion - $32.5 billion
Source: Outlook-2026, Page-3</t>
        </r>
      </text>
    </comment>
    <comment ref="AI35" authorId="1" shapeId="0" xr:uid="{7F967850-0C4B-4741-9510-6CA017FCF3F3}">
      <text>
        <r>
          <rPr>
            <sz val="9"/>
            <color indexed="81"/>
            <rFont val="Tahoma"/>
            <family val="2"/>
          </rPr>
          <t>Q1'26 Intelligent Cloud Revenue Guidance
$30.1 billion - $30.4 billion
Source: Outlook-2026, Page-3</t>
        </r>
      </text>
    </comment>
    <comment ref="AI38" authorId="1" shapeId="0" xr:uid="{764C87A7-1F4B-4651-BA65-72E0BC5D115D}">
      <text>
        <r>
          <rPr>
            <sz val="9"/>
            <color indexed="81"/>
            <rFont val="Tahoma"/>
            <family val="2"/>
          </rPr>
          <t>Q1'26 More Personal Computing Revenue Guidance
$12.4 billion - $12.9 billion
Source: Outlook-2026, Page-3</t>
        </r>
      </text>
    </comment>
    <comment ref="AN42" authorId="1" shapeId="0" xr:uid="{57B956CF-FA4F-4384-BA0C-EA27CE95A6C7}">
      <text>
        <r>
          <rPr>
            <sz val="9"/>
            <color indexed="81"/>
            <rFont val="Tahoma"/>
            <family val="2"/>
          </rPr>
          <t>FY'26 Revenue Growth
Total Revenue expected to grow in double-digits.
Source: Outlook-2026, Page-5</t>
        </r>
      </text>
    </comment>
    <comment ref="V44" authorId="2" shapeId="0" xr:uid="{E2B8B22A-C2FC-41DC-9D20-2F75F4F303A7}">
      <text>
        <r>
          <rPr>
            <sz val="9"/>
            <color indexed="81"/>
            <rFont val="Tahoma"/>
            <family val="2"/>
          </rPr>
          <t>Q2'24 Total COGS Guidance:
$19.4 billion - $19.6 billion
Source: Pg 3 of Q2'24 Outlook</t>
        </r>
      </text>
    </comment>
    <comment ref="AI44" authorId="1" shapeId="0" xr:uid="{80A966FD-A88C-495F-9206-80283606B308}">
      <text>
        <r>
          <rPr>
            <sz val="9"/>
            <color indexed="81"/>
            <rFont val="Tahoma"/>
            <family val="2"/>
          </rPr>
          <t>Q1'26 COGS Guidance
$24.3 billion - $24.5 billion
Source: Outlook-2026, Page-3</t>
        </r>
      </text>
    </comment>
    <comment ref="V49" authorId="2" shapeId="0" xr:uid="{0053158B-0092-4E37-A490-6456FCDE8523}">
      <text>
        <r>
          <rPr>
            <sz val="9"/>
            <color indexed="81"/>
            <rFont val="Tahoma"/>
            <family val="2"/>
          </rPr>
          <t>Q2'24 Total Operating Expenses Guidance:
$15.5 billion - $15.6 billion
Source: Pg 3 of Q2'24 Outlook</t>
        </r>
      </text>
    </comment>
    <comment ref="AI49" authorId="1" shapeId="0" xr:uid="{32E5B3B3-8CF3-45F8-80DF-B17F11042A70}">
      <text>
        <r>
          <rPr>
            <sz val="9"/>
            <color indexed="81"/>
            <rFont val="Tahoma"/>
            <family val="2"/>
          </rPr>
          <t>Q1'26 Operating Expenses Guidance
$15.7 billion - $15.8 billion
Source: Outlook-2026, Page-3</t>
        </r>
      </text>
    </comment>
    <comment ref="AN52" authorId="1" shapeId="0" xr:uid="{542E6414-4B2E-4F2E-9DDF-DCBCFFD54758}">
      <text>
        <r>
          <rPr>
            <sz val="9"/>
            <color indexed="81"/>
            <rFont val="Tahoma"/>
            <family val="2"/>
          </rPr>
          <t>FY'26 Operating Income Growth
Operating income expected to grow in double-digits.
Source: Outlook-2026, Page-5</t>
        </r>
      </text>
    </comment>
    <comment ref="AN53" authorId="1" shapeId="0" xr:uid="{175EBAB7-0133-4E96-B451-2D41CBEA30BE}">
      <text>
        <r>
          <rPr>
            <sz val="9"/>
            <color indexed="81"/>
            <rFont val="Tahoma"/>
            <family val="2"/>
          </rPr>
          <t>FY'26 Operating Margins
Operating margins expected to be unchanged year-over-year.
Source: Outlook-2026, Page-5</t>
        </r>
      </text>
    </comment>
    <comment ref="AI58" authorId="1" shapeId="0" xr:uid="{49BFB5FB-0708-433B-86AE-14817A0697E7}">
      <text>
        <r>
          <rPr>
            <sz val="9"/>
            <color indexed="81"/>
            <rFont val="Tahoma"/>
            <family val="2"/>
          </rPr>
          <t>Q1'26 Other Income &amp; Expense Guidance
($1.3 billion)
Source: Outlook-2026, Page-3</t>
        </r>
      </text>
    </comment>
    <comment ref="AQ62" authorId="1" shapeId="0" xr:uid="{414A1C7B-B899-4388-BC6D-66E37505B37E}">
      <text>
        <r>
          <rPr>
            <sz val="9"/>
            <color indexed="81"/>
            <rFont val="Tahoma"/>
            <family val="2"/>
          </rPr>
          <t>Q1'26 Effective Tax Rate Guidance
19% - 20%
Source: Outlook-2026, Page-3</t>
        </r>
      </text>
    </comment>
    <comment ref="AN75" authorId="1" shapeId="0" xr:uid="{C7C1908D-DADE-4C5C-A101-ACD61A1057C7}">
      <text>
        <r>
          <rPr>
            <sz val="9"/>
            <color indexed="81"/>
            <rFont val="Tahoma"/>
            <family val="2"/>
          </rPr>
          <t>FY'26 Capex Guidance
FY'26 Capex growth rate to moderate compared to FY'25.
Source: Outlook-2026, Page-5</t>
        </r>
      </text>
    </comment>
    <comment ref="V76" authorId="2" shapeId="0" xr:uid="{FEA396FE-EC72-47CF-97B4-0A64E2F48601}">
      <text>
        <r>
          <rPr>
            <sz val="9"/>
            <color indexed="81"/>
            <rFont val="Tahoma"/>
            <family val="2"/>
          </rPr>
          <t>Acquisition of Activision Blizzard, net of cash acquired
Source: Pg 28 of Q1'24</t>
        </r>
      </text>
    </comment>
    <comment ref="V80" authorId="2" shapeId="0" xr:uid="{38E5A5F5-B6FC-4178-BAED-FDE9C83506FB}">
      <text>
        <r>
          <rPr>
            <sz val="9"/>
            <color indexed="81"/>
            <rFont val="Tahoma"/>
            <family val="2"/>
          </rPr>
          <t xml:space="preserve">
In Oct’23, the Company announced the exchange of Activision’s debt as follows:
i) Activision 3.400% Senior notes due 2026 in exchange for $1,000 principal amount of New Microsoft 3.400% Senior Notes due 2026 and $1.0 in cash for early tender ($970 principal for regular tender)
ii) Activision 3.400% Senior Notes due 2027 in exchange for $1,000 principal amount of New Microsoft 3.400% Notes due 2027 and $1.00 in cash for early tender ($970 principal for regular tender)
iii) Activision 1.350% Senior Notes due 2030 in exchange for $1,000 principal amount of New Microsoft 1.350% Notes due 2030 and $1.00 in cash for early tender ($970 principal for regular tender)
iv) Activision 4.500% Senior Notes due 2047 in exchange for $1,000 principal amount of New Microsoft 4.500% Notes due 2047 and $1.00 in cash for early tender ($970 principal for regular tender)
v) Activision 2.500% Senior Notes due 2050 in exchange for $1,000 principal amount of New Microsoft 2.500% Notes due 2050 and $1.00 in cash for early tender ($970 principal for regular tender)
We have assumed that all the exchange offers are for an early tender
Source: Pg 5 of Activision Blizzard Debt Exchange
</t>
        </r>
      </text>
    </comment>
    <comment ref="AI82" authorId="3" shapeId="0" xr:uid="{B84E617A-944C-4AA3-935D-A438233B9D5D}">
      <text>
        <r>
          <rPr>
            <sz val="9"/>
            <color indexed="81"/>
            <rFont val="Tahoma"/>
            <family val="2"/>
          </rPr>
          <t>On September 16, 2024, Board of Directors approved a share repurchase program authorizing up to $60.0 billion in share repurchases. As of June 30, 2025, $57.3 billion remained available for share repurchases
Source: FY'25-10K, Page-79</t>
        </r>
      </text>
    </comment>
    <comment ref="V83" authorId="2" shapeId="0" xr:uid="{40437229-684E-41F3-9923-B24D930E40A0}">
      <text>
        <r>
          <rPr>
            <sz val="9"/>
            <color indexed="81"/>
            <rFont val="Tahoma"/>
            <family val="2"/>
          </rPr>
          <t>In Sept'23, the Company declared a dividend of $0.75 per share, payable in Dec'23</t>
        </r>
      </text>
    </comment>
    <comment ref="AI83" authorId="1" shapeId="0" xr:uid="{48764A47-6D37-4F32-AA14-FC2761314014}">
      <text>
        <r>
          <rPr>
            <sz val="9"/>
            <color indexed="81"/>
            <rFont val="Tahoma"/>
            <family val="2"/>
          </rPr>
          <t>On June 10, 2025, the Company announced dividend of $0.83 per share
Source: FY'25-10K, Page-80</t>
        </r>
      </text>
    </comment>
  </commentList>
</comments>
</file>

<file path=xl/sharedStrings.xml><?xml version="1.0" encoding="utf-8"?>
<sst xmlns="http://schemas.openxmlformats.org/spreadsheetml/2006/main" count="97" uniqueCount="73">
  <si>
    <t>Revenues</t>
  </si>
  <si>
    <t xml:space="preserve">  % growth</t>
  </si>
  <si>
    <t xml:space="preserve">  Free Cash Flow</t>
  </si>
  <si>
    <t>Ratios:</t>
  </si>
  <si>
    <t>FINANCIAL MODEL</t>
  </si>
  <si>
    <t xml:space="preserve">  % margin</t>
  </si>
  <si>
    <t>Total Net Leverage</t>
  </si>
  <si>
    <t>Beginning Cash</t>
  </si>
  <si>
    <t>Ending Cash</t>
  </si>
  <si>
    <t>Mar</t>
  </si>
  <si>
    <t>Jun</t>
  </si>
  <si>
    <t>Dec</t>
  </si>
  <si>
    <t xml:space="preserve">  Operating Cash Flow</t>
  </si>
  <si>
    <t>Capex</t>
  </si>
  <si>
    <t>1st Lien Debt</t>
  </si>
  <si>
    <t>Total Debt</t>
  </si>
  <si>
    <t>Senior Net Leverage</t>
  </si>
  <si>
    <t xml:space="preserve">  Net Income</t>
  </si>
  <si>
    <t>Cash Flows:</t>
  </si>
  <si>
    <t>EBITDA</t>
  </si>
  <si>
    <t xml:space="preserve"> Operating Income</t>
  </si>
  <si>
    <t>Sept</t>
  </si>
  <si>
    <t>Income Taxes</t>
  </si>
  <si>
    <t xml:space="preserve"> EBT</t>
  </si>
  <si>
    <t>Change in Working Capital</t>
  </si>
  <si>
    <t>Sale (Acquisition)</t>
  </si>
  <si>
    <t>Debt Financing</t>
  </si>
  <si>
    <t>Debt Repayment</t>
  </si>
  <si>
    <t>Interest Expense</t>
  </si>
  <si>
    <t>FX &amp; Others</t>
  </si>
  <si>
    <t>Share-based Compensation</t>
  </si>
  <si>
    <t>(USD in Millions)</t>
  </si>
  <si>
    <t xml:space="preserve"> Gross Profit</t>
  </si>
  <si>
    <t>Interest &amp; Other Income</t>
  </si>
  <si>
    <t>Net Income</t>
  </si>
  <si>
    <t>D&amp;A</t>
  </si>
  <si>
    <t xml:space="preserve">Deferred Income Tax </t>
  </si>
  <si>
    <t>Issuance of Common  Shares</t>
  </si>
  <si>
    <t>Repurchase of Common Shares</t>
  </si>
  <si>
    <t>Dividends</t>
  </si>
  <si>
    <t>2022 Quarter Ending,</t>
  </si>
  <si>
    <t>2023 Quarter Ending,</t>
  </si>
  <si>
    <t>Productivity &amp; Business Processes</t>
  </si>
  <si>
    <t>Intelligent Cloud</t>
  </si>
  <si>
    <t>More Personal Computing</t>
  </si>
  <si>
    <t>(Financial Year Ending Jun. 30 )</t>
  </si>
  <si>
    <t>Research &amp; Development</t>
  </si>
  <si>
    <t>Sales &amp; Marketing</t>
  </si>
  <si>
    <t>General &amp; Administrative</t>
  </si>
  <si>
    <t>Interest &amp; Dividends Income</t>
  </si>
  <si>
    <t>Net Recognized Gains on Investments &amp; Derivatives</t>
  </si>
  <si>
    <t>Purchase, Sale &amp; Maturity of Investments</t>
  </si>
  <si>
    <t>Cost of Product Revenue</t>
  </si>
  <si>
    <t>Cost of Service &amp; Other Revenue</t>
  </si>
  <si>
    <t>Cash Premium on Debt Exchange</t>
  </si>
  <si>
    <t>Net Recognized Gains (Losses) on Investments</t>
  </si>
  <si>
    <t>EV/EBITDA</t>
  </si>
  <si>
    <t>FCF to market cap</t>
  </si>
  <si>
    <t>2026P</t>
  </si>
  <si>
    <t>Income Statement:</t>
  </si>
  <si>
    <t>(+) ST Investments</t>
  </si>
  <si>
    <t>Cash and ST Investments</t>
  </si>
  <si>
    <t>2024 Quarter Ending,</t>
  </si>
  <si>
    <t>2025 Quarter Ending,</t>
  </si>
  <si>
    <t>2027P</t>
  </si>
  <si>
    <t>FY'27</t>
  </si>
  <si>
    <t>2026 Quarter Ending,</t>
  </si>
  <si>
    <t>1Q26</t>
  </si>
  <si>
    <t>2Q26</t>
  </si>
  <si>
    <t>3Q26</t>
  </si>
  <si>
    <t>4Q26</t>
  </si>
  <si>
    <t>FY'28</t>
  </si>
  <si>
    <t>2028P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</si>
</sst>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.00_-;\-* #,##0.00_-;_-* &quot;-&quot;??_-;_-@_-"/>
    <numFmt numFmtId="167" formatCode="_(* #,##0.0_);_(* \(#,##0.0\);_(* &quot;-&quot;?_);_(@_)"/>
    <numFmt numFmtId="168" formatCode="0.0%"/>
    <numFmt numFmtId="169" formatCode="0.0\x"/>
    <numFmt numFmtId="170" formatCode="_([$€-2]* #,##0.00_);_([$€-2]* \(#,##0.00\);_([$€-2]* &quot;-&quot;??_)"/>
    <numFmt numFmtId="171" formatCode="_([$€-2]* #,##0.0_);_([$€-2]* \(#,##0.0\);_([$€-2]* &quot;-&quot;??_)"/>
    <numFmt numFmtId="172" formatCode="0.0%;[Red]\(0.0\)%"/>
    <numFmt numFmtId="173" formatCode="_(&quot;$&quot;* #,##0.0_);_(&quot;$&quot;* \(#,##0.0\);_(&quot;$&quot;* &quot;-&quot;?_);_(@_)"/>
    <numFmt numFmtId="174" formatCode="#,##0.0"/>
    <numFmt numFmtId="175" formatCode="_(* #,##0.000_);_(* \(#,##0.000\);_(* &quot;-&quot;?_);_(@_)"/>
    <numFmt numFmtId="176" formatCode="_-* #,##0.0_-;\-* #,##0.0_-;_-* &quot;-&quot;?_-;_-@_-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color indexed="12"/>
      <name val="Times New Roman"/>
      <family val="1"/>
    </font>
    <font>
      <b/>
      <i/>
      <sz val="8"/>
      <name val="Times New Roman"/>
      <family val="1"/>
    </font>
    <font>
      <b/>
      <sz val="10"/>
      <color indexed="12"/>
      <name val="Times New Roman"/>
      <family val="1"/>
    </font>
    <font>
      <i/>
      <sz val="10"/>
      <name val="Times New Roman"/>
      <family val="1"/>
    </font>
    <font>
      <i/>
      <sz val="8"/>
      <name val="Times New Roman"/>
      <family val="1"/>
    </font>
    <font>
      <u/>
      <sz val="10"/>
      <color indexed="12"/>
      <name val="Times New Roman"/>
      <family val="1"/>
    </font>
    <font>
      <b/>
      <sz val="14"/>
      <name val="Times New Roman"/>
      <family val="1"/>
    </font>
    <font>
      <u/>
      <sz val="10"/>
      <name val="Times New Roman"/>
      <family val="1"/>
    </font>
    <font>
      <sz val="10"/>
      <color rgb="FF0000FF"/>
      <name val="Times New Roman"/>
      <family val="1"/>
    </font>
    <font>
      <b/>
      <i/>
      <sz val="10"/>
      <color rgb="FF0000FF"/>
      <name val="Times New Roman"/>
      <family val="1"/>
    </font>
    <font>
      <sz val="10"/>
      <color rgb="FFFF0000"/>
      <name val="Times New Roman"/>
      <family val="1"/>
    </font>
    <font>
      <b/>
      <i/>
      <sz val="8"/>
      <color indexed="12"/>
      <name val="Times New Roman"/>
      <family val="1"/>
    </font>
    <font>
      <b/>
      <i/>
      <u/>
      <sz val="10"/>
      <name val="Times New Roman"/>
      <family val="1"/>
    </font>
    <font>
      <u val="singleAccounting"/>
      <sz val="10"/>
      <color indexed="12"/>
      <name val="Times New Roman"/>
      <family val="1"/>
    </font>
    <font>
      <u val="singleAccounting"/>
      <sz val="10"/>
      <name val="Times New Roman"/>
      <family val="1"/>
    </font>
    <font>
      <b/>
      <sz val="11"/>
      <color indexed="9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9"/>
      <color indexed="81"/>
      <name val="Tahoma"/>
      <family val="2"/>
    </font>
    <font>
      <u val="singleAccounting"/>
      <sz val="10"/>
      <color rgb="FF0000FF"/>
      <name val="Times New Roman"/>
      <family val="1"/>
    </font>
    <font>
      <i/>
      <sz val="8"/>
      <color rgb="FF0000FF"/>
      <name val="Times New Roman"/>
      <family val="1"/>
    </font>
    <font>
      <u/>
      <sz val="10"/>
      <color rgb="FF0000FF"/>
      <name val="Times New Roman"/>
      <family val="1"/>
    </font>
    <font>
      <sz val="10"/>
      <color rgb="FF0000FF"/>
      <name val="Arial"/>
      <family val="2"/>
    </font>
    <font>
      <i/>
      <sz val="10"/>
      <color rgb="FF0000FF"/>
      <name val="Times New Roman"/>
      <family val="1"/>
    </font>
    <font>
      <b/>
      <u val="singleAccounting"/>
      <sz val="10"/>
      <name val="Times New Roman"/>
      <family val="1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4" fillId="0" borderId="0"/>
    <xf numFmtId="17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3" fillId="3" borderId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/>
    <xf numFmtId="165" fontId="24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98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7" fontId="8" fillId="0" borderId="0" xfId="0" applyNumberFormat="1" applyFont="1"/>
    <xf numFmtId="167" fontId="5" fillId="0" borderId="0" xfId="0" applyNumberFormat="1" applyFont="1"/>
    <xf numFmtId="169" fontId="5" fillId="0" borderId="0" xfId="0" applyNumberFormat="1" applyFont="1"/>
    <xf numFmtId="0" fontId="11" fillId="0" borderId="0" xfId="0" applyFont="1"/>
    <xf numFmtId="0" fontId="6" fillId="0" borderId="2" xfId="0" applyFont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Continuous"/>
    </xf>
    <xf numFmtId="0" fontId="12" fillId="0" borderId="0" xfId="0" applyFont="1"/>
    <xf numFmtId="167" fontId="13" fillId="0" borderId="0" xfId="0" applyNumberFormat="1" applyFont="1"/>
    <xf numFmtId="171" fontId="6" fillId="0" borderId="0" xfId="0" applyNumberFormat="1" applyFont="1"/>
    <xf numFmtId="172" fontId="12" fillId="0" borderId="0" xfId="3" applyNumberFormat="1" applyFont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Continuous"/>
    </xf>
    <xf numFmtId="172" fontId="12" fillId="0" borderId="0" xfId="3" applyNumberFormat="1" applyFont="1" applyFill="1" applyBorder="1"/>
    <xf numFmtId="167" fontId="15" fillId="0" borderId="0" xfId="0" applyNumberFormat="1" applyFont="1"/>
    <xf numFmtId="0" fontId="16" fillId="0" borderId="0" xfId="0" applyFont="1"/>
    <xf numFmtId="174" fontId="5" fillId="0" borderId="0" xfId="0" applyNumberFormat="1" applyFont="1"/>
    <xf numFmtId="0" fontId="17" fillId="0" borderId="0" xfId="0" applyFont="1"/>
    <xf numFmtId="0" fontId="14" fillId="0" borderId="1" xfId="0" applyFont="1" applyBorder="1"/>
    <xf numFmtId="165" fontId="5" fillId="0" borderId="0" xfId="0" applyNumberFormat="1" applyFont="1"/>
    <xf numFmtId="165" fontId="15" fillId="0" borderId="0" xfId="0" applyNumberFormat="1" applyFont="1"/>
    <xf numFmtId="175" fontId="18" fillId="0" borderId="0" xfId="0" applyNumberFormat="1" applyFont="1"/>
    <xf numFmtId="172" fontId="19" fillId="2" borderId="0" xfId="3" applyNumberFormat="1" applyFont="1" applyFill="1" applyBorder="1"/>
    <xf numFmtId="171" fontId="10" fillId="0" borderId="0" xfId="2" applyNumberFormat="1" applyFont="1" applyFill="1" applyAlignment="1">
      <alignment horizontal="right"/>
    </xf>
    <xf numFmtId="0" fontId="9" fillId="0" borderId="0" xfId="0" applyFont="1"/>
    <xf numFmtId="172" fontId="9" fillId="0" borderId="0" xfId="3" applyNumberFormat="1" applyFont="1" applyBorder="1"/>
    <xf numFmtId="172" fontId="9" fillId="0" borderId="0" xfId="3" applyNumberFormat="1" applyFont="1" applyFill="1" applyBorder="1"/>
    <xf numFmtId="172" fontId="19" fillId="0" borderId="0" xfId="3" applyNumberFormat="1" applyFont="1" applyFill="1" applyBorder="1"/>
    <xf numFmtId="0" fontId="20" fillId="0" borderId="0" xfId="0" applyFont="1"/>
    <xf numFmtId="167" fontId="18" fillId="0" borderId="0" xfId="0" applyNumberFormat="1" applyFont="1"/>
    <xf numFmtId="0" fontId="7" fillId="0" borderId="0" xfId="0" applyFont="1"/>
    <xf numFmtId="9" fontId="8" fillId="0" borderId="0" xfId="3" applyFont="1" applyFill="1" applyBorder="1"/>
    <xf numFmtId="168" fontId="5" fillId="0" borderId="0" xfId="3" applyNumberFormat="1" applyFont="1"/>
    <xf numFmtId="9" fontId="8" fillId="0" borderId="0" xfId="3" applyFont="1" applyBorder="1"/>
    <xf numFmtId="167" fontId="16" fillId="0" borderId="0" xfId="0" applyNumberFormat="1" applyFont="1"/>
    <xf numFmtId="9" fontId="5" fillId="0" borderId="0" xfId="3" applyFont="1" applyBorder="1"/>
    <xf numFmtId="169" fontId="5" fillId="0" borderId="0" xfId="0" applyNumberFormat="1" applyFont="1" applyAlignment="1">
      <alignment horizontal="right"/>
    </xf>
    <xf numFmtId="167" fontId="21" fillId="0" borderId="0" xfId="0" applyNumberFormat="1" applyFont="1"/>
    <xf numFmtId="167" fontId="5" fillId="0" borderId="0" xfId="0" applyNumberFormat="1" applyFont="1" applyAlignment="1">
      <alignment horizontal="center"/>
    </xf>
    <xf numFmtId="167" fontId="22" fillId="0" borderId="0" xfId="0" applyNumberFormat="1" applyFont="1" applyAlignment="1">
      <alignment horizontal="center"/>
    </xf>
    <xf numFmtId="167" fontId="22" fillId="0" borderId="0" xfId="0" applyNumberFormat="1" applyFont="1"/>
    <xf numFmtId="173" fontId="6" fillId="0" borderId="0" xfId="0" applyNumberFormat="1" applyFont="1"/>
    <xf numFmtId="9" fontId="6" fillId="0" borderId="0" xfId="3" applyFont="1" applyBorder="1" applyAlignment="1">
      <alignment horizontal="center"/>
    </xf>
    <xf numFmtId="176" fontId="5" fillId="0" borderId="0" xfId="0" applyNumberFormat="1" applyFont="1"/>
    <xf numFmtId="166" fontId="5" fillId="0" borderId="0" xfId="0" applyNumberFormat="1" applyFont="1"/>
    <xf numFmtId="9" fontId="6" fillId="0" borderId="0" xfId="3" applyFont="1" applyAlignment="1">
      <alignment horizontal="center"/>
    </xf>
    <xf numFmtId="165" fontId="19" fillId="0" borderId="0" xfId="15" applyFont="1" applyFill="1" applyBorder="1"/>
    <xf numFmtId="9" fontId="6" fillId="0" borderId="0" xfId="3" applyFont="1" applyFill="1" applyAlignment="1">
      <alignment horizontal="right"/>
    </xf>
    <xf numFmtId="167" fontId="6" fillId="0" borderId="0" xfId="0" applyNumberFormat="1" applyFont="1"/>
    <xf numFmtId="0" fontId="25" fillId="0" borderId="0" xfId="0" applyFont="1"/>
    <xf numFmtId="167" fontId="15" fillId="0" borderId="0" xfId="0" applyNumberFormat="1" applyFont="1" applyAlignment="1">
      <alignment horizontal="center"/>
    </xf>
    <xf numFmtId="0" fontId="26" fillId="0" borderId="0" xfId="0" applyFont="1"/>
    <xf numFmtId="4" fontId="5" fillId="0" borderId="0" xfId="3" applyNumberFormat="1" applyFont="1" applyBorder="1"/>
    <xf numFmtId="0" fontId="5" fillId="0" borderId="0" xfId="3" applyNumberFormat="1" applyFont="1" applyBorder="1"/>
    <xf numFmtId="9" fontId="16" fillId="0" borderId="0" xfId="0" applyNumberFormat="1" applyFont="1"/>
    <xf numFmtId="10" fontId="6" fillId="0" borderId="0" xfId="0" applyNumberFormat="1" applyFont="1" applyAlignment="1">
      <alignment horizontal="center"/>
    </xf>
    <xf numFmtId="0" fontId="9" fillId="0" borderId="0" xfId="3" applyNumberFormat="1" applyFont="1" applyBorder="1"/>
    <xf numFmtId="0" fontId="9" fillId="0" borderId="0" xfId="3" applyNumberFormat="1" applyFont="1" applyFill="1" applyBorder="1"/>
    <xf numFmtId="10" fontId="5" fillId="0" borderId="0" xfId="0" applyNumberFormat="1" applyFont="1"/>
    <xf numFmtId="0" fontId="15" fillId="0" borderId="0" xfId="0" applyFont="1"/>
    <xf numFmtId="0" fontId="13" fillId="0" borderId="0" xfId="0" applyFont="1"/>
    <xf numFmtId="4" fontId="16" fillId="0" borderId="0" xfId="0" applyNumberFormat="1" applyFont="1"/>
    <xf numFmtId="4" fontId="0" fillId="0" borderId="0" xfId="0" applyNumberFormat="1"/>
    <xf numFmtId="168" fontId="11" fillId="0" borderId="0" xfId="3" applyNumberFormat="1" applyFont="1" applyBorder="1" applyAlignment="1">
      <alignment horizontal="right"/>
    </xf>
    <xf numFmtId="168" fontId="5" fillId="0" borderId="0" xfId="0" applyNumberFormat="1" applyFont="1"/>
    <xf numFmtId="172" fontId="29" fillId="0" borderId="0" xfId="3" applyNumberFormat="1" applyFont="1" applyFill="1" applyBorder="1"/>
    <xf numFmtId="10" fontId="16" fillId="0" borderId="0" xfId="0" applyNumberFormat="1" applyFont="1"/>
    <xf numFmtId="167" fontId="30" fillId="0" borderId="0" xfId="0" applyNumberFormat="1" applyFont="1"/>
    <xf numFmtId="172" fontId="29" fillId="0" borderId="0" xfId="3" applyNumberFormat="1" applyFont="1" applyBorder="1"/>
    <xf numFmtId="167" fontId="28" fillId="0" borderId="0" xfId="0" applyNumberFormat="1" applyFont="1"/>
    <xf numFmtId="0" fontId="31" fillId="0" borderId="0" xfId="0" applyFont="1"/>
    <xf numFmtId="174" fontId="16" fillId="0" borderId="0" xfId="0" applyNumberFormat="1" applyFont="1"/>
    <xf numFmtId="165" fontId="16" fillId="0" borderId="0" xfId="0" applyNumberFormat="1" applyFont="1"/>
    <xf numFmtId="169" fontId="16" fillId="0" borderId="0" xfId="0" applyNumberFormat="1" applyFont="1" applyAlignment="1">
      <alignment horizontal="right"/>
    </xf>
    <xf numFmtId="169" fontId="16" fillId="0" borderId="0" xfId="0" applyNumberFormat="1" applyFont="1"/>
    <xf numFmtId="168" fontId="32" fillId="0" borderId="0" xfId="3" applyNumberFormat="1" applyFont="1" applyBorder="1" applyAlignment="1">
      <alignment horizontal="right"/>
    </xf>
    <xf numFmtId="172" fontId="5" fillId="0" borderId="0" xfId="3" applyNumberFormat="1" applyFont="1" applyBorder="1"/>
    <xf numFmtId="172" fontId="16" fillId="0" borderId="0" xfId="3" applyNumberFormat="1" applyFont="1" applyBorder="1"/>
    <xf numFmtId="168" fontId="6" fillId="0" borderId="0" xfId="0" applyNumberFormat="1" applyFont="1" applyAlignment="1">
      <alignment horizontal="center"/>
    </xf>
    <xf numFmtId="0" fontId="5" fillId="0" borderId="0" xfId="0" quotePrefix="1" applyFont="1"/>
    <xf numFmtId="171" fontId="33" fillId="0" borderId="0" xfId="0" applyNumberFormat="1" applyFont="1"/>
    <xf numFmtId="167" fontId="22" fillId="4" borderId="0" xfId="0" applyNumberFormat="1" applyFont="1" applyFill="1"/>
    <xf numFmtId="168" fontId="6" fillId="0" borderId="0" xfId="3" applyNumberFormat="1" applyFont="1" applyAlignment="1">
      <alignment horizontal="center"/>
    </xf>
    <xf numFmtId="43" fontId="6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10" fontId="6" fillId="0" borderId="0" xfId="3" applyNumberFormat="1" applyFont="1" applyAlignment="1">
      <alignment horizontal="center"/>
    </xf>
    <xf numFmtId="168" fontId="16" fillId="0" borderId="0" xfId="0" applyNumberFormat="1" applyFont="1"/>
    <xf numFmtId="9" fontId="32" fillId="0" borderId="0" xfId="0" applyNumberFormat="1" applyFont="1"/>
    <xf numFmtId="0" fontId="34" fillId="0" borderId="0" xfId="0" applyFont="1"/>
    <xf numFmtId="168" fontId="5" fillId="0" borderId="0" xfId="3" applyNumberFormat="1" applyFont="1" applyBorder="1"/>
    <xf numFmtId="172" fontId="16" fillId="0" borderId="0" xfId="3" applyNumberFormat="1" applyFont="1" applyFill="1" applyBorder="1"/>
    <xf numFmtId="0" fontId="0" fillId="0" borderId="0" xfId="0" applyAlignment="1">
      <alignment horizontal="right"/>
    </xf>
    <xf numFmtId="168" fontId="11" fillId="0" borderId="0" xfId="3" applyNumberFormat="1" applyFont="1" applyFill="1" applyBorder="1" applyAlignment="1">
      <alignment horizontal="right"/>
    </xf>
  </cellXfs>
  <cellStyles count="19">
    <cellStyle name="_x0010_“+ˆÉ•?pý¤ 3" xfId="6" xr:uid="{00000000-0005-0000-0000-000000000000}"/>
    <cellStyle name="_x0010_“+ˆÉ•?pý¤ 3 2" xfId="7" xr:uid="{00000000-0005-0000-0000-000001000000}"/>
    <cellStyle name="=C:\WINNT\SYSTEM32\COMMAND.COM" xfId="1" xr:uid="{00000000-0005-0000-0000-000002000000}"/>
    <cellStyle name="blp_column_header" xfId="8" xr:uid="{00000000-0005-0000-0000-000003000000}"/>
    <cellStyle name="Comma" xfId="15" builtinId="3"/>
    <cellStyle name="Comma 2" xfId="5" xr:uid="{00000000-0005-0000-0000-000005000000}"/>
    <cellStyle name="Comma 2 2" xfId="9" xr:uid="{00000000-0005-0000-0000-000006000000}"/>
    <cellStyle name="Comma 3" xfId="10" xr:uid="{00000000-0005-0000-0000-000007000000}"/>
    <cellStyle name="Currency 3" xfId="11" xr:uid="{00000000-0005-0000-0000-000009000000}"/>
    <cellStyle name="Currency 3 2" xfId="12" xr:uid="{00000000-0005-0000-0000-00000A000000}"/>
    <cellStyle name="Euro" xfId="2" xr:uid="{00000000-0005-0000-0000-00000B000000}"/>
    <cellStyle name="Normal" xfId="0" builtinId="0"/>
    <cellStyle name="Normal 2" xfId="4" xr:uid="{00000000-0005-0000-0000-00000D000000}"/>
    <cellStyle name="Normal 2 2" xfId="13" xr:uid="{00000000-0005-0000-0000-00000E000000}"/>
    <cellStyle name="Normal 3" xfId="14" xr:uid="{00000000-0005-0000-0000-00000F000000}"/>
    <cellStyle name="Normal 4" xfId="16" xr:uid="{F68926BC-81E6-4145-8069-347A6A35A46F}"/>
    <cellStyle name="Normal 4 2" xfId="18" xr:uid="{73052AA9-825E-44E1-B4E1-ED25C0C6706E}"/>
    <cellStyle name="Normal 5" xfId="17" xr:uid="{FECAABD4-969B-4815-AED8-D97129B53D50}"/>
    <cellStyle name="Percent" xfId="3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Z105"/>
  <sheetViews>
    <sheetView showGridLines="0" tabSelected="1" view="pageBreakPreview" zoomScaleNormal="100" zoomScaleSheetLayoutView="100"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A33" sqref="A33"/>
    </sheetView>
  </sheetViews>
  <sheetFormatPr defaultRowHeight="12.5" outlineLevelRow="1" outlineLevelCol="1" x14ac:dyDescent="0.25"/>
  <cols>
    <col min="1" max="1" width="55.36328125" customWidth="1"/>
    <col min="2" max="5" width="11.6328125" customWidth="1"/>
    <col min="6" max="6" width="2.6328125" customWidth="1" outlineLevel="1"/>
    <col min="7" max="10" width="10.6328125" customWidth="1" outlineLevel="1"/>
    <col min="11" max="11" width="2.6328125" customWidth="1" outlineLevel="1"/>
    <col min="12" max="12" width="11.6328125" customWidth="1"/>
    <col min="13" max="13" width="2.6328125" customWidth="1" outlineLevel="1"/>
    <col min="14" max="17" width="11.6328125" customWidth="1" outlineLevel="1"/>
    <col min="18" max="18" width="2.6328125" customWidth="1" outlineLevel="1"/>
    <col min="19" max="19" width="12.453125" bestFit="1" customWidth="1"/>
    <col min="20" max="20" width="2.6328125" customWidth="1" outlineLevel="1"/>
    <col min="21" max="24" width="11.6328125" customWidth="1" outlineLevel="1"/>
    <col min="25" max="25" width="2.6328125" customWidth="1" outlineLevel="1"/>
    <col min="26" max="26" width="12.453125" customWidth="1"/>
    <col min="27" max="27" width="2.6328125" customWidth="1" outlineLevel="1"/>
    <col min="28" max="31" width="11.6328125" customWidth="1" outlineLevel="1"/>
    <col min="32" max="32" width="2.6328125" customWidth="1" outlineLevel="1"/>
    <col min="33" max="33" width="12.453125" bestFit="1" customWidth="1"/>
    <col min="34" max="34" width="2.6328125" customWidth="1" outlineLevel="1"/>
    <col min="35" max="38" width="12.453125" customWidth="1" outlineLevel="1"/>
    <col min="39" max="39" width="2.6328125" customWidth="1" outlineLevel="1"/>
    <col min="40" max="41" width="12.453125" bestFit="1" customWidth="1"/>
    <col min="42" max="45" width="12.453125" customWidth="1"/>
    <col min="46" max="49" width="11.6328125" customWidth="1"/>
    <col min="50" max="50" width="9.36328125" bestFit="1" customWidth="1"/>
    <col min="51" max="51" width="10.36328125" bestFit="1" customWidth="1"/>
    <col min="52" max="52" width="15.36328125" bestFit="1" customWidth="1"/>
  </cols>
  <sheetData>
    <row r="1" spans="1:49" ht="18" thickBot="1" x14ac:dyDescent="0.4">
      <c r="A1" s="23" t="s">
        <v>4</v>
      </c>
      <c r="B1" s="2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1"/>
      <c r="AR1" s="1"/>
      <c r="AS1" s="1"/>
      <c r="AT1" s="1"/>
    </row>
    <row r="2" spans="1:49" ht="13.5" x14ac:dyDescent="0.35">
      <c r="A2" s="22"/>
      <c r="B2" s="2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69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9" ht="13.5" x14ac:dyDescent="0.35">
      <c r="A3" s="22" t="s">
        <v>45</v>
      </c>
      <c r="B3" s="22"/>
      <c r="C3" s="11"/>
      <c r="D3" s="11"/>
      <c r="E3" s="11"/>
      <c r="F3" s="11"/>
      <c r="G3" s="17" t="s">
        <v>40</v>
      </c>
      <c r="H3" s="11"/>
      <c r="I3" s="11"/>
      <c r="J3" s="11"/>
      <c r="K3" s="1"/>
      <c r="L3" s="11"/>
      <c r="M3" s="11"/>
      <c r="N3" s="17" t="s">
        <v>41</v>
      </c>
      <c r="O3" s="11"/>
      <c r="P3" s="11"/>
      <c r="Q3" s="11"/>
      <c r="R3" s="1"/>
      <c r="S3" s="11"/>
      <c r="T3" s="1"/>
      <c r="U3" s="17" t="s">
        <v>62</v>
      </c>
      <c r="V3" s="11"/>
      <c r="W3" s="11"/>
      <c r="X3" s="11"/>
      <c r="Y3" s="1"/>
      <c r="Z3" s="11"/>
      <c r="AA3" s="1"/>
      <c r="AB3" s="17" t="s">
        <v>63</v>
      </c>
      <c r="AC3" s="11"/>
      <c r="AD3" s="11"/>
      <c r="AE3" s="11"/>
      <c r="AF3" s="1"/>
      <c r="AG3" s="11"/>
      <c r="AH3" s="11"/>
      <c r="AJ3" s="2" t="s">
        <v>66</v>
      </c>
      <c r="AK3" s="11"/>
      <c r="AL3" s="11"/>
      <c r="AM3" s="11"/>
      <c r="AN3" s="11"/>
    </row>
    <row r="4" spans="1:49" ht="13.5" x14ac:dyDescent="0.35">
      <c r="A4" s="22" t="s">
        <v>31</v>
      </c>
      <c r="B4" s="9">
        <v>2018</v>
      </c>
      <c r="C4" s="9">
        <v>2019</v>
      </c>
      <c r="D4" s="9">
        <v>2020</v>
      </c>
      <c r="E4" s="9">
        <f>D4+1</f>
        <v>2021</v>
      </c>
      <c r="F4" s="16"/>
      <c r="G4" s="9" t="s">
        <v>21</v>
      </c>
      <c r="H4" s="9" t="s">
        <v>11</v>
      </c>
      <c r="I4" s="9" t="s">
        <v>9</v>
      </c>
      <c r="J4" s="9" t="s">
        <v>10</v>
      </c>
      <c r="K4" s="1"/>
      <c r="L4" s="9">
        <v>2022</v>
      </c>
      <c r="M4" s="16"/>
      <c r="N4" s="9" t="s">
        <v>21</v>
      </c>
      <c r="O4" s="9" t="s">
        <v>11</v>
      </c>
      <c r="P4" s="9" t="s">
        <v>9</v>
      </c>
      <c r="Q4" s="9" t="s">
        <v>10</v>
      </c>
      <c r="R4" s="1"/>
      <c r="S4" s="9">
        <v>2023</v>
      </c>
      <c r="T4" s="1"/>
      <c r="U4" s="9" t="s">
        <v>21</v>
      </c>
      <c r="V4" s="9" t="s">
        <v>11</v>
      </c>
      <c r="W4" s="9" t="s">
        <v>9</v>
      </c>
      <c r="X4" s="9" t="s">
        <v>10</v>
      </c>
      <c r="Y4" s="1"/>
      <c r="Z4" s="9">
        <v>2024</v>
      </c>
      <c r="AA4" s="1"/>
      <c r="AB4" s="9" t="s">
        <v>21</v>
      </c>
      <c r="AC4" s="9" t="s">
        <v>11</v>
      </c>
      <c r="AD4" s="9" t="s">
        <v>9</v>
      </c>
      <c r="AE4" s="9" t="s">
        <v>10</v>
      </c>
      <c r="AF4" s="1"/>
      <c r="AG4" s="9">
        <v>2025</v>
      </c>
      <c r="AH4" s="16"/>
      <c r="AI4" s="9" t="s">
        <v>21</v>
      </c>
      <c r="AJ4" s="9" t="s">
        <v>11</v>
      </c>
      <c r="AK4" s="9" t="s">
        <v>9</v>
      </c>
      <c r="AL4" s="9" t="s">
        <v>10</v>
      </c>
      <c r="AM4" s="16"/>
      <c r="AN4" s="9" t="s">
        <v>58</v>
      </c>
      <c r="AO4" s="9" t="s">
        <v>64</v>
      </c>
      <c r="AP4" s="9" t="s">
        <v>72</v>
      </c>
      <c r="AQ4" s="16" t="s">
        <v>67</v>
      </c>
      <c r="AR4" s="16" t="s">
        <v>68</v>
      </c>
      <c r="AS4" s="16" t="s">
        <v>69</v>
      </c>
      <c r="AT4" s="16" t="s">
        <v>70</v>
      </c>
      <c r="AU4" s="16" t="s">
        <v>65</v>
      </c>
      <c r="AV4" s="16" t="s">
        <v>71</v>
      </c>
      <c r="AW4" s="16"/>
    </row>
    <row r="5" spans="1:49" ht="13.5" x14ac:dyDescent="0.35">
      <c r="A5" s="22"/>
      <c r="B5" s="16"/>
      <c r="C5" s="16"/>
      <c r="D5" s="16"/>
      <c r="E5" s="16"/>
      <c r="F5" s="16"/>
      <c r="G5" s="16"/>
      <c r="H5" s="16"/>
      <c r="I5" s="16"/>
      <c r="J5" s="16"/>
      <c r="K5" s="1"/>
      <c r="L5" s="16"/>
      <c r="M5" s="16"/>
      <c r="N5" s="16"/>
      <c r="O5" s="16"/>
      <c r="P5" s="60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M5" s="16"/>
    </row>
    <row r="6" spans="1:49" s="33" customFormat="1" ht="13.5" x14ac:dyDescent="0.35"/>
    <row r="7" spans="1:49" s="10" customFormat="1" ht="13" outlineLevel="1" x14ac:dyDescent="0.3">
      <c r="A7" s="1"/>
      <c r="B7" s="15"/>
      <c r="C7" s="15"/>
      <c r="D7" s="15"/>
      <c r="E7" s="15"/>
      <c r="F7" s="15"/>
      <c r="G7" s="82"/>
      <c r="H7" s="82"/>
      <c r="I7" s="82"/>
      <c r="J7" s="82"/>
      <c r="K7" s="81"/>
      <c r="L7" s="81"/>
      <c r="M7" s="81"/>
      <c r="N7" s="81"/>
      <c r="O7" s="82"/>
      <c r="P7" s="82"/>
      <c r="Q7" s="81"/>
      <c r="R7" s="81"/>
      <c r="S7" s="82"/>
      <c r="T7" s="81"/>
      <c r="U7" s="82"/>
      <c r="V7" s="82"/>
      <c r="W7" s="82"/>
      <c r="X7" s="82"/>
      <c r="Y7" s="81"/>
      <c r="Z7" s="82"/>
      <c r="AA7" s="81"/>
      <c r="AB7" s="82"/>
      <c r="AC7" s="82"/>
      <c r="AD7" s="82"/>
      <c r="AE7" s="82"/>
      <c r="AF7" s="81"/>
      <c r="AG7" s="82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</row>
    <row r="8" spans="1:49" s="10" customFormat="1" ht="13" outlineLevel="1" x14ac:dyDescent="0.3">
      <c r="A8" s="1"/>
      <c r="B8" s="15"/>
      <c r="C8" s="15"/>
      <c r="D8" s="15"/>
      <c r="E8" s="15"/>
      <c r="F8" s="15"/>
      <c r="G8" s="82"/>
      <c r="H8" s="82"/>
      <c r="I8" s="82"/>
      <c r="J8" s="82"/>
      <c r="K8" s="81"/>
      <c r="L8" s="81"/>
      <c r="M8" s="81"/>
      <c r="N8" s="81"/>
      <c r="O8" s="82"/>
      <c r="P8" s="82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</row>
    <row r="9" spans="1:49" s="10" customFormat="1" ht="13" outlineLevel="1" x14ac:dyDescent="0.3">
      <c r="A9" s="1"/>
      <c r="B9" s="15"/>
      <c r="C9" s="15"/>
      <c r="D9" s="15"/>
      <c r="E9" s="15"/>
      <c r="F9" s="15"/>
      <c r="G9" s="82"/>
      <c r="H9" s="82"/>
      <c r="I9" s="82"/>
      <c r="J9" s="82"/>
      <c r="K9" s="81"/>
      <c r="L9" s="81"/>
      <c r="M9" s="81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1"/>
      <c r="Z9" s="82"/>
      <c r="AA9" s="82"/>
      <c r="AB9" s="82"/>
      <c r="AC9" s="82"/>
      <c r="AD9" s="82"/>
      <c r="AE9" s="82"/>
      <c r="AF9" s="81"/>
      <c r="AG9" s="82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</row>
    <row r="10" spans="1:49" s="10" customFormat="1" ht="13" outlineLevel="1" x14ac:dyDescent="0.3">
      <c r="A10" s="1"/>
      <c r="B10" s="15"/>
      <c r="C10" s="15"/>
      <c r="D10" s="15"/>
      <c r="E10" s="15"/>
      <c r="F10" s="15"/>
      <c r="G10" s="82"/>
      <c r="H10" s="82"/>
      <c r="I10" s="82"/>
      <c r="J10" s="82"/>
      <c r="K10" s="81"/>
      <c r="L10" s="81"/>
      <c r="M10" s="81"/>
      <c r="N10" s="81"/>
      <c r="O10" s="82"/>
      <c r="P10" s="82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</row>
    <row r="11" spans="1:49" ht="13" outlineLevel="1" x14ac:dyDescent="0.3">
      <c r="A11" s="1"/>
      <c r="B11" s="5"/>
      <c r="C11" s="5"/>
      <c r="D11" s="5"/>
      <c r="E11" s="5"/>
      <c r="F11" s="5"/>
      <c r="G11" s="5"/>
      <c r="H11" s="5"/>
      <c r="I11" s="5"/>
      <c r="J11" s="5"/>
      <c r="K11" s="5"/>
      <c r="L11" s="6"/>
      <c r="M11" s="5"/>
      <c r="N11" s="5"/>
      <c r="O11" s="5"/>
      <c r="P11" s="5"/>
      <c r="Q11" s="5"/>
      <c r="R11" s="5"/>
      <c r="S11" s="6"/>
      <c r="T11" s="5"/>
      <c r="U11" s="39"/>
      <c r="V11" s="39"/>
      <c r="W11" s="39"/>
      <c r="X11" s="5"/>
      <c r="Y11" s="5"/>
      <c r="Z11" s="6"/>
      <c r="AA11" s="5"/>
      <c r="AB11" s="5"/>
      <c r="AC11" s="5"/>
      <c r="AD11" s="39"/>
      <c r="AE11" s="5"/>
      <c r="AF11" s="5"/>
      <c r="AG11" s="6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9" ht="13" outlineLevel="1" x14ac:dyDescent="0.3">
      <c r="A12" s="12"/>
      <c r="B12" s="5"/>
      <c r="C12" s="5"/>
      <c r="D12" s="5"/>
      <c r="E12" s="5"/>
      <c r="F12" s="5"/>
      <c r="G12" s="15"/>
      <c r="H12" s="15"/>
      <c r="I12" s="15"/>
      <c r="J12" s="15"/>
      <c r="K12" s="5"/>
      <c r="L12" s="15"/>
      <c r="M12" s="5"/>
      <c r="N12" s="15"/>
      <c r="O12" s="15"/>
      <c r="P12" s="15"/>
      <c r="Q12" s="15"/>
      <c r="R12" s="5"/>
      <c r="S12" s="15"/>
      <c r="T12" s="5"/>
      <c r="U12" s="15"/>
      <c r="V12" s="15"/>
      <c r="W12" s="15"/>
      <c r="X12" s="15"/>
      <c r="Y12" s="5"/>
      <c r="Z12" s="15"/>
      <c r="AA12" s="5"/>
      <c r="AB12" s="15"/>
      <c r="AC12" s="15"/>
      <c r="AD12" s="15"/>
      <c r="AE12" s="1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9" ht="13" outlineLevel="1" x14ac:dyDescent="0.3">
      <c r="A13" s="1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9" ht="13" outlineLevel="1" x14ac:dyDescent="0.3">
      <c r="A14" s="1"/>
      <c r="B14" s="5"/>
      <c r="C14" s="5"/>
      <c r="D14" s="5"/>
      <c r="E14" s="5"/>
      <c r="F14" s="5"/>
      <c r="G14" s="5"/>
      <c r="H14" s="5"/>
      <c r="I14" s="5"/>
      <c r="J14" s="5"/>
      <c r="K14" s="5"/>
      <c r="L14" s="6"/>
      <c r="M14" s="5"/>
      <c r="N14" s="5"/>
      <c r="O14" s="5"/>
      <c r="P14" s="5"/>
      <c r="Q14" s="5"/>
      <c r="R14" s="5"/>
      <c r="S14" s="6"/>
      <c r="T14" s="5"/>
      <c r="U14" s="39"/>
      <c r="V14" s="39"/>
      <c r="W14" s="39"/>
      <c r="X14" s="5"/>
      <c r="Y14" s="5"/>
      <c r="Z14" s="6"/>
      <c r="AA14" s="5"/>
      <c r="AB14" s="5"/>
      <c r="AC14" s="5"/>
      <c r="AD14" s="39"/>
      <c r="AE14" s="5"/>
      <c r="AF14" s="5"/>
      <c r="AG14" s="6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9" outlineLevel="1" x14ac:dyDescent="0.25">
      <c r="A15" s="12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</row>
    <row r="16" spans="1:49" ht="13" outlineLevel="1" x14ac:dyDescent="0.3">
      <c r="A16" s="1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6" ht="13" outlineLevel="1" x14ac:dyDescent="0.3">
      <c r="A17" s="1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</row>
    <row r="18" spans="1:46" ht="13" outlineLevel="1" x14ac:dyDescent="0.3">
      <c r="A18" s="1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6" ht="13" outlineLevel="1" x14ac:dyDescent="0.3">
      <c r="A19" s="1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</row>
    <row r="20" spans="1:46" ht="13" outlineLevel="1" x14ac:dyDescent="0.3">
      <c r="A20" s="1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6" ht="13" outlineLevel="1" x14ac:dyDescent="0.3">
      <c r="A21" s="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</row>
    <row r="22" spans="1:46" ht="13" outlineLevel="1" x14ac:dyDescent="0.3">
      <c r="A22" s="1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</row>
    <row r="23" spans="1:46" ht="13" outlineLevel="1" x14ac:dyDescent="0.3">
      <c r="A23" s="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</row>
    <row r="24" spans="1:46" ht="13" outlineLevel="1" x14ac:dyDescent="0.3">
      <c r="A24" s="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</row>
    <row r="25" spans="1:46" ht="13" outlineLevel="1" x14ac:dyDescent="0.3">
      <c r="A25" s="1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95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</row>
    <row r="26" spans="1:46" ht="13" outlineLevel="1" x14ac:dyDescent="0.3">
      <c r="A26" s="1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</row>
    <row r="27" spans="1:46" ht="13" outlineLevel="1" x14ac:dyDescent="0.3">
      <c r="A27" s="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</row>
    <row r="28" spans="1:46" ht="13" outlineLevel="1" x14ac:dyDescent="0.3">
      <c r="A28" s="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</row>
    <row r="29" spans="1:46" ht="13" outlineLevel="1" x14ac:dyDescent="0.3">
      <c r="A29" s="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95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</row>
    <row r="30" spans="1:46" ht="13" x14ac:dyDescent="0.3">
      <c r="A30" s="1"/>
      <c r="B30" s="16"/>
      <c r="C30" s="16"/>
      <c r="D30" s="16"/>
      <c r="E30" s="16"/>
      <c r="F30" s="16"/>
      <c r="G30" s="16"/>
      <c r="H30" s="16"/>
      <c r="I30" s="16"/>
      <c r="J30" s="16"/>
      <c r="K30" s="1"/>
      <c r="L30" s="16"/>
      <c r="M30" s="16"/>
      <c r="N30" s="16"/>
      <c r="O30" s="16"/>
      <c r="P30" s="60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90"/>
      <c r="AE30" s="16"/>
      <c r="AF30" s="16"/>
      <c r="AG30" s="16"/>
      <c r="AH30" s="16"/>
      <c r="AM30" s="16"/>
    </row>
    <row r="31" spans="1:46" ht="13.5" x14ac:dyDescent="0.35">
      <c r="A31" s="33" t="s">
        <v>59</v>
      </c>
      <c r="B31" s="16"/>
      <c r="C31" s="16"/>
      <c r="D31" s="16"/>
      <c r="E31" s="16"/>
      <c r="F31" s="16"/>
      <c r="G31" s="16"/>
      <c r="H31" s="16"/>
      <c r="I31" s="16"/>
      <c r="J31" s="16"/>
      <c r="K31" s="1"/>
      <c r="L31" s="16"/>
      <c r="M31" s="16"/>
      <c r="N31" s="16"/>
      <c r="O31" s="16"/>
      <c r="P31" s="60"/>
      <c r="Q31" s="16"/>
      <c r="R31" s="16"/>
      <c r="S31" s="83"/>
      <c r="T31" s="16"/>
      <c r="U31" s="16"/>
      <c r="V31" s="16"/>
      <c r="W31" s="16"/>
      <c r="X31" s="16"/>
      <c r="Y31" s="16"/>
      <c r="Z31" s="50"/>
      <c r="AA31" s="16"/>
      <c r="AB31" s="89"/>
      <c r="AC31" s="88"/>
      <c r="AD31" s="16"/>
      <c r="AE31" s="16"/>
      <c r="AF31" s="16"/>
      <c r="AG31" s="16"/>
      <c r="AH31" s="16"/>
      <c r="AM31" s="16"/>
    </row>
    <row r="32" spans="1:46" ht="13" outlineLevel="1" x14ac:dyDescent="0.3">
      <c r="A32" s="1" t="s">
        <v>42</v>
      </c>
      <c r="B32" s="5">
        <v>35865</v>
      </c>
      <c r="C32" s="5">
        <v>41160</v>
      </c>
      <c r="D32" s="5">
        <v>46398</v>
      </c>
      <c r="E32" s="5">
        <v>53915</v>
      </c>
      <c r="F32" s="47"/>
      <c r="G32" s="5">
        <v>15039</v>
      </c>
      <c r="H32" s="5">
        <v>15936</v>
      </c>
      <c r="I32" s="5">
        <v>15789</v>
      </c>
      <c r="J32" s="5">
        <f>63364-SUM(G32:I32)</f>
        <v>16600</v>
      </c>
      <c r="K32" s="1"/>
      <c r="L32" s="43">
        <f>+SUM(G32:J32)</f>
        <v>63364</v>
      </c>
      <c r="M32" s="43"/>
      <c r="N32" s="5">
        <v>16465</v>
      </c>
      <c r="O32" s="5">
        <v>17002</v>
      </c>
      <c r="P32" s="5">
        <v>17516</v>
      </c>
      <c r="Q32" s="5">
        <f>69274-SUM(N32:P32)</f>
        <v>18291</v>
      </c>
      <c r="R32" s="43"/>
      <c r="S32" s="6">
        <f>+SUM(N32:Q32)</f>
        <v>69274</v>
      </c>
      <c r="T32" s="43"/>
      <c r="U32" s="39">
        <v>18592</v>
      </c>
      <c r="V32" s="5">
        <v>19249</v>
      </c>
      <c r="W32" s="39">
        <v>19570</v>
      </c>
      <c r="X32" s="39">
        <v>20317</v>
      </c>
      <c r="Y32" s="43"/>
      <c r="Z32" s="6">
        <f>SUM(U32:X32)</f>
        <v>77728</v>
      </c>
      <c r="AA32" s="43"/>
      <c r="AB32" s="39">
        <v>28317</v>
      </c>
      <c r="AC32" s="39">
        <v>29437</v>
      </c>
      <c r="AD32" s="39">
        <v>29944</v>
      </c>
      <c r="AE32" s="39">
        <f>120810-SUM(AB32:AD32)</f>
        <v>33112</v>
      </c>
      <c r="AF32" s="43"/>
      <c r="AG32" s="6">
        <f>SUM(AB32:AE32)</f>
        <v>120810</v>
      </c>
      <c r="AH32" s="6"/>
      <c r="AI32" s="6">
        <f>AB32*(1+AI33)</f>
        <v>32564.55</v>
      </c>
      <c r="AJ32" s="6">
        <f t="shared" ref="AJ32:AL32" si="0">AC32*(1+AJ33)</f>
        <v>34146.92</v>
      </c>
      <c r="AK32" s="6">
        <f t="shared" si="0"/>
        <v>35034.479999999996</v>
      </c>
      <c r="AL32" s="6">
        <f t="shared" si="0"/>
        <v>39072.159999999996</v>
      </c>
      <c r="AM32" s="6"/>
      <c r="AN32" s="6">
        <f>SUM(AI32:AL32)</f>
        <v>140818.10999999999</v>
      </c>
      <c r="AO32" s="6">
        <f>+AN32*(1+AO33)</f>
        <v>173206.27529999998</v>
      </c>
      <c r="AP32" s="6">
        <f>+AO32*(1+AP33)</f>
        <v>214775.78137199997</v>
      </c>
      <c r="AQ32" s="6"/>
      <c r="AR32" s="6"/>
      <c r="AS32" s="6"/>
      <c r="AT32" s="6"/>
    </row>
    <row r="33" spans="1:48" ht="13" outlineLevel="1" x14ac:dyDescent="0.3">
      <c r="A33" s="12" t="s">
        <v>1</v>
      </c>
      <c r="B33" s="1"/>
      <c r="C33" s="15">
        <f>+C32/B32-1</f>
        <v>0.14763697197825176</v>
      </c>
      <c r="D33" s="15">
        <f>+D32/C32-1</f>
        <v>0.12725947521865888</v>
      </c>
      <c r="E33" s="15">
        <f>+E32/D32-1</f>
        <v>0.16201129359024091</v>
      </c>
      <c r="F33" s="36"/>
      <c r="G33" s="15">
        <f>+G32/12319-1</f>
        <v>0.22079714262521311</v>
      </c>
      <c r="H33" s="15">
        <f>+H32/13353-1</f>
        <v>0.19343967647719618</v>
      </c>
      <c r="I33" s="15">
        <f>+I32/13552-1</f>
        <v>0.16506788665879579</v>
      </c>
      <c r="J33" s="15">
        <f>+J32/(E32-39224)-1</f>
        <v>0.12994350282485878</v>
      </c>
      <c r="K33" s="1"/>
      <c r="L33" s="15">
        <f>+L32/E32-1</f>
        <v>0.17525734953167027</v>
      </c>
      <c r="M33" s="15"/>
      <c r="N33" s="15">
        <f>+N32/G32-1</f>
        <v>9.4820134317441296E-2</v>
      </c>
      <c r="O33" s="15">
        <f>+O32/H32-1</f>
        <v>6.6892570281124497E-2</v>
      </c>
      <c r="P33" s="15">
        <f>+P32/I32-1</f>
        <v>0.10937994806510853</v>
      </c>
      <c r="Q33" s="15">
        <f>+Q32/J32-1</f>
        <v>0.10186746987951811</v>
      </c>
      <c r="R33" s="15"/>
      <c r="S33" s="15">
        <f>+S32/L32-1</f>
        <v>9.3270626854365268E-2</v>
      </c>
      <c r="T33" s="15"/>
      <c r="U33" s="15">
        <f>+U32/N32-1</f>
        <v>0.12918311569996965</v>
      </c>
      <c r="V33" s="15">
        <f>+V32/O32-1</f>
        <v>0.13216092224444176</v>
      </c>
      <c r="W33" s="15">
        <f>+W32/P32-1</f>
        <v>0.11726421557433198</v>
      </c>
      <c r="X33" s="15">
        <f>+X32/Q32-1</f>
        <v>0.1107648570335138</v>
      </c>
      <c r="Y33" s="15"/>
      <c r="Z33" s="15">
        <f>Z32/S32-1</f>
        <v>0.12203712792678356</v>
      </c>
      <c r="AA33" s="15"/>
      <c r="AB33" s="15">
        <f>+AB32/U32-1</f>
        <v>0.52307444061962127</v>
      </c>
      <c r="AC33" s="15">
        <f>+AC32/V32-1</f>
        <v>0.52927424801288381</v>
      </c>
      <c r="AD33" s="15">
        <f>+AD32/W32-1</f>
        <v>0.53009708737864081</v>
      </c>
      <c r="AE33" s="15">
        <f>+AE32/X32-1</f>
        <v>0.62976817443520194</v>
      </c>
      <c r="AF33" s="15"/>
      <c r="AG33" s="15">
        <f>AG32/Z32-1</f>
        <v>0.55426615891313302</v>
      </c>
      <c r="AH33" s="15"/>
      <c r="AI33" s="27">
        <v>0.15</v>
      </c>
      <c r="AJ33" s="27">
        <v>0.16</v>
      </c>
      <c r="AK33" s="27">
        <v>0.17</v>
      </c>
      <c r="AL33" s="27">
        <v>0.18</v>
      </c>
      <c r="AM33" s="15"/>
      <c r="AN33" s="15">
        <f>AN32/AG32-1</f>
        <v>0.16561633970697787</v>
      </c>
      <c r="AO33" s="27">
        <v>0.23</v>
      </c>
      <c r="AP33" s="27">
        <v>0.24</v>
      </c>
      <c r="AQ33" s="27"/>
      <c r="AR33" s="27"/>
      <c r="AS33" s="27"/>
      <c r="AT33" s="6"/>
    </row>
    <row r="34" spans="1:48" ht="13" outlineLevel="1" x14ac:dyDescent="0.3">
      <c r="A34" s="1"/>
      <c r="B34" s="1"/>
      <c r="C34" s="1"/>
      <c r="D34" s="1"/>
      <c r="E34" s="1"/>
      <c r="F34" s="5"/>
      <c r="G34" s="1"/>
      <c r="H34" s="1"/>
      <c r="I34" s="49"/>
      <c r="J34" s="32"/>
      <c r="K34" s="1"/>
      <c r="L34" s="15"/>
      <c r="M34" s="15"/>
      <c r="N34" s="1"/>
      <c r="O34" s="1"/>
      <c r="P34" s="60"/>
      <c r="Q34" s="60"/>
      <c r="R34" s="15"/>
      <c r="S34" s="83"/>
      <c r="T34" s="15"/>
      <c r="U34" s="32"/>
      <c r="V34" s="1"/>
      <c r="W34" s="32"/>
      <c r="X34" s="32"/>
      <c r="Y34" s="15"/>
      <c r="Z34" s="87"/>
      <c r="AA34" s="15"/>
      <c r="AB34" s="89"/>
      <c r="AC34" s="88"/>
      <c r="AD34" s="32"/>
      <c r="AE34" s="32"/>
      <c r="AF34" s="15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6"/>
    </row>
    <row r="35" spans="1:48" ht="13" outlineLevel="1" x14ac:dyDescent="0.3">
      <c r="A35" s="1" t="s">
        <v>43</v>
      </c>
      <c r="B35" s="5">
        <v>32219</v>
      </c>
      <c r="C35" s="5">
        <v>38985</v>
      </c>
      <c r="D35" s="5">
        <v>48366</v>
      </c>
      <c r="E35" s="5">
        <v>59728</v>
      </c>
      <c r="F35" s="47"/>
      <c r="G35" s="5">
        <v>16912</v>
      </c>
      <c r="H35" s="5">
        <v>18262</v>
      </c>
      <c r="I35" s="5">
        <v>18987</v>
      </c>
      <c r="J35" s="5">
        <f>74965-SUM(G35:I35)</f>
        <v>20804</v>
      </c>
      <c r="K35" s="1"/>
      <c r="L35" s="43">
        <f>+SUM(G35:J35)</f>
        <v>74965</v>
      </c>
      <c r="M35" s="43"/>
      <c r="N35" s="5">
        <v>20325</v>
      </c>
      <c r="O35" s="5">
        <v>21508</v>
      </c>
      <c r="P35" s="5">
        <v>22081</v>
      </c>
      <c r="Q35" s="5">
        <f>87907-SUM(N35:P35)</f>
        <v>23993</v>
      </c>
      <c r="R35" s="43"/>
      <c r="S35" s="6">
        <f>+SUM(N35:Q35)</f>
        <v>87907</v>
      </c>
      <c r="T35" s="43"/>
      <c r="U35" s="39">
        <v>24259</v>
      </c>
      <c r="V35" s="5">
        <v>25880</v>
      </c>
      <c r="W35" s="39">
        <v>26708</v>
      </c>
      <c r="X35" s="39">
        <v>28515</v>
      </c>
      <c r="Y35" s="43"/>
      <c r="Z35" s="6">
        <f>SUM(U35:X35)</f>
        <v>105362</v>
      </c>
      <c r="AA35" s="43"/>
      <c r="AB35" s="39">
        <v>24092</v>
      </c>
      <c r="AC35" s="39">
        <v>25544</v>
      </c>
      <c r="AD35" s="39">
        <v>26751</v>
      </c>
      <c r="AE35" s="39">
        <f>106265-SUM(AB35:AD35)</f>
        <v>29878</v>
      </c>
      <c r="AF35" s="43"/>
      <c r="AG35" s="6">
        <f>SUM(AB35:AE35)</f>
        <v>106265</v>
      </c>
      <c r="AH35" s="6"/>
      <c r="AI35" s="6">
        <f>AB35*(1+AI36)</f>
        <v>30355.920000000002</v>
      </c>
      <c r="AJ35" s="6">
        <f t="shared" ref="AJ35" si="1">AC35*(1+AJ36)</f>
        <v>31674.560000000001</v>
      </c>
      <c r="AK35" s="6">
        <f t="shared" ref="AK35" si="2">AD35*(1+AK36)</f>
        <v>32636.219999999998</v>
      </c>
      <c r="AL35" s="6">
        <f t="shared" ref="AL35" si="3">AE35*(1+AL36)</f>
        <v>35853.599999999999</v>
      </c>
      <c r="AM35" s="6"/>
      <c r="AN35" s="6">
        <f>SUM(AI35:AL35)</f>
        <v>130520.29999999999</v>
      </c>
      <c r="AO35" s="6">
        <f>+AN35*(1+AO36)</f>
        <v>134435.90899999999</v>
      </c>
      <c r="AP35" s="6">
        <f>+AO35*(1+AP36)</f>
        <v>138737.85808799998</v>
      </c>
      <c r="AQ35" s="6"/>
      <c r="AR35" s="6"/>
      <c r="AS35" s="6"/>
      <c r="AT35" s="6"/>
    </row>
    <row r="36" spans="1:48" ht="13" outlineLevel="1" x14ac:dyDescent="0.3">
      <c r="A36" s="12" t="s">
        <v>1</v>
      </c>
      <c r="B36" s="1"/>
      <c r="C36" s="15">
        <f>+C35/B35-1</f>
        <v>0.2100003103758652</v>
      </c>
      <c r="D36" s="15">
        <f>+D35/C35-1</f>
        <v>0.24063101192766445</v>
      </c>
      <c r="E36" s="15">
        <f>+E35/D35-1</f>
        <v>0.23491709051813259</v>
      </c>
      <c r="F36" s="36"/>
      <c r="G36" s="15">
        <f>+G35/12986-1</f>
        <v>0.30232558139534893</v>
      </c>
      <c r="H36" s="15">
        <f>+H35/14601-1</f>
        <v>0.25073625094171637</v>
      </c>
      <c r="I36" s="15">
        <f>+I35/15118-1</f>
        <v>0.25592009525069459</v>
      </c>
      <c r="J36" s="15">
        <f>+J35/(E35-42705)-1</f>
        <v>0.22211126123479996</v>
      </c>
      <c r="K36" s="1"/>
      <c r="L36" s="15">
        <f>+L35/E35-1</f>
        <v>0.25510648272167158</v>
      </c>
      <c r="M36" s="15"/>
      <c r="N36" s="15">
        <f>+N35/G35-1</f>
        <v>0.20180936613055822</v>
      </c>
      <c r="O36" s="15">
        <f>+O35/H35-1</f>
        <v>0.1777461395246962</v>
      </c>
      <c r="P36" s="15">
        <f>+P35/I35-1</f>
        <v>0.16295359983146374</v>
      </c>
      <c r="Q36" s="15">
        <f>+Q35/J35-1</f>
        <v>0.15328782926360307</v>
      </c>
      <c r="R36" s="15"/>
      <c r="S36" s="15">
        <f>+S35/L35-1</f>
        <v>0.17264056559727869</v>
      </c>
      <c r="T36" s="15"/>
      <c r="U36" s="15">
        <f>+U35/N35-1</f>
        <v>0.19355473554735547</v>
      </c>
      <c r="V36" s="15">
        <f>+V35/O35-1</f>
        <v>0.20327320066951837</v>
      </c>
      <c r="W36" s="15">
        <f>+W35/P35-1</f>
        <v>0.20954666908201625</v>
      </c>
      <c r="X36" s="15">
        <f>+X35/Q35-1</f>
        <v>0.1884716375609552</v>
      </c>
      <c r="Y36" s="15"/>
      <c r="Z36" s="15">
        <f>Z35/S35-1</f>
        <v>0.19856211678250868</v>
      </c>
      <c r="AA36" s="15"/>
      <c r="AB36" s="15">
        <f>+AB35/U35-1</f>
        <v>-6.8840430355744386E-3</v>
      </c>
      <c r="AC36" s="15">
        <f>+AC35/V35-1</f>
        <v>-1.2982998454404981E-2</v>
      </c>
      <c r="AD36" s="15">
        <f>+AD35/W35-1</f>
        <v>1.6100044930358326E-3</v>
      </c>
      <c r="AE36" s="15">
        <f>+AE35/X35-1</f>
        <v>4.7799403822549547E-2</v>
      </c>
      <c r="AF36" s="15"/>
      <c r="AG36" s="15">
        <f>AG35/Z35-1</f>
        <v>8.570452345247892E-3</v>
      </c>
      <c r="AH36" s="15"/>
      <c r="AI36" s="27">
        <v>0.26</v>
      </c>
      <c r="AJ36" s="27">
        <v>0.24</v>
      </c>
      <c r="AK36" s="27">
        <v>0.22</v>
      </c>
      <c r="AL36" s="27">
        <v>0.2</v>
      </c>
      <c r="AM36" s="15"/>
      <c r="AN36" s="15">
        <f>AN35/AG35-1</f>
        <v>0.2282529525243493</v>
      </c>
      <c r="AO36" s="27">
        <v>0.03</v>
      </c>
      <c r="AP36" s="27">
        <v>3.2000000000000001E-2</v>
      </c>
      <c r="AQ36" s="27"/>
      <c r="AR36" s="27"/>
      <c r="AS36" s="27"/>
      <c r="AT36" s="6"/>
    </row>
    <row r="37" spans="1:48" ht="13" outlineLevel="1" x14ac:dyDescent="0.3">
      <c r="A37" s="12"/>
      <c r="B37" s="5"/>
      <c r="C37" s="1"/>
      <c r="D37" s="1"/>
      <c r="E37" s="1"/>
      <c r="F37" s="5"/>
      <c r="G37" s="1"/>
      <c r="H37" s="1"/>
      <c r="I37" s="49"/>
      <c r="J37" s="32"/>
      <c r="K37" s="1"/>
      <c r="L37" s="15"/>
      <c r="M37" s="15"/>
      <c r="N37" s="1"/>
      <c r="O37" s="1"/>
      <c r="P37" s="60"/>
      <c r="Q37" s="60"/>
      <c r="R37" s="15"/>
      <c r="S37" s="83"/>
      <c r="T37" s="15"/>
      <c r="U37" s="32"/>
      <c r="V37" s="1"/>
      <c r="W37" s="32"/>
      <c r="X37" s="32"/>
      <c r="Y37" s="15"/>
      <c r="Z37" s="87"/>
      <c r="AA37" s="15"/>
      <c r="AB37" s="89"/>
      <c r="AC37" s="88"/>
      <c r="AD37" s="32"/>
      <c r="AE37" s="32"/>
      <c r="AF37" s="15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6"/>
    </row>
    <row r="38" spans="1:48" ht="13" outlineLevel="1" x14ac:dyDescent="0.3">
      <c r="A38" s="1" t="s">
        <v>44</v>
      </c>
      <c r="B38" s="5">
        <v>42276</v>
      </c>
      <c r="C38" s="5">
        <v>45698</v>
      </c>
      <c r="D38" s="5">
        <v>48251</v>
      </c>
      <c r="E38" s="5">
        <v>54445</v>
      </c>
      <c r="F38" s="47"/>
      <c r="G38" s="5">
        <v>13366</v>
      </c>
      <c r="H38" s="5">
        <v>17530</v>
      </c>
      <c r="I38" s="5">
        <v>14584</v>
      </c>
      <c r="J38" s="5">
        <f>59941-SUM(G38:I38)</f>
        <v>14461</v>
      </c>
      <c r="K38" s="1"/>
      <c r="L38" s="43">
        <f>+SUM(G38:J38)</f>
        <v>59941</v>
      </c>
      <c r="M38" s="43"/>
      <c r="N38" s="5">
        <v>13332</v>
      </c>
      <c r="O38" s="5">
        <v>14237</v>
      </c>
      <c r="P38" s="5">
        <v>13260</v>
      </c>
      <c r="Q38" s="5">
        <f>54734-SUM(N38:P38)</f>
        <v>13905</v>
      </c>
      <c r="R38" s="43"/>
      <c r="S38" s="6">
        <f>+SUM(N38:Q38)</f>
        <v>54734</v>
      </c>
      <c r="T38" s="43"/>
      <c r="U38" s="39">
        <v>13666</v>
      </c>
      <c r="V38" s="5">
        <v>16891</v>
      </c>
      <c r="W38" s="39">
        <v>15580</v>
      </c>
      <c r="X38" s="39">
        <v>15895</v>
      </c>
      <c r="Y38" s="43"/>
      <c r="Z38" s="6">
        <f>SUM(U38:X38)</f>
        <v>62032</v>
      </c>
      <c r="AA38" s="43"/>
      <c r="AB38" s="39">
        <v>13176</v>
      </c>
      <c r="AC38" s="39">
        <v>14651</v>
      </c>
      <c r="AD38" s="39">
        <v>13371</v>
      </c>
      <c r="AE38" s="39">
        <f>54649-SUM(AB38:AD38)</f>
        <v>13451</v>
      </c>
      <c r="AF38" s="43"/>
      <c r="AG38" s="6">
        <f>SUM(AB38:AE38)</f>
        <v>54649</v>
      </c>
      <c r="AH38" s="6"/>
      <c r="AI38" s="6">
        <f>AB38*(1+AI39)</f>
        <v>12648.96</v>
      </c>
      <c r="AJ38" s="6">
        <f t="shared" ref="AJ38" si="4">AC38*(1+AJ39)</f>
        <v>14211.47</v>
      </c>
      <c r="AK38" s="6">
        <f t="shared" ref="AK38" si="5">AD38*(1+AK39)</f>
        <v>13103.58</v>
      </c>
      <c r="AL38" s="6">
        <f t="shared" ref="AL38" si="6">AE38*(1+AL39)</f>
        <v>13316.49</v>
      </c>
      <c r="AM38" s="6"/>
      <c r="AN38" s="6">
        <f>SUM(AI38:AL38)</f>
        <v>53280.5</v>
      </c>
      <c r="AO38" s="6">
        <f>+AN38*(1+AO39)</f>
        <v>51948.487499999996</v>
      </c>
      <c r="AP38" s="6">
        <f>+AO38*(1+AP39)</f>
        <v>50649.775312499994</v>
      </c>
      <c r="AQ38" s="6"/>
      <c r="AR38" s="6"/>
      <c r="AS38" s="6"/>
      <c r="AT38" s="6"/>
    </row>
    <row r="39" spans="1:48" ht="13" outlineLevel="1" x14ac:dyDescent="0.3">
      <c r="A39" s="12" t="s">
        <v>1</v>
      </c>
      <c r="B39" s="5"/>
      <c r="C39" s="15">
        <f>+C38/B38-1</f>
        <v>8.0944270981171407E-2</v>
      </c>
      <c r="D39" s="15">
        <f>+D38/C38-1</f>
        <v>5.5866777539498536E-2</v>
      </c>
      <c r="E39" s="15">
        <f>+E38/D38-1</f>
        <v>0.12837039646846704</v>
      </c>
      <c r="F39" s="5"/>
      <c r="G39" s="15">
        <f>+G38/11849-1</f>
        <v>0.12802768166089962</v>
      </c>
      <c r="H39" s="15">
        <f>+H38/15122-1</f>
        <v>0.15923819600581934</v>
      </c>
      <c r="I39" s="15">
        <f>+I38/13036-1</f>
        <v>0.11874808223381406</v>
      </c>
      <c r="J39" s="15">
        <f>+J38/(E38-40007)-1</f>
        <v>1.5930184236043754E-3</v>
      </c>
      <c r="K39" s="1"/>
      <c r="L39" s="15">
        <f>+L38/E38-1</f>
        <v>0.10094590871521714</v>
      </c>
      <c r="M39" s="15"/>
      <c r="N39" s="15">
        <f>+N38/G38-1</f>
        <v>-2.5437677689660321E-3</v>
      </c>
      <c r="O39" s="15">
        <f>+O38/H38-1</f>
        <v>-0.18784940102681114</v>
      </c>
      <c r="P39" s="15">
        <f>+P38/I38-1</f>
        <v>-9.0784421283598427E-2</v>
      </c>
      <c r="Q39" s="15">
        <f>+Q38/J38-1</f>
        <v>-3.8448240094046016E-2</v>
      </c>
      <c r="R39" s="15"/>
      <c r="S39" s="15">
        <f>+S38/L38-1</f>
        <v>-8.6868754275037152E-2</v>
      </c>
      <c r="T39" s="15"/>
      <c r="U39" s="15">
        <f>+U38/N38-1</f>
        <v>2.5052505250525048E-2</v>
      </c>
      <c r="V39" s="15">
        <f>+V38/O38-1</f>
        <v>0.1864156774601391</v>
      </c>
      <c r="W39" s="15">
        <f>+W38/P38-1</f>
        <v>0.17496229260935148</v>
      </c>
      <c r="X39" s="15">
        <f>+X38/Q38-1</f>
        <v>0.14311398777418205</v>
      </c>
      <c r="Y39" s="15"/>
      <c r="Z39" s="15">
        <f>Z38/S38-1</f>
        <v>0.133335769357255</v>
      </c>
      <c r="AA39" s="15"/>
      <c r="AB39" s="15">
        <f>+AB38/U38-1</f>
        <v>-3.585540758085759E-2</v>
      </c>
      <c r="AC39" s="15">
        <f>+AC38/V38-1</f>
        <v>-0.13261500207210941</v>
      </c>
      <c r="AD39" s="15">
        <f>+AD38/W38-1</f>
        <v>-0.14178433889602049</v>
      </c>
      <c r="AE39" s="15">
        <f>+AE38/X38-1</f>
        <v>-0.1537590437244416</v>
      </c>
      <c r="AF39" s="15"/>
      <c r="AG39" s="15">
        <f>AG38/Z38-1</f>
        <v>-0.11901921588857367</v>
      </c>
      <c r="AH39" s="15"/>
      <c r="AI39" s="27">
        <v>-0.04</v>
      </c>
      <c r="AJ39" s="27">
        <v>-0.03</v>
      </c>
      <c r="AK39" s="27">
        <v>-0.02</v>
      </c>
      <c r="AL39" s="27">
        <v>-0.01</v>
      </c>
      <c r="AM39" s="15"/>
      <c r="AN39" s="15">
        <f>AN38/AG38-1</f>
        <v>-2.5041629307032132E-2</v>
      </c>
      <c r="AO39" s="27">
        <v>-2.5000000000000001E-2</v>
      </c>
      <c r="AP39" s="27">
        <v>-2.5000000000000001E-2</v>
      </c>
      <c r="AQ39" s="27"/>
      <c r="AR39" s="27"/>
      <c r="AS39" s="27"/>
      <c r="AT39" s="6"/>
    </row>
    <row r="40" spans="1:48" ht="13" outlineLevel="1" x14ac:dyDescent="0.3">
      <c r="A40" s="12"/>
      <c r="B40" s="5"/>
      <c r="C40" s="5"/>
      <c r="D40" s="5"/>
      <c r="E40" s="5"/>
      <c r="F40" s="5"/>
      <c r="G40" s="18"/>
      <c r="H40" s="18"/>
      <c r="I40" s="48"/>
      <c r="J40" s="32"/>
      <c r="K40" s="1"/>
      <c r="L40" s="18"/>
      <c r="M40" s="18"/>
      <c r="N40" s="18"/>
      <c r="O40" s="18"/>
      <c r="P40" s="48"/>
      <c r="Q40" s="18"/>
      <c r="R40" s="18"/>
      <c r="S40" s="51"/>
      <c r="T40" s="18"/>
      <c r="U40" s="32"/>
      <c r="V40" s="18"/>
      <c r="W40" s="32"/>
      <c r="X40" s="32"/>
      <c r="Y40" s="18"/>
      <c r="Z40" s="32"/>
      <c r="AA40" s="18"/>
      <c r="AB40" s="32"/>
      <c r="AC40" s="32"/>
      <c r="AD40" s="32"/>
      <c r="AE40" s="32"/>
      <c r="AF40" s="18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6"/>
    </row>
    <row r="41" spans="1:48" ht="13" x14ac:dyDescent="0.3">
      <c r="A41" s="2" t="s">
        <v>0</v>
      </c>
      <c r="B41" s="46">
        <f>+B32+B35+B38</f>
        <v>110360</v>
      </c>
      <c r="C41" s="46">
        <f>+C32+C35+C38</f>
        <v>125843</v>
      </c>
      <c r="D41" s="46">
        <f>+D32+D35+D38</f>
        <v>143015</v>
      </c>
      <c r="E41" s="46">
        <f>+E32+E35+E38</f>
        <v>168088</v>
      </c>
      <c r="F41" s="52"/>
      <c r="G41" s="46">
        <f>+G32+G35+G38</f>
        <v>45317</v>
      </c>
      <c r="H41" s="46">
        <f>+H32+H35+H38</f>
        <v>51728</v>
      </c>
      <c r="I41" s="46">
        <f>+I32+I35+I38</f>
        <v>49360</v>
      </c>
      <c r="J41" s="46">
        <f>+J32+J35+J38</f>
        <v>51865</v>
      </c>
      <c r="K41" s="28"/>
      <c r="L41" s="46">
        <f>+L32+L35+L38</f>
        <v>198270</v>
      </c>
      <c r="M41" s="46"/>
      <c r="N41" s="46">
        <f>+N32+N35+N38</f>
        <v>50122</v>
      </c>
      <c r="O41" s="46">
        <f>+O32+O35+O38</f>
        <v>52747</v>
      </c>
      <c r="P41" s="46">
        <f>+P32+P35+P38</f>
        <v>52857</v>
      </c>
      <c r="Q41" s="46">
        <f>+Q32+Q35+Q38</f>
        <v>56189</v>
      </c>
      <c r="R41" s="28"/>
      <c r="S41" s="46">
        <f>+S32+S35+S38</f>
        <v>211915</v>
      </c>
      <c r="T41" s="28"/>
      <c r="U41" s="46">
        <f>+U32+U35+U38</f>
        <v>56517</v>
      </c>
      <c r="V41" s="46">
        <f>+V32+V35+V38</f>
        <v>62020</v>
      </c>
      <c r="W41" s="46">
        <f>+W32+W35+W38</f>
        <v>61858</v>
      </c>
      <c r="X41" s="46">
        <f>+X32+X35+X38</f>
        <v>64727</v>
      </c>
      <c r="Y41" s="28"/>
      <c r="Z41" s="46">
        <f>+Z32+Z35+Z38</f>
        <v>245122</v>
      </c>
      <c r="AA41" s="28"/>
      <c r="AB41" s="46">
        <f>+AB32+AB35+AB38</f>
        <v>65585</v>
      </c>
      <c r="AC41" s="46">
        <f>+AC32+AC35+AC38</f>
        <v>69632</v>
      </c>
      <c r="AD41" s="46">
        <f>+AD32+AD35+AD38</f>
        <v>70066</v>
      </c>
      <c r="AE41" s="46">
        <f>+AE32+AE35+AE38</f>
        <v>76441</v>
      </c>
      <c r="AF41" s="28"/>
      <c r="AG41" s="46">
        <f>+AG32+AG35+AG38</f>
        <v>281724</v>
      </c>
      <c r="AH41" s="46"/>
      <c r="AI41" s="46">
        <f>+AI32+AI35+AI38</f>
        <v>75569.429999999993</v>
      </c>
      <c r="AJ41" s="46">
        <f>+AJ32+AJ35+AJ38</f>
        <v>80032.95</v>
      </c>
      <c r="AK41" s="46">
        <f>+AK32+AK35+AK38</f>
        <v>80774.28</v>
      </c>
      <c r="AL41" s="46">
        <f>+AL32+AL35+AL38</f>
        <v>88242.25</v>
      </c>
      <c r="AM41" s="46"/>
      <c r="AN41" s="46">
        <f>+AN32+AN35+AN38</f>
        <v>324618.90999999997</v>
      </c>
      <c r="AO41" s="46">
        <f>+AO32+AO35+AO38</f>
        <v>359590.67179999995</v>
      </c>
      <c r="AP41" s="46">
        <f>+AP32+AP35+AP38</f>
        <v>404163.41477249999</v>
      </c>
      <c r="AQ41" s="46"/>
      <c r="AR41" s="46"/>
      <c r="AS41" s="46"/>
      <c r="AT41" s="6"/>
    </row>
    <row r="42" spans="1:48" ht="13" x14ac:dyDescent="0.3">
      <c r="A42" s="12" t="s">
        <v>1</v>
      </c>
      <c r="B42" s="30"/>
      <c r="C42" s="15">
        <f>C41/B41-1</f>
        <v>0.14029539688292858</v>
      </c>
      <c r="D42" s="15">
        <f>D41/C41-1</f>
        <v>0.13645574247276371</v>
      </c>
      <c r="E42" s="15">
        <f>+E41/D41-1</f>
        <v>0.17531727441177503</v>
      </c>
      <c r="F42" s="15"/>
      <c r="G42" s="15">
        <f>+G41/37154-1</f>
        <v>0.21970716477364483</v>
      </c>
      <c r="H42" s="15">
        <f>+H41/43076-1</f>
        <v>0.2008543040208004</v>
      </c>
      <c r="I42" s="15">
        <f>+I41/41706-1</f>
        <v>0.18352275451973332</v>
      </c>
      <c r="J42" s="15">
        <f>+J41/(E41-121936)-1</f>
        <v>0.12378661813139202</v>
      </c>
      <c r="K42" s="15"/>
      <c r="L42" s="15">
        <f>+L41/E41-1</f>
        <v>0.17956070629670173</v>
      </c>
      <c r="M42" s="15"/>
      <c r="N42" s="15">
        <f>+N41/G41-1</f>
        <v>0.1060308493501334</v>
      </c>
      <c r="O42" s="15">
        <f>+O41/H41-1</f>
        <v>1.9699195793380753E-2</v>
      </c>
      <c r="P42" s="15">
        <f>+P41/I41-1</f>
        <v>7.0846839546191198E-2</v>
      </c>
      <c r="Q42" s="15">
        <f>+Q41/J41-1</f>
        <v>8.3370288248336921E-2</v>
      </c>
      <c r="R42" s="15"/>
      <c r="S42" s="15">
        <f>+S41/L41-1</f>
        <v>6.8820295556564215E-2</v>
      </c>
      <c r="T42" s="15"/>
      <c r="U42" s="15">
        <f>U41/N41-1</f>
        <v>0.12758868361198683</v>
      </c>
      <c r="V42" s="15">
        <f>+V41/O41-1</f>
        <v>0.17580146738203117</v>
      </c>
      <c r="W42" s="15">
        <f>W41/P41-1</f>
        <v>0.17028964943148495</v>
      </c>
      <c r="X42" s="15">
        <f>X41/Q41-1</f>
        <v>0.15195144957198026</v>
      </c>
      <c r="Y42" s="15"/>
      <c r="Z42" s="15">
        <f>+Z41/S41-1</f>
        <v>0.1566996201307127</v>
      </c>
      <c r="AA42" s="15"/>
      <c r="AB42" s="15">
        <f>AB41/U41-1</f>
        <v>0.16044729904276589</v>
      </c>
      <c r="AC42" s="15">
        <f>AC41/V41-1</f>
        <v>0.12273460174137374</v>
      </c>
      <c r="AD42" s="15">
        <f>AD41/W41-1</f>
        <v>0.13269100197225914</v>
      </c>
      <c r="AE42" s="15">
        <f>AE41/X41-1</f>
        <v>0.18097548163826538</v>
      </c>
      <c r="AF42" s="15"/>
      <c r="AG42" s="15">
        <f>+AG41/Z41-1</f>
        <v>0.14932156232406713</v>
      </c>
      <c r="AH42" s="15"/>
      <c r="AI42" s="15">
        <f>AI41/AB41-1</f>
        <v>0.15223648700160086</v>
      </c>
      <c r="AJ42" s="15">
        <f t="shared" ref="AJ42:AL42" si="7">AJ41/AC41-1</f>
        <v>0.14937026079963234</v>
      </c>
      <c r="AK42" s="15">
        <f t="shared" si="7"/>
        <v>0.15283133045985209</v>
      </c>
      <c r="AL42" s="15">
        <f t="shared" si="7"/>
        <v>0.15438377310605556</v>
      </c>
      <c r="AM42" s="15"/>
      <c r="AN42" s="15">
        <f>+AN41/AG41-1</f>
        <v>0.15225862901279252</v>
      </c>
      <c r="AO42" s="15">
        <f>+AO41/AN41-1</f>
        <v>0.10773174551045095</v>
      </c>
      <c r="AP42" s="15">
        <f>+AP41/AO41-1</f>
        <v>0.12395411357414421</v>
      </c>
      <c r="AQ42" s="15"/>
      <c r="AR42" s="15"/>
      <c r="AS42" s="15"/>
      <c r="AT42" s="6"/>
    </row>
    <row r="43" spans="1:48" x14ac:dyDescent="0.25">
      <c r="A43" s="29"/>
      <c r="B43" s="30"/>
      <c r="C43" s="30"/>
      <c r="D43" s="30"/>
      <c r="E43" s="30"/>
      <c r="F43" s="61"/>
      <c r="G43" s="30"/>
      <c r="H43" s="30"/>
      <c r="I43" s="30"/>
      <c r="J43" s="30"/>
      <c r="K43" s="61"/>
      <c r="L43" s="30"/>
      <c r="M43" s="62"/>
      <c r="N43" s="30"/>
      <c r="O43" s="30"/>
      <c r="P43" s="30"/>
      <c r="Q43" s="30"/>
      <c r="R43" s="62"/>
      <c r="S43" s="30"/>
      <c r="T43" s="62"/>
      <c r="U43" s="30"/>
      <c r="V43" s="30"/>
      <c r="W43" s="30"/>
      <c r="X43" s="30"/>
      <c r="Y43" s="61"/>
      <c r="Z43" s="30"/>
      <c r="AA43" s="62"/>
      <c r="AB43" s="30"/>
      <c r="AC43" s="30"/>
      <c r="AD43" s="30"/>
      <c r="AE43" s="30"/>
      <c r="AF43" s="61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1"/>
    </row>
    <row r="44" spans="1:48" s="10" customFormat="1" ht="13" x14ac:dyDescent="0.3">
      <c r="A44" s="1" t="s">
        <v>52</v>
      </c>
      <c r="B44" s="5">
        <v>-15420</v>
      </c>
      <c r="C44" s="5">
        <v>-16273</v>
      </c>
      <c r="D44" s="5">
        <v>-16017</v>
      </c>
      <c r="E44" s="5">
        <v>-18219</v>
      </c>
      <c r="F44" s="24"/>
      <c r="G44" s="5">
        <v>-3792</v>
      </c>
      <c r="H44" s="5">
        <v>-6331</v>
      </c>
      <c r="I44" s="5">
        <v>-4584</v>
      </c>
      <c r="J44" s="5">
        <f>-19064-SUM(G44:I44)</f>
        <v>-4357</v>
      </c>
      <c r="K44" s="5"/>
      <c r="L44" s="43">
        <f t="shared" ref="L44:L49" si="8">+SUM(G44:J44)</f>
        <v>-19064</v>
      </c>
      <c r="M44" s="43"/>
      <c r="N44" s="5">
        <v>-4302</v>
      </c>
      <c r="O44" s="5">
        <v>-5690</v>
      </c>
      <c r="P44" s="5">
        <v>-3941</v>
      </c>
      <c r="Q44" s="5">
        <f>-17804-SUM(N44:P44)</f>
        <v>-3871</v>
      </c>
      <c r="R44" s="43"/>
      <c r="S44" s="6">
        <f>+SUM(N44:Q44)</f>
        <v>-17804</v>
      </c>
      <c r="T44" s="43"/>
      <c r="U44" s="39">
        <v>-3531</v>
      </c>
      <c r="V44" s="39">
        <v>-5964</v>
      </c>
      <c r="W44" s="39">
        <v>-4339</v>
      </c>
      <c r="X44" s="39">
        <v>-1438</v>
      </c>
      <c r="Y44" s="43"/>
      <c r="Z44" s="6">
        <f>SUM(U44:X44)</f>
        <v>-15272</v>
      </c>
      <c r="AA44" s="43"/>
      <c r="AB44" s="39">
        <v>-3294</v>
      </c>
      <c r="AC44" s="39">
        <v>-3856</v>
      </c>
      <c r="AD44" s="39">
        <v>-3037</v>
      </c>
      <c r="AE44" s="39">
        <f>-13501-SUM(AB44:AD44)</f>
        <v>-3314</v>
      </c>
      <c r="AF44" s="43"/>
      <c r="AG44" s="6">
        <f>SUM(AB44:AE44)</f>
        <v>-13501</v>
      </c>
      <c r="AH44" s="6"/>
      <c r="AI44" s="6">
        <f>+AI$41*-AQ44</f>
        <v>-6650.1098399999992</v>
      </c>
      <c r="AJ44" s="6">
        <f t="shared" ref="AJ44:AL44" si="9">+AJ$41*-AR44</f>
        <v>-7122.9325499999995</v>
      </c>
      <c r="AK44" s="6">
        <f t="shared" si="9"/>
        <v>-7269.6851999999999</v>
      </c>
      <c r="AL44" s="6">
        <f t="shared" si="9"/>
        <v>-8030.04475</v>
      </c>
      <c r="AM44" s="6"/>
      <c r="AN44" s="6">
        <f t="shared" ref="AN44:AN45" si="10">SUM(AI44:AL44)</f>
        <v>-29072.77234</v>
      </c>
      <c r="AO44" s="6">
        <f>+AO$41*-AU44</f>
        <v>-33082.341805599994</v>
      </c>
      <c r="AP44" s="6">
        <f>+AP$41*-AV44</f>
        <v>-37587.197573842503</v>
      </c>
      <c r="AQ44" s="91">
        <v>8.7999999999999995E-2</v>
      </c>
      <c r="AR44" s="91">
        <v>8.8999999999999996E-2</v>
      </c>
      <c r="AS44" s="91">
        <v>0.09</v>
      </c>
      <c r="AT44" s="91">
        <v>9.0999999999999998E-2</v>
      </c>
      <c r="AU44" s="91">
        <v>9.1999999999999998E-2</v>
      </c>
      <c r="AV44" s="91">
        <v>9.2999999999999999E-2</v>
      </c>
    </row>
    <row r="45" spans="1:48" ht="14.5" x14ac:dyDescent="0.45">
      <c r="A45" s="1" t="s">
        <v>53</v>
      </c>
      <c r="B45" s="42">
        <v>-22933</v>
      </c>
      <c r="C45" s="42">
        <v>-26637</v>
      </c>
      <c r="D45" s="42">
        <v>-30061</v>
      </c>
      <c r="E45" s="42">
        <v>-34013</v>
      </c>
      <c r="F45" s="25"/>
      <c r="G45" s="42">
        <v>-9854</v>
      </c>
      <c r="H45" s="42">
        <v>-10629</v>
      </c>
      <c r="I45" s="42">
        <v>-11031</v>
      </c>
      <c r="J45" s="42">
        <f>-43586-SUM(G45:I45)</f>
        <v>-12072</v>
      </c>
      <c r="K45" s="5"/>
      <c r="L45" s="44">
        <f t="shared" si="8"/>
        <v>-43586</v>
      </c>
      <c r="M45" s="44"/>
      <c r="N45" s="42">
        <v>-11150</v>
      </c>
      <c r="O45" s="42">
        <v>-11798</v>
      </c>
      <c r="P45" s="42">
        <v>-12187</v>
      </c>
      <c r="Q45" s="42">
        <f>-48059-SUM(N45:P45)</f>
        <v>-12924</v>
      </c>
      <c r="R45" s="44"/>
      <c r="S45" s="45">
        <f>+SUM(N45:Q45)</f>
        <v>-48059</v>
      </c>
      <c r="T45" s="44"/>
      <c r="U45" s="74">
        <v>-12771</v>
      </c>
      <c r="V45" s="74">
        <v>-13659</v>
      </c>
      <c r="W45" s="74">
        <v>-14166</v>
      </c>
      <c r="X45" s="74">
        <v>-18246</v>
      </c>
      <c r="Y45" s="44"/>
      <c r="Z45" s="45">
        <f>SUM(U45:X45)</f>
        <v>-58842</v>
      </c>
      <c r="AA45" s="44"/>
      <c r="AB45" s="74">
        <v>-16805</v>
      </c>
      <c r="AC45" s="74">
        <v>-17943</v>
      </c>
      <c r="AD45" s="74">
        <v>-18882</v>
      </c>
      <c r="AE45" s="74">
        <f>-74330-SUM(AB45:AD45)</f>
        <v>-20700</v>
      </c>
      <c r="AF45" s="44"/>
      <c r="AG45" s="45">
        <f>SUM(AB45:AE45)</f>
        <v>-74330</v>
      </c>
      <c r="AH45" s="45"/>
      <c r="AI45" s="45">
        <f>+AI$41*-AQ45</f>
        <v>-17532.107759999999</v>
      </c>
      <c r="AJ45" s="45">
        <f t="shared" ref="AJ45" si="11">+AJ$41*-AR45</f>
        <v>-18567.644400000001</v>
      </c>
      <c r="AK45" s="45">
        <f t="shared" ref="AK45" si="12">+AK$41*-AS45</f>
        <v>-18739.632959999999</v>
      </c>
      <c r="AL45" s="45">
        <f t="shared" ref="AL45" si="13">+AL$41*-AT45</f>
        <v>-20472.202000000001</v>
      </c>
      <c r="AM45" s="45"/>
      <c r="AN45" s="45">
        <f t="shared" si="10"/>
        <v>-75311.587120000011</v>
      </c>
      <c r="AO45" s="45">
        <f>+AO$41*-AU45</f>
        <v>-82705.854513999991</v>
      </c>
      <c r="AP45" s="45">
        <f>+AP$41*-AV45</f>
        <v>-88915.951249949998</v>
      </c>
      <c r="AQ45" s="91">
        <v>0.23200000000000001</v>
      </c>
      <c r="AR45" s="91">
        <v>0.23200000000000001</v>
      </c>
      <c r="AS45" s="91">
        <v>0.23200000000000001</v>
      </c>
      <c r="AT45" s="91">
        <v>0.23200000000000001</v>
      </c>
      <c r="AU45" s="91">
        <v>0.23</v>
      </c>
      <c r="AV45" s="91">
        <v>0.22</v>
      </c>
    </row>
    <row r="46" spans="1:48" ht="13" x14ac:dyDescent="0.3">
      <c r="A46" s="1" t="s">
        <v>32</v>
      </c>
      <c r="B46" s="6">
        <f>+B41+SUM(B44:B45)</f>
        <v>72007</v>
      </c>
      <c r="C46" s="6">
        <f>+C41+SUM(C44:C45)</f>
        <v>82933</v>
      </c>
      <c r="D46" s="6">
        <f>+D41+SUM(D44:D45)</f>
        <v>96937</v>
      </c>
      <c r="E46" s="6">
        <f>+E41+SUM(E44:E45)</f>
        <v>115856</v>
      </c>
      <c r="F46" s="25"/>
      <c r="G46" s="6">
        <f t="shared" ref="G46:J46" si="14">+G41+SUM(G44:G45)</f>
        <v>31671</v>
      </c>
      <c r="H46" s="6">
        <f t="shared" si="14"/>
        <v>34768</v>
      </c>
      <c r="I46" s="6">
        <f t="shared" si="14"/>
        <v>33745</v>
      </c>
      <c r="J46" s="6">
        <f t="shared" si="14"/>
        <v>35436</v>
      </c>
      <c r="K46" s="13"/>
      <c r="L46" s="6">
        <f>+L41+SUM(L44:L45)</f>
        <v>135620</v>
      </c>
      <c r="M46" s="6"/>
      <c r="N46" s="6">
        <f t="shared" ref="N46:P46" si="15">+N41+SUM(N44:N45)</f>
        <v>34670</v>
      </c>
      <c r="O46" s="6">
        <f t="shared" si="15"/>
        <v>35259</v>
      </c>
      <c r="P46" s="6">
        <f t="shared" si="15"/>
        <v>36729</v>
      </c>
      <c r="Q46" s="6">
        <f>+Q41+SUM(Q44:Q45)</f>
        <v>39394</v>
      </c>
      <c r="R46" s="13"/>
      <c r="S46" s="6">
        <f>+S41+SUM(S44:S45)</f>
        <v>146052</v>
      </c>
      <c r="T46" s="13"/>
      <c r="U46" s="6">
        <f>+U41+SUM(U44:U45)</f>
        <v>40215</v>
      </c>
      <c r="V46" s="6">
        <f>+V41+SUM(V44:V45)</f>
        <v>42397</v>
      </c>
      <c r="W46" s="6">
        <f>+W41+SUM(W44:W45)</f>
        <v>43353</v>
      </c>
      <c r="X46" s="6">
        <f>+X41+SUM(X44:X45)</f>
        <v>45043</v>
      </c>
      <c r="Y46" s="13"/>
      <c r="Z46" s="6">
        <f>+Z41+SUM(Z44:Z45)</f>
        <v>171008</v>
      </c>
      <c r="AA46" s="13"/>
      <c r="AB46" s="6">
        <f>+AB41+SUM(AB44:AB45)</f>
        <v>45486</v>
      </c>
      <c r="AC46" s="6">
        <f>+AC41+SUM(AC44:AC45)</f>
        <v>47833</v>
      </c>
      <c r="AD46" s="6">
        <f>+AD41+SUM(AD44:AD45)</f>
        <v>48147</v>
      </c>
      <c r="AE46" s="6">
        <f>+AE41+SUM(AE44:AE45)</f>
        <v>52427</v>
      </c>
      <c r="AF46" s="13"/>
      <c r="AG46" s="6">
        <f>+AG41+SUM(AG44:AG45)</f>
        <v>193893</v>
      </c>
      <c r="AH46" s="6"/>
      <c r="AI46" s="6">
        <f t="shared" ref="AI46:AL46" si="16">+AI41+SUM(AI44:AI45)</f>
        <v>51387.212399999997</v>
      </c>
      <c r="AJ46" s="6">
        <f t="shared" si="16"/>
        <v>54342.373049999995</v>
      </c>
      <c r="AK46" s="6">
        <f t="shared" si="16"/>
        <v>54764.961840000004</v>
      </c>
      <c r="AL46" s="6">
        <f t="shared" si="16"/>
        <v>59740.003249999994</v>
      </c>
      <c r="AM46" s="6"/>
      <c r="AN46" s="6">
        <f>+AN41+SUM(AN44:AN45)</f>
        <v>220234.55053999997</v>
      </c>
      <c r="AO46" s="6">
        <f>+AO41+SUM(AO44:AO45)</f>
        <v>243802.47548039997</v>
      </c>
      <c r="AP46" s="6">
        <f>+AP41+SUM(AP44:AP45)</f>
        <v>277660.26594870747</v>
      </c>
      <c r="AQ46" s="6"/>
      <c r="AR46" s="6"/>
      <c r="AS46" s="6"/>
      <c r="AT46" s="91"/>
      <c r="AU46" s="91"/>
    </row>
    <row r="47" spans="1:48" ht="13" x14ac:dyDescent="0.3">
      <c r="A47" s="12" t="s">
        <v>5</v>
      </c>
      <c r="B47" s="18">
        <f>B46/B$41</f>
        <v>0.65247372236317502</v>
      </c>
      <c r="C47" s="18">
        <f>C46/C$41</f>
        <v>0.65901957200638894</v>
      </c>
      <c r="D47" s="18">
        <f>D46/D$41</f>
        <v>0.67781001992797962</v>
      </c>
      <c r="E47" s="18">
        <f>E46/E$41</f>
        <v>0.68925800771024703</v>
      </c>
      <c r="F47" s="25"/>
      <c r="G47" s="18">
        <f>G46/G$41</f>
        <v>0.6988768012004325</v>
      </c>
      <c r="H47" s="18">
        <f>H46/H$41</f>
        <v>0.67213114754098358</v>
      </c>
      <c r="I47" s="18">
        <f>I46/I$41</f>
        <v>0.68365072933549431</v>
      </c>
      <c r="J47" s="18">
        <f>J46/J$41</f>
        <v>0.68323532247180174</v>
      </c>
      <c r="K47" s="13"/>
      <c r="L47" s="18">
        <f>L46/L$41</f>
        <v>0.68401674484289099</v>
      </c>
      <c r="M47" s="18"/>
      <c r="N47" s="18">
        <f>N46/N$41</f>
        <v>0.69171222217788597</v>
      </c>
      <c r="O47" s="18">
        <f>O46/O$41</f>
        <v>0.66845507801391546</v>
      </c>
      <c r="P47" s="18">
        <f>P46/P$41</f>
        <v>0.69487485101311086</v>
      </c>
      <c r="Q47" s="18">
        <f>Q46/Q$41</f>
        <v>0.70109807969531401</v>
      </c>
      <c r="R47" s="13"/>
      <c r="S47" s="18">
        <f>S46/S$41</f>
        <v>0.68920085883491022</v>
      </c>
      <c r="T47" s="13"/>
      <c r="U47" s="18">
        <f>U46/U$41</f>
        <v>0.71155581506449384</v>
      </c>
      <c r="V47" s="18">
        <f>V46/V$41</f>
        <v>0.68360206385037081</v>
      </c>
      <c r="W47" s="18">
        <f>W46/W$41</f>
        <v>0.70084710142584628</v>
      </c>
      <c r="X47" s="18">
        <f>X46/X$41</f>
        <v>0.69589197707293715</v>
      </c>
      <c r="Y47" s="13"/>
      <c r="Z47" s="18">
        <f>Z46/Z$41</f>
        <v>0.69764443827971379</v>
      </c>
      <c r="AA47" s="13"/>
      <c r="AB47" s="18">
        <f>AB46/AB$41</f>
        <v>0.69354273080734929</v>
      </c>
      <c r="AC47" s="18">
        <f>AC46/AC$41</f>
        <v>0.68693991268382348</v>
      </c>
      <c r="AD47" s="18">
        <f>AD46/AD$41</f>
        <v>0.6871663859789342</v>
      </c>
      <c r="AE47" s="18">
        <f>AE46/AE$41</f>
        <v>0.68584921704320978</v>
      </c>
      <c r="AF47" s="13"/>
      <c r="AG47" s="18">
        <f>AG46/AG$41</f>
        <v>0.68823742386165188</v>
      </c>
      <c r="AH47" s="18"/>
      <c r="AI47" s="18">
        <f t="shared" ref="AI47:AL47" si="17">AI46/AI$41</f>
        <v>0.68</v>
      </c>
      <c r="AJ47" s="18">
        <f t="shared" si="17"/>
        <v>0.67899999999999994</v>
      </c>
      <c r="AK47" s="18">
        <f t="shared" si="17"/>
        <v>0.67800000000000005</v>
      </c>
      <c r="AL47" s="18">
        <f t="shared" si="17"/>
        <v>0.67699999999999994</v>
      </c>
      <c r="AM47" s="18"/>
      <c r="AN47" s="18">
        <f>AN46/AN$41</f>
        <v>0.67844029955001695</v>
      </c>
      <c r="AO47" s="18">
        <f>AO46/AO$41</f>
        <v>0.67800000000000005</v>
      </c>
      <c r="AP47" s="18">
        <f>AP46/AP$41</f>
        <v>0.68699999999999994</v>
      </c>
      <c r="AQ47" s="18"/>
      <c r="AR47" s="18"/>
      <c r="AS47" s="18"/>
      <c r="AT47" s="91"/>
      <c r="AU47" s="91"/>
    </row>
    <row r="48" spans="1:48" ht="13" x14ac:dyDescent="0.3">
      <c r="A48" s="1"/>
      <c r="B48" s="63"/>
      <c r="C48" s="63"/>
      <c r="D48" s="63"/>
      <c r="E48" s="63"/>
      <c r="F48" s="64"/>
      <c r="G48" s="63"/>
      <c r="H48" s="63"/>
      <c r="I48" s="63"/>
      <c r="J48" s="63"/>
      <c r="K48" s="65"/>
      <c r="L48" s="63"/>
      <c r="M48" s="3"/>
      <c r="N48" s="63"/>
      <c r="O48" s="63"/>
      <c r="P48" s="63"/>
      <c r="Q48" s="63"/>
      <c r="R48" s="1"/>
      <c r="S48" s="63"/>
      <c r="T48" s="1"/>
      <c r="U48" s="63"/>
      <c r="V48" s="63"/>
      <c r="W48" s="63"/>
      <c r="X48" s="63"/>
      <c r="Y48" s="1"/>
      <c r="Z48" s="63"/>
      <c r="AA48" s="1"/>
      <c r="AB48" s="63"/>
      <c r="AC48" s="63"/>
      <c r="AD48" s="63"/>
      <c r="AE48" s="63"/>
      <c r="AF48" s="1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91"/>
      <c r="AU48" s="91"/>
    </row>
    <row r="49" spans="1:51" ht="13" x14ac:dyDescent="0.3">
      <c r="A49" s="1" t="s">
        <v>46</v>
      </c>
      <c r="B49" s="5">
        <v>-14726</v>
      </c>
      <c r="C49" s="5">
        <v>-16876</v>
      </c>
      <c r="D49" s="5">
        <v>-19269</v>
      </c>
      <c r="E49" s="5">
        <v>-20716</v>
      </c>
      <c r="F49" s="25"/>
      <c r="G49" s="5">
        <v>-5599</v>
      </c>
      <c r="H49" s="5">
        <v>-5758</v>
      </c>
      <c r="I49" s="5">
        <v>-6306</v>
      </c>
      <c r="J49" s="5">
        <f>-24512-SUM(G49:I49)</f>
        <v>-6849</v>
      </c>
      <c r="K49" s="13"/>
      <c r="L49" s="43">
        <f t="shared" si="8"/>
        <v>-24512</v>
      </c>
      <c r="M49" s="43"/>
      <c r="N49" s="5">
        <v>-6628</v>
      </c>
      <c r="O49" s="5">
        <v>-6844</v>
      </c>
      <c r="P49" s="5">
        <v>-6984</v>
      </c>
      <c r="Q49" s="5">
        <f>-27195-SUM(N49:P49)</f>
        <v>-6739</v>
      </c>
      <c r="R49" s="43"/>
      <c r="S49" s="6">
        <f>+SUM(N49:Q49)</f>
        <v>-27195</v>
      </c>
      <c r="T49" s="43"/>
      <c r="U49" s="39">
        <v>-6659</v>
      </c>
      <c r="V49" s="39">
        <v>-7142</v>
      </c>
      <c r="W49" s="39">
        <v>-7653</v>
      </c>
      <c r="X49" s="39">
        <v>-8056</v>
      </c>
      <c r="Y49" s="43"/>
      <c r="Z49" s="6">
        <f>SUM(U49:X49)</f>
        <v>-29510</v>
      </c>
      <c r="AA49" s="43"/>
      <c r="AB49" s="39">
        <v>-7544</v>
      </c>
      <c r="AC49" s="39">
        <v>-7917</v>
      </c>
      <c r="AD49" s="39">
        <v>-8198</v>
      </c>
      <c r="AE49" s="39">
        <f>-32488-SUM(AB49:AD49)</f>
        <v>-8829</v>
      </c>
      <c r="AF49" s="43"/>
      <c r="AG49" s="6">
        <f>SUM(AB49:AE49)</f>
        <v>-32488</v>
      </c>
      <c r="AH49" s="6"/>
      <c r="AI49" s="6">
        <f t="shared" ref="AI49:AI51" si="18">+AI$41*-AQ49</f>
        <v>-7632.5124299999998</v>
      </c>
      <c r="AJ49" s="6">
        <f t="shared" ref="AJ49:AJ51" si="19">+AJ$41*-AR49</f>
        <v>-8083.3279499999999</v>
      </c>
      <c r="AK49" s="6">
        <f t="shared" ref="AK49:AK51" si="20">+AK$41*-AS49</f>
        <v>-8238.9765599999992</v>
      </c>
      <c r="AL49" s="6">
        <f t="shared" ref="AL49:AL51" si="21">+AL$41*-AT49</f>
        <v>-8824.2250000000004</v>
      </c>
      <c r="AM49" s="6"/>
      <c r="AN49" s="6">
        <f t="shared" ref="AN49:AN51" si="22">SUM(AI49:AL49)</f>
        <v>-32779.041939999996</v>
      </c>
      <c r="AO49" s="6">
        <f t="shared" ref="AO49:AP51" si="23">+AO$41*-AU49</f>
        <v>-38476.201882599991</v>
      </c>
      <c r="AP49" s="6">
        <f t="shared" si="23"/>
        <v>-44457.975624974999</v>
      </c>
      <c r="AQ49" s="91">
        <v>0.10100000000000001</v>
      </c>
      <c r="AR49" s="91">
        <v>0.10100000000000001</v>
      </c>
      <c r="AS49" s="91">
        <v>0.10199999999999999</v>
      </c>
      <c r="AT49" s="91">
        <v>0.1</v>
      </c>
      <c r="AU49" s="91">
        <v>0.107</v>
      </c>
      <c r="AV49" s="91">
        <v>0.11</v>
      </c>
    </row>
    <row r="50" spans="1:51" ht="13" x14ac:dyDescent="0.3">
      <c r="A50" s="1" t="s">
        <v>47</v>
      </c>
      <c r="B50" s="5">
        <v>-17469</v>
      </c>
      <c r="C50" s="5">
        <v>-18213</v>
      </c>
      <c r="D50" s="5">
        <v>-19598</v>
      </c>
      <c r="E50" s="5">
        <v>-20117</v>
      </c>
      <c r="F50" s="25"/>
      <c r="G50" s="5">
        <v>-4547</v>
      </c>
      <c r="H50" s="5">
        <v>-5379</v>
      </c>
      <c r="I50" s="5">
        <v>-5595</v>
      </c>
      <c r="J50" s="5">
        <f>-21825-SUM(G50:I50)</f>
        <v>-6304</v>
      </c>
      <c r="K50" s="13"/>
      <c r="L50" s="43">
        <f t="shared" ref="L50:L51" si="24">+SUM(G50:J50)</f>
        <v>-21825</v>
      </c>
      <c r="M50" s="43"/>
      <c r="N50" s="5">
        <v>-5126</v>
      </c>
      <c r="O50" s="5">
        <v>-5679</v>
      </c>
      <c r="P50" s="5">
        <v>-5750</v>
      </c>
      <c r="Q50" s="5">
        <f>-22759-SUM(N50:P50)</f>
        <v>-6204</v>
      </c>
      <c r="R50" s="43"/>
      <c r="S50" s="6">
        <f>+SUM(N50:Q50)</f>
        <v>-22759</v>
      </c>
      <c r="T50" s="43"/>
      <c r="U50" s="39">
        <v>-5187</v>
      </c>
      <c r="V50" s="39">
        <v>-6246</v>
      </c>
      <c r="W50" s="39">
        <v>-6207</v>
      </c>
      <c r="X50" s="39">
        <v>-6816</v>
      </c>
      <c r="Y50" s="43"/>
      <c r="Z50" s="6">
        <f>SUM(U50:X50)</f>
        <v>-24456</v>
      </c>
      <c r="AA50" s="43"/>
      <c r="AB50" s="39">
        <v>-5717</v>
      </c>
      <c r="AC50" s="39">
        <v>-6440</v>
      </c>
      <c r="AD50" s="39">
        <v>-6212</v>
      </c>
      <c r="AE50" s="39">
        <f>-25654-SUM(AB50:AD50)</f>
        <v>-7285</v>
      </c>
      <c r="AF50" s="43"/>
      <c r="AG50" s="6">
        <f>SUM(AB50:AE50)</f>
        <v>-25654</v>
      </c>
      <c r="AH50" s="6"/>
      <c r="AI50" s="6">
        <f t="shared" si="18"/>
        <v>-6121.1238299999995</v>
      </c>
      <c r="AJ50" s="6">
        <f t="shared" si="19"/>
        <v>-6722.7678000000005</v>
      </c>
      <c r="AK50" s="6">
        <f t="shared" si="20"/>
        <v>-7108.1366399999997</v>
      </c>
      <c r="AL50" s="6">
        <f t="shared" si="21"/>
        <v>-8118.2870000000003</v>
      </c>
      <c r="AM50" s="6"/>
      <c r="AN50" s="6">
        <f t="shared" si="22"/>
        <v>-28070.315269999999</v>
      </c>
      <c r="AO50" s="6">
        <f t="shared" si="23"/>
        <v>-32363.160461999996</v>
      </c>
      <c r="AP50" s="6">
        <f t="shared" si="23"/>
        <v>-36374.707329525001</v>
      </c>
      <c r="AQ50" s="91">
        <v>8.1000000000000003E-2</v>
      </c>
      <c r="AR50" s="91">
        <v>8.4000000000000005E-2</v>
      </c>
      <c r="AS50" s="91">
        <v>8.7999999999999995E-2</v>
      </c>
      <c r="AT50" s="91">
        <v>9.1999999999999998E-2</v>
      </c>
      <c r="AU50" s="91">
        <v>0.09</v>
      </c>
      <c r="AV50" s="91">
        <v>0.09</v>
      </c>
    </row>
    <row r="51" spans="1:51" s="56" customFormat="1" ht="14.5" x14ac:dyDescent="0.45">
      <c r="A51" s="1" t="s">
        <v>48</v>
      </c>
      <c r="B51" s="13">
        <v>-4754</v>
      </c>
      <c r="C51" s="13">
        <v>-4885</v>
      </c>
      <c r="D51" s="13">
        <v>-5111</v>
      </c>
      <c r="E51" s="13">
        <v>-5107</v>
      </c>
      <c r="F51" s="25"/>
      <c r="G51" s="13">
        <v>-1287</v>
      </c>
      <c r="H51" s="13">
        <v>-1384</v>
      </c>
      <c r="I51" s="13">
        <v>-1480</v>
      </c>
      <c r="J51" s="13">
        <f>-5900-SUM(G51:I51)</f>
        <v>-1749</v>
      </c>
      <c r="K51" s="13"/>
      <c r="L51" s="55">
        <f t="shared" si="24"/>
        <v>-5900</v>
      </c>
      <c r="M51" s="55"/>
      <c r="N51" s="13">
        <v>-1398</v>
      </c>
      <c r="O51" s="13">
        <v>-2337</v>
      </c>
      <c r="P51" s="13">
        <v>-1643</v>
      </c>
      <c r="Q51" s="13">
        <f>-7575-SUM(N51:P51)</f>
        <v>-2197</v>
      </c>
      <c r="R51" s="55"/>
      <c r="S51" s="19">
        <f>+SUM(N51:Q51)</f>
        <v>-7575</v>
      </c>
      <c r="T51" s="55"/>
      <c r="U51" s="74">
        <v>-1474</v>
      </c>
      <c r="V51" s="74">
        <v>-1977</v>
      </c>
      <c r="W51" s="74">
        <v>-1912</v>
      </c>
      <c r="X51" s="74">
        <v>-2246</v>
      </c>
      <c r="Y51" s="55"/>
      <c r="Z51" s="19">
        <f>SUM(U51:X51)</f>
        <v>-7609</v>
      </c>
      <c r="AA51" s="55"/>
      <c r="AB51" s="74">
        <v>-1673</v>
      </c>
      <c r="AC51" s="74">
        <v>-1823</v>
      </c>
      <c r="AD51" s="72">
        <v>-1737</v>
      </c>
      <c r="AE51" s="72">
        <f>-7223-SUM(AB51:AD51)</f>
        <v>-1990</v>
      </c>
      <c r="AF51" s="55"/>
      <c r="AG51" s="19">
        <f>SUM(AB51:AE51)</f>
        <v>-7223</v>
      </c>
      <c r="AH51" s="19"/>
      <c r="AI51" s="19">
        <f t="shared" si="18"/>
        <v>-2115.9440399999999</v>
      </c>
      <c r="AJ51" s="19">
        <f t="shared" si="19"/>
        <v>-2481.0214499999997</v>
      </c>
      <c r="AK51" s="19">
        <f t="shared" si="20"/>
        <v>-2746.3255200000003</v>
      </c>
      <c r="AL51" s="19">
        <f t="shared" si="21"/>
        <v>-3353.2055</v>
      </c>
      <c r="AM51" s="19"/>
      <c r="AN51" s="19">
        <f t="shared" si="22"/>
        <v>-10696.496510000001</v>
      </c>
      <c r="AO51" s="19">
        <f t="shared" si="23"/>
        <v>-12226.082841199999</v>
      </c>
      <c r="AP51" s="19">
        <f t="shared" si="23"/>
        <v>-14145.719517037502</v>
      </c>
      <c r="AQ51" s="91">
        <v>2.8000000000000001E-2</v>
      </c>
      <c r="AR51" s="91">
        <v>3.1E-2</v>
      </c>
      <c r="AS51" s="91">
        <v>3.4000000000000002E-2</v>
      </c>
      <c r="AT51" s="91">
        <v>3.7999999999999999E-2</v>
      </c>
      <c r="AU51" s="91">
        <v>3.4000000000000002E-2</v>
      </c>
      <c r="AV51" s="91">
        <v>3.5000000000000003E-2</v>
      </c>
    </row>
    <row r="52" spans="1:51" ht="13" x14ac:dyDescent="0.3">
      <c r="A52" s="1" t="s">
        <v>20</v>
      </c>
      <c r="B52" s="6">
        <f>+B46+SUM(B49:B51)</f>
        <v>35058</v>
      </c>
      <c r="C52" s="6">
        <f>+C46+SUM(C49:C51)</f>
        <v>42959</v>
      </c>
      <c r="D52" s="6">
        <f>+D46+SUM(D49:D51)</f>
        <v>52959</v>
      </c>
      <c r="E52" s="6">
        <f>+E46+SUM(E49:E51)</f>
        <v>69916</v>
      </c>
      <c r="F52" s="6"/>
      <c r="G52" s="6">
        <f>+G46+SUM(G49:G51)</f>
        <v>20238</v>
      </c>
      <c r="H52" s="6">
        <f>+H46+SUM(H49:H51)</f>
        <v>22247</v>
      </c>
      <c r="I52" s="6">
        <f>+I46+SUM(I49:I51)</f>
        <v>20364</v>
      </c>
      <c r="J52" s="6">
        <f>+J46+SUM(J49:J51)</f>
        <v>20534</v>
      </c>
      <c r="K52" s="6"/>
      <c r="L52" s="6">
        <f>+L46+SUM(L49:L51)</f>
        <v>83383</v>
      </c>
      <c r="M52" s="6"/>
      <c r="N52" s="6">
        <f>+N46+SUM(N49:N51)</f>
        <v>21518</v>
      </c>
      <c r="O52" s="6">
        <f>+O46+SUM(O49:O51)</f>
        <v>20399</v>
      </c>
      <c r="P52" s="6">
        <f>+P46+SUM(P49:P51)</f>
        <v>22352</v>
      </c>
      <c r="Q52" s="6">
        <f>+Q46+SUM(Q49:Q51)</f>
        <v>24254</v>
      </c>
      <c r="R52" s="6"/>
      <c r="S52" s="6">
        <f>+S46+SUM(S49:S51)</f>
        <v>88523</v>
      </c>
      <c r="T52" s="6"/>
      <c r="U52" s="6">
        <f>+U46+SUM(U49:U51)</f>
        <v>26895</v>
      </c>
      <c r="V52" s="6">
        <f>+V46+SUM(V49:V51)</f>
        <v>27032</v>
      </c>
      <c r="W52" s="6">
        <f>+W46+SUM(W49:W51)</f>
        <v>27581</v>
      </c>
      <c r="X52" s="6">
        <f>+X46+SUM(X49:X51)</f>
        <v>27925</v>
      </c>
      <c r="Y52" s="6"/>
      <c r="Z52" s="6">
        <f>+Z46+SUM(Z49:Z51)</f>
        <v>109433</v>
      </c>
      <c r="AA52" s="6"/>
      <c r="AB52" s="6">
        <f>+AB46+SUM(AB49:AB51)</f>
        <v>30552</v>
      </c>
      <c r="AC52" s="6">
        <f>+AC46+SUM(AC49:AC51)</f>
        <v>31653</v>
      </c>
      <c r="AD52" s="6">
        <f>+AD46+SUM(AD49:AD51)</f>
        <v>32000</v>
      </c>
      <c r="AE52" s="6">
        <f>+AE46+SUM(AE49:AE51)</f>
        <v>34323</v>
      </c>
      <c r="AF52" s="6"/>
      <c r="AG52" s="6">
        <f>+AG46+SUM(AG49:AG51)</f>
        <v>128528</v>
      </c>
      <c r="AH52" s="6"/>
      <c r="AI52" s="6">
        <f t="shared" ref="AI52:AL52" si="25">+AI46+SUM(AI49:AI51)</f>
        <v>35517.632099999995</v>
      </c>
      <c r="AJ52" s="6">
        <f t="shared" si="25"/>
        <v>37055.255849999994</v>
      </c>
      <c r="AK52" s="6">
        <f t="shared" si="25"/>
        <v>36671.523120000005</v>
      </c>
      <c r="AL52" s="6">
        <f t="shared" si="25"/>
        <v>39444.285749999995</v>
      </c>
      <c r="AM52" s="6"/>
      <c r="AN52" s="6">
        <f>+AN46+SUM(AN49:AN51)</f>
        <v>148688.69681999995</v>
      </c>
      <c r="AO52" s="6">
        <f>+AO46+SUM(AO49:AO51)</f>
        <v>160737.0302946</v>
      </c>
      <c r="AP52" s="6">
        <f>+AP46+SUM(AP49:AP51)</f>
        <v>182681.86347716997</v>
      </c>
      <c r="AQ52" s="6"/>
      <c r="AR52" s="6"/>
      <c r="AS52" s="6"/>
      <c r="AT52" s="39"/>
      <c r="AU52" s="66"/>
      <c r="AV52" s="66"/>
      <c r="AW52" s="66"/>
      <c r="AX52" s="67"/>
      <c r="AY52" s="67"/>
    </row>
    <row r="53" spans="1:51" ht="13" x14ac:dyDescent="0.3">
      <c r="A53" s="12" t="s">
        <v>5</v>
      </c>
      <c r="B53" s="18">
        <f>B52/B$41</f>
        <v>0.31766944545125048</v>
      </c>
      <c r="C53" s="18">
        <f>C52/C$41</f>
        <v>0.3413698020549415</v>
      </c>
      <c r="D53" s="18">
        <f>D52/D$41</f>
        <v>0.37030381428521486</v>
      </c>
      <c r="E53" s="18">
        <f>E52/E$41</f>
        <v>0.41594878872971303</v>
      </c>
      <c r="F53" s="15"/>
      <c r="G53" s="18">
        <f>G52/G$41</f>
        <v>0.44658737339188381</v>
      </c>
      <c r="H53" s="18">
        <f>H52/H$41</f>
        <v>0.43007655428394681</v>
      </c>
      <c r="I53" s="18">
        <f>I52/I$41</f>
        <v>0.41256077795786061</v>
      </c>
      <c r="J53" s="18">
        <f>J52/J$41</f>
        <v>0.3959124650535043</v>
      </c>
      <c r="K53" s="18"/>
      <c r="L53" s="18">
        <f>L52/L$41</f>
        <v>0.4205527815604983</v>
      </c>
      <c r="M53" s="18"/>
      <c r="N53" s="18">
        <f>N52/N$41</f>
        <v>0.42931247755476637</v>
      </c>
      <c r="O53" s="18">
        <f>O52/O$41</f>
        <v>0.3867328947617874</v>
      </c>
      <c r="P53" s="18">
        <f>P52/P$41</f>
        <v>0.42287681858599618</v>
      </c>
      <c r="Q53" s="18">
        <f>Q52/Q$41</f>
        <v>0.4316503230169606</v>
      </c>
      <c r="R53" s="18"/>
      <c r="S53" s="18">
        <f>S52/S$41</f>
        <v>0.41772880636104098</v>
      </c>
      <c r="T53" s="18"/>
      <c r="U53" s="18">
        <f>U52/U$41</f>
        <v>0.47587451563246458</v>
      </c>
      <c r="V53" s="18">
        <f>V52/V$41</f>
        <v>0.43585940019348596</v>
      </c>
      <c r="W53" s="18">
        <f>W52/W$41</f>
        <v>0.44587603866921011</v>
      </c>
      <c r="X53" s="18">
        <f>X52/X$41</f>
        <v>0.43142737960974553</v>
      </c>
      <c r="Y53" s="18"/>
      <c r="Z53" s="18">
        <f>Z52/Z$41</f>
        <v>0.44644299573273716</v>
      </c>
      <c r="AA53" s="18"/>
      <c r="AB53" s="18">
        <f>AB52/AB$41</f>
        <v>0.46583822520393381</v>
      </c>
      <c r="AC53" s="18">
        <f>AC52/AC$41</f>
        <v>0.45457548253676472</v>
      </c>
      <c r="AD53" s="18">
        <f>AD52/AD$41</f>
        <v>0.45671224274255701</v>
      </c>
      <c r="AE53" s="18">
        <f>AE52/AE$41</f>
        <v>0.44901296424693554</v>
      </c>
      <c r="AF53" s="18"/>
      <c r="AG53" s="18">
        <f>AG52/AG$41</f>
        <v>0.45621956240859851</v>
      </c>
      <c r="AH53" s="18"/>
      <c r="AI53" s="18">
        <f t="shared" ref="AI53:AL53" si="26">AI52/AI$41</f>
        <v>0.47</v>
      </c>
      <c r="AJ53" s="18">
        <f t="shared" si="26"/>
        <v>0.46299999999999997</v>
      </c>
      <c r="AK53" s="18">
        <f t="shared" si="26"/>
        <v>0.45400000000000007</v>
      </c>
      <c r="AL53" s="18">
        <f t="shared" si="26"/>
        <v>0.44699999999999995</v>
      </c>
      <c r="AM53" s="18"/>
      <c r="AN53" s="18">
        <f>AN52/AN$41</f>
        <v>0.45804077408799126</v>
      </c>
      <c r="AO53" s="18">
        <f>AO52/AO$41</f>
        <v>0.44700000000000006</v>
      </c>
      <c r="AP53" s="18">
        <f>AP52/AP$41</f>
        <v>0.45199999999999996</v>
      </c>
      <c r="AQ53" s="18"/>
      <c r="AR53" s="18"/>
      <c r="AS53" s="18"/>
      <c r="AT53" s="70"/>
      <c r="AU53" s="59"/>
      <c r="AV53" s="59"/>
      <c r="AW53" s="59"/>
    </row>
    <row r="54" spans="1:51" ht="13" x14ac:dyDescent="0.3">
      <c r="A54" s="12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73"/>
      <c r="AU54" s="59"/>
      <c r="AV54" s="59"/>
      <c r="AW54" s="59"/>
    </row>
    <row r="55" spans="1:51" ht="13" x14ac:dyDescent="0.3">
      <c r="A55" s="1" t="s">
        <v>28</v>
      </c>
      <c r="B55" s="5">
        <v>-2733</v>
      </c>
      <c r="C55" s="5">
        <v>-2686</v>
      </c>
      <c r="D55" s="5">
        <v>-2591</v>
      </c>
      <c r="E55" s="5">
        <v>-2346</v>
      </c>
      <c r="F55" s="6"/>
      <c r="G55" s="5">
        <v>-539</v>
      </c>
      <c r="H55" s="5">
        <v>-525</v>
      </c>
      <c r="I55" s="5">
        <v>-503</v>
      </c>
      <c r="J55" s="5">
        <f>-2063-SUM(G55:I55)</f>
        <v>-496</v>
      </c>
      <c r="K55" s="5"/>
      <c r="L55" s="43">
        <f>+SUM(G55:J55)</f>
        <v>-2063</v>
      </c>
      <c r="M55" s="43"/>
      <c r="N55" s="5">
        <v>-500</v>
      </c>
      <c r="O55" s="5">
        <v>-490</v>
      </c>
      <c r="P55" s="5">
        <v>-496</v>
      </c>
      <c r="Q55" s="5">
        <f>-1968-SUM(N55:P55)</f>
        <v>-482</v>
      </c>
      <c r="R55" s="43"/>
      <c r="S55" s="6">
        <f>+SUM(N55:Q55)</f>
        <v>-1968</v>
      </c>
      <c r="T55" s="43"/>
      <c r="U55" s="39">
        <v>-525</v>
      </c>
      <c r="V55" s="39">
        <v>-909</v>
      </c>
      <c r="W55" s="39">
        <v>-800</v>
      </c>
      <c r="X55" s="39">
        <f>-2935-SUM(U55:W55)</f>
        <v>-701</v>
      </c>
      <c r="Y55" s="43"/>
      <c r="Z55" s="6">
        <f>SUM(U55:X55)</f>
        <v>-2935</v>
      </c>
      <c r="AA55" s="43"/>
      <c r="AB55" s="39">
        <v>-582</v>
      </c>
      <c r="AC55" s="39">
        <v>-594</v>
      </c>
      <c r="AD55" s="39">
        <v>-594</v>
      </c>
      <c r="AE55" s="39">
        <f>-2385-SUM(AB55:AD55)</f>
        <v>-615</v>
      </c>
      <c r="AF55" s="43"/>
      <c r="AG55" s="6">
        <f>SUM(AB55:AE55)</f>
        <v>-2385</v>
      </c>
      <c r="AH55" s="6"/>
      <c r="AI55" s="6" t="e">
        <f>-#REF!</f>
        <v>#REF!</v>
      </c>
      <c r="AJ55" s="6" t="e">
        <f>-#REF!</f>
        <v>#REF!</v>
      </c>
      <c r="AK55" s="6" t="e">
        <f>-#REF!</f>
        <v>#REF!</v>
      </c>
      <c r="AL55" s="6" t="e">
        <f>-#REF!</f>
        <v>#REF!</v>
      </c>
      <c r="AM55" s="6"/>
      <c r="AN55" s="6" t="e">
        <f t="shared" ref="AN55:AN58" si="27">SUM(AI55:AL55)</f>
        <v>#REF!</v>
      </c>
      <c r="AO55" s="6" t="e">
        <f>-#REF!</f>
        <v>#REF!</v>
      </c>
      <c r="AP55" s="6" t="e">
        <f>-#REF!</f>
        <v>#REF!</v>
      </c>
      <c r="AQ55" s="6"/>
      <c r="AR55" s="6"/>
      <c r="AS55" s="6"/>
      <c r="AT55" s="39"/>
      <c r="AU55" s="59"/>
      <c r="AV55" s="59"/>
      <c r="AW55" s="59"/>
    </row>
    <row r="56" spans="1:51" ht="13" x14ac:dyDescent="0.3">
      <c r="A56" s="1" t="s">
        <v>55</v>
      </c>
      <c r="B56" s="5">
        <v>2399</v>
      </c>
      <c r="C56" s="5">
        <v>648</v>
      </c>
      <c r="D56" s="5">
        <v>32</v>
      </c>
      <c r="E56" s="5">
        <v>1232</v>
      </c>
      <c r="F56" s="6"/>
      <c r="G56" s="5">
        <v>371</v>
      </c>
      <c r="H56" s="5">
        <v>300</v>
      </c>
      <c r="I56" s="5">
        <v>-76</v>
      </c>
      <c r="J56" s="5">
        <f>461-SUM(G56:I56)</f>
        <v>-134</v>
      </c>
      <c r="K56" s="5"/>
      <c r="L56" s="43">
        <f t="shared" ref="L56:L57" si="28">+SUM(G56:J56)</f>
        <v>461</v>
      </c>
      <c r="M56" s="43"/>
      <c r="N56" s="5">
        <v>13</v>
      </c>
      <c r="O56" s="5">
        <v>-15</v>
      </c>
      <c r="P56" s="5">
        <v>105</v>
      </c>
      <c r="Q56" s="5">
        <f>260-SUM(N56:P56)</f>
        <v>157</v>
      </c>
      <c r="R56" s="43"/>
      <c r="S56" s="6">
        <f>+SUM(N56:Q56)</f>
        <v>260</v>
      </c>
      <c r="T56" s="43"/>
      <c r="U56" s="39">
        <v>-107</v>
      </c>
      <c r="V56" s="39">
        <v>69</v>
      </c>
      <c r="W56" s="39">
        <v>-25</v>
      </c>
      <c r="X56" s="39">
        <f>-118-SUM(U56:W56)</f>
        <v>-55</v>
      </c>
      <c r="Y56" s="43"/>
      <c r="Z56" s="6">
        <f>SUM(U56:X56)</f>
        <v>-118</v>
      </c>
      <c r="AA56" s="43"/>
      <c r="AB56" s="39">
        <f>463</f>
        <v>463</v>
      </c>
      <c r="AC56" s="39">
        <v>-860</v>
      </c>
      <c r="AD56" s="39">
        <v>111</v>
      </c>
      <c r="AE56" s="39">
        <f>-349-SUM(AB56:AD56)</f>
        <v>-63</v>
      </c>
      <c r="AF56" s="43"/>
      <c r="AG56" s="6">
        <f>SUM(AB56:AE56)</f>
        <v>-349</v>
      </c>
      <c r="AH56" s="6"/>
      <c r="AI56" s="39">
        <v>0</v>
      </c>
      <c r="AJ56" s="39">
        <v>0</v>
      </c>
      <c r="AK56" s="39">
        <v>0</v>
      </c>
      <c r="AL56" s="39">
        <v>0</v>
      </c>
      <c r="AM56" s="6"/>
      <c r="AN56" s="6">
        <f t="shared" si="27"/>
        <v>0</v>
      </c>
      <c r="AO56" s="39">
        <v>0</v>
      </c>
      <c r="AP56" s="39">
        <v>0</v>
      </c>
      <c r="AQ56" s="6"/>
      <c r="AR56" s="6"/>
      <c r="AS56" s="37"/>
      <c r="AT56" s="39"/>
      <c r="AU56" s="39"/>
      <c r="AV56" s="59"/>
      <c r="AW56" s="59"/>
    </row>
    <row r="57" spans="1:51" ht="13" x14ac:dyDescent="0.3">
      <c r="A57" s="1" t="s">
        <v>49</v>
      </c>
      <c r="B57" s="5">
        <v>2214</v>
      </c>
      <c r="C57" s="5">
        <v>2762</v>
      </c>
      <c r="D57" s="5">
        <v>2680</v>
      </c>
      <c r="E57" s="5">
        <v>2131</v>
      </c>
      <c r="F57" s="6"/>
      <c r="G57" s="5">
        <v>520</v>
      </c>
      <c r="H57" s="5">
        <v>503</v>
      </c>
      <c r="I57" s="5">
        <v>519</v>
      </c>
      <c r="J57" s="5">
        <f>2094-SUM(G57:I57)</f>
        <v>552</v>
      </c>
      <c r="K57" s="5"/>
      <c r="L57" s="43">
        <f t="shared" si="28"/>
        <v>2094</v>
      </c>
      <c r="M57" s="43"/>
      <c r="N57" s="5">
        <v>641</v>
      </c>
      <c r="O57" s="5">
        <v>700</v>
      </c>
      <c r="P57" s="5">
        <v>748</v>
      </c>
      <c r="Q57" s="5">
        <f>2994-SUM(N57:P57)</f>
        <v>905</v>
      </c>
      <c r="R57" s="43"/>
      <c r="S57" s="6">
        <f>+SUM(N57:Q57)</f>
        <v>2994</v>
      </c>
      <c r="T57" s="43"/>
      <c r="U57" s="39">
        <v>1166</v>
      </c>
      <c r="V57" s="39">
        <v>734</v>
      </c>
      <c r="W57" s="39">
        <v>619</v>
      </c>
      <c r="X57" s="39">
        <f>3157-SUM(U57:W57)</f>
        <v>638</v>
      </c>
      <c r="Y57" s="43"/>
      <c r="Z57" s="6">
        <f>SUM(U57:X57)</f>
        <v>3157</v>
      </c>
      <c r="AA57" s="43"/>
      <c r="AB57" s="39">
        <v>681</v>
      </c>
      <c r="AC57" s="39">
        <v>600</v>
      </c>
      <c r="AD57" s="39">
        <v>597</v>
      </c>
      <c r="AE57" s="39">
        <f>2647-SUM(AB57:AD57)</f>
        <v>769</v>
      </c>
      <c r="AF57" s="43"/>
      <c r="AG57" s="6">
        <f>SUM(AB57:AE57)</f>
        <v>2647</v>
      </c>
      <c r="AH57" s="6"/>
      <c r="AI57" s="6">
        <f>AE57</f>
        <v>769</v>
      </c>
      <c r="AJ57" s="6">
        <f>AI57</f>
        <v>769</v>
      </c>
      <c r="AK57" s="6">
        <f t="shared" ref="AK57:AL57" si="29">AJ57</f>
        <v>769</v>
      </c>
      <c r="AL57" s="6">
        <f t="shared" si="29"/>
        <v>769</v>
      </c>
      <c r="AM57" s="6"/>
      <c r="AN57" s="6">
        <f t="shared" si="27"/>
        <v>3076</v>
      </c>
      <c r="AO57" s="6">
        <f>+AN57</f>
        <v>3076</v>
      </c>
      <c r="AP57" s="6">
        <f>+AO57</f>
        <v>3076</v>
      </c>
      <c r="AQ57" s="6"/>
      <c r="AR57" s="6"/>
      <c r="AS57" s="6"/>
      <c r="AT57" s="39"/>
      <c r="AU57" s="59"/>
      <c r="AV57" s="59"/>
      <c r="AW57" s="59"/>
    </row>
    <row r="58" spans="1:51" ht="14.5" x14ac:dyDescent="0.45">
      <c r="A58" s="1" t="s">
        <v>33</v>
      </c>
      <c r="B58" s="42">
        <f>-187-218-59</f>
        <v>-464</v>
      </c>
      <c r="C58" s="42">
        <f>144-82-57</f>
        <v>5</v>
      </c>
      <c r="D58" s="42">
        <f>187-191-40</f>
        <v>-44</v>
      </c>
      <c r="E58" s="42">
        <f>17+54+98</f>
        <v>169</v>
      </c>
      <c r="F58" s="6"/>
      <c r="G58" s="42">
        <f>-7-65+6</f>
        <v>-66</v>
      </c>
      <c r="H58" s="42">
        <f>7-13-4</f>
        <v>-10</v>
      </c>
      <c r="I58" s="42">
        <f>-29-74-11</f>
        <v>-114</v>
      </c>
      <c r="J58" s="42">
        <f>-52-75-32-SUM(G58:I58)</f>
        <v>31</v>
      </c>
      <c r="K58" s="5"/>
      <c r="L58" s="44">
        <f>+SUM(G58:J58)</f>
        <v>-159</v>
      </c>
      <c r="M58" s="44"/>
      <c r="N58" s="42">
        <f>9-78-31</f>
        <v>-100</v>
      </c>
      <c r="O58" s="42">
        <f>-199-18-38</f>
        <v>-255</v>
      </c>
      <c r="P58" s="42">
        <f>-65+122-93</f>
        <v>-36</v>
      </c>
      <c r="Q58" s="42">
        <f>SUM(-456,181,-223)-SUM(N58:P58)</f>
        <v>-107</v>
      </c>
      <c r="R58" s="44"/>
      <c r="S58" s="45">
        <f>+SUM(N58:Q58)</f>
        <v>-498</v>
      </c>
      <c r="T58" s="44"/>
      <c r="U58" s="74">
        <f>-137-101+93</f>
        <v>-145</v>
      </c>
      <c r="V58" s="74">
        <f>-267+36-169</f>
        <v>-400</v>
      </c>
      <c r="W58" s="74">
        <f>-24-138-486</f>
        <v>-648</v>
      </c>
      <c r="X58" s="74">
        <f>SUM(-187,-244,-1319)-SUM(U58:W58)</f>
        <v>-557</v>
      </c>
      <c r="Y58" s="44"/>
      <c r="Z58" s="45">
        <f>SUM(U58:X58)</f>
        <v>-1750</v>
      </c>
      <c r="AA58" s="44"/>
      <c r="AB58" s="74">
        <f>-683-338+176</f>
        <v>-845</v>
      </c>
      <c r="AC58" s="74">
        <f>-116-153-1165</f>
        <v>-1434</v>
      </c>
      <c r="AD58" s="74">
        <f>187+89+-1013</f>
        <v>-737</v>
      </c>
      <c r="AE58" s="74">
        <f>(-260+171+-4725)-SUM(AB58:AD58)</f>
        <v>-1798</v>
      </c>
      <c r="AF58" s="44"/>
      <c r="AG58" s="45">
        <f>SUM(AB58:AE58)</f>
        <v>-4814</v>
      </c>
      <c r="AH58" s="45"/>
      <c r="AI58" s="74">
        <v>-1300</v>
      </c>
      <c r="AJ58" s="45">
        <f>AI58</f>
        <v>-1300</v>
      </c>
      <c r="AK58" s="45">
        <f t="shared" ref="AK58:AL58" si="30">AJ58</f>
        <v>-1300</v>
      </c>
      <c r="AL58" s="45">
        <f t="shared" si="30"/>
        <v>-1300</v>
      </c>
      <c r="AM58" s="45"/>
      <c r="AN58" s="45">
        <f t="shared" si="27"/>
        <v>-5200</v>
      </c>
      <c r="AO58" s="45">
        <f>+AN58</f>
        <v>-5200</v>
      </c>
      <c r="AP58" s="45">
        <f>+AO58</f>
        <v>-5200</v>
      </c>
      <c r="AQ58" s="45"/>
      <c r="AR58" s="45"/>
      <c r="AS58" s="45"/>
      <c r="AT58" s="74"/>
      <c r="AU58" s="59"/>
      <c r="AV58" s="59"/>
      <c r="AW58" s="59"/>
    </row>
    <row r="59" spans="1:51" ht="13" x14ac:dyDescent="0.3">
      <c r="A59" s="1" t="s">
        <v>23</v>
      </c>
      <c r="B59" s="6">
        <f>+B52+SUM(B55:B58)</f>
        <v>36474</v>
      </c>
      <c r="C59" s="6">
        <f>+C52+SUM(C55:C58)</f>
        <v>43688</v>
      </c>
      <c r="D59" s="6">
        <f>+D52+SUM(D55:D58)</f>
        <v>53036</v>
      </c>
      <c r="E59" s="6">
        <f>+E52+SUM(E55:E58)</f>
        <v>71102</v>
      </c>
      <c r="F59" s="6"/>
      <c r="G59" s="6">
        <f>+G52+SUM(G55:G58)</f>
        <v>20524</v>
      </c>
      <c r="H59" s="6">
        <f>+H52+SUM(H55:H58)</f>
        <v>22515</v>
      </c>
      <c r="I59" s="6">
        <f>I52+SUM(I55:I58)</f>
        <v>20190</v>
      </c>
      <c r="J59" s="6">
        <f>J52+SUM(J55:J58)</f>
        <v>20487</v>
      </c>
      <c r="K59" s="5"/>
      <c r="L59" s="6">
        <f>+L52+SUM(L55:L58)</f>
        <v>83716</v>
      </c>
      <c r="M59" s="6"/>
      <c r="N59" s="6">
        <f>+N52+SUM(N55:N58)</f>
        <v>21572</v>
      </c>
      <c r="O59" s="6">
        <f>+O52+SUM(O55:O58)</f>
        <v>20339</v>
      </c>
      <c r="P59" s="6">
        <f>P52+SUM(P55:P58)</f>
        <v>22673</v>
      </c>
      <c r="Q59" s="6">
        <f>Q52+SUM(Q55:Q58)</f>
        <v>24727</v>
      </c>
      <c r="R59" s="6"/>
      <c r="S59" s="6">
        <f>S52+SUM(S55:S58)</f>
        <v>89311</v>
      </c>
      <c r="T59" s="6"/>
      <c r="U59" s="6">
        <f>U52+SUM(U55:U58)</f>
        <v>27284</v>
      </c>
      <c r="V59" s="6">
        <f>V52+SUM(V55:V58)</f>
        <v>26526</v>
      </c>
      <c r="W59" s="6">
        <f>W52+SUM(W55:W58)</f>
        <v>26727</v>
      </c>
      <c r="X59" s="6">
        <f>X52+SUM(X55:X58)</f>
        <v>27250</v>
      </c>
      <c r="Y59" s="6"/>
      <c r="Z59" s="6">
        <f>Z52+SUM(Z55:Z58)</f>
        <v>107787</v>
      </c>
      <c r="AA59" s="6"/>
      <c r="AB59" s="6">
        <f>AB52+SUM(AB55:AB58)</f>
        <v>30269</v>
      </c>
      <c r="AC59" s="6">
        <f>AC52+SUM(AC55:AC58)</f>
        <v>29365</v>
      </c>
      <c r="AD59" s="6">
        <f>AD52+SUM(AD55:AD58)</f>
        <v>31377</v>
      </c>
      <c r="AE59" s="6">
        <f>AE52+SUM(AE55:AE58)</f>
        <v>32616</v>
      </c>
      <c r="AF59" s="6"/>
      <c r="AG59" s="6">
        <f>AG52+SUM(AG55:AG58)</f>
        <v>123627</v>
      </c>
      <c r="AH59" s="6"/>
      <c r="AI59" s="6" t="e">
        <f t="shared" ref="AI59:AL59" si="31">AI52+SUM(AI55:AI58)</f>
        <v>#REF!</v>
      </c>
      <c r="AJ59" s="6" t="e">
        <f t="shared" si="31"/>
        <v>#REF!</v>
      </c>
      <c r="AK59" s="6" t="e">
        <f t="shared" si="31"/>
        <v>#REF!</v>
      </c>
      <c r="AL59" s="6" t="e">
        <f t="shared" si="31"/>
        <v>#REF!</v>
      </c>
      <c r="AM59" s="6"/>
      <c r="AN59" s="6" t="e">
        <f>AN52+SUM(AN55:AN58)</f>
        <v>#REF!</v>
      </c>
      <c r="AO59" s="6" t="e">
        <f>AO52+SUM(AO55:AO58)</f>
        <v>#REF!</v>
      </c>
      <c r="AP59" s="6" t="e">
        <f>AP52+SUM(AP55:AP58)</f>
        <v>#REF!</v>
      </c>
      <c r="AQ59" s="6"/>
      <c r="AR59" s="6"/>
      <c r="AS59" s="6"/>
      <c r="AT59" s="39"/>
      <c r="AU59" s="59"/>
      <c r="AV59" s="59"/>
      <c r="AW59" s="59"/>
    </row>
    <row r="60" spans="1:51" ht="13" x14ac:dyDescent="0.3">
      <c r="A60" s="12" t="s">
        <v>5</v>
      </c>
      <c r="B60" s="18">
        <f>B59/B41</f>
        <v>0.33050018122508157</v>
      </c>
      <c r="C60" s="18">
        <f>C59/C41</f>
        <v>0.34716273451840785</v>
      </c>
      <c r="D60" s="18">
        <f>D59/D41</f>
        <v>0.37084221934762091</v>
      </c>
      <c r="E60" s="18">
        <f>E59/E41</f>
        <v>0.4230046166293846</v>
      </c>
      <c r="F60" s="6"/>
      <c r="G60" s="18">
        <f>G59/G41</f>
        <v>0.45289847077255774</v>
      </c>
      <c r="H60" s="18">
        <f>H59/H41</f>
        <v>0.43525750077327557</v>
      </c>
      <c r="I60" s="18">
        <f>I59/I41</f>
        <v>0.40903565640194489</v>
      </c>
      <c r="J60" s="18">
        <f>J59/J41</f>
        <v>0.39500626626819629</v>
      </c>
      <c r="K60" s="5"/>
      <c r="L60" s="18">
        <f>L59/L41</f>
        <v>0.42223230947697582</v>
      </c>
      <c r="M60" s="18"/>
      <c r="N60" s="18">
        <f>N59/N41</f>
        <v>0.43038984876900366</v>
      </c>
      <c r="O60" s="18">
        <f>O59/O41</f>
        <v>0.38559538931124043</v>
      </c>
      <c r="P60" s="18">
        <f>P59/P41</f>
        <v>0.42894980797245397</v>
      </c>
      <c r="Q60" s="18">
        <f>Q59/Q41</f>
        <v>0.4400683407784442</v>
      </c>
      <c r="R60" s="18"/>
      <c r="S60" s="18">
        <f>S59/S41</f>
        <v>0.42144727838992047</v>
      </c>
      <c r="T60" s="18"/>
      <c r="U60" s="18">
        <f>U59/U41</f>
        <v>0.48275740042818976</v>
      </c>
      <c r="V60" s="18">
        <f>V59/V41</f>
        <v>0.42770074169622702</v>
      </c>
      <c r="W60" s="18">
        <f>W59/W41</f>
        <v>0.43207022535484496</v>
      </c>
      <c r="X60" s="18">
        <f>X59/X41</f>
        <v>0.42099896488327898</v>
      </c>
      <c r="Y60" s="18"/>
      <c r="Z60" s="18">
        <f>Z59/Z41</f>
        <v>0.43972797219343834</v>
      </c>
      <c r="AA60" s="18"/>
      <c r="AB60" s="18">
        <f>AB59/AB41</f>
        <v>0.46152321414957687</v>
      </c>
      <c r="AC60" s="18">
        <f>AC59/AC41</f>
        <v>0.42171702665441174</v>
      </c>
      <c r="AD60" s="18">
        <f>AD59/AD41</f>
        <v>0.44782062626666286</v>
      </c>
      <c r="AE60" s="18">
        <f>AE59/AE41</f>
        <v>0.42668201619549717</v>
      </c>
      <c r="AF60" s="18"/>
      <c r="AG60" s="18">
        <f>AG59/AG41</f>
        <v>0.43882310346296377</v>
      </c>
      <c r="AH60" s="18"/>
      <c r="AI60" s="18" t="e">
        <f t="shared" ref="AI60:AL60" si="32">AI59/AI41</f>
        <v>#REF!</v>
      </c>
      <c r="AJ60" s="18" t="e">
        <f t="shared" si="32"/>
        <v>#REF!</v>
      </c>
      <c r="AK60" s="18" t="e">
        <f t="shared" si="32"/>
        <v>#REF!</v>
      </c>
      <c r="AL60" s="18" t="e">
        <f t="shared" si="32"/>
        <v>#REF!</v>
      </c>
      <c r="AM60" s="18"/>
      <c r="AN60" s="18" t="e">
        <f>AN59/AN41</f>
        <v>#REF!</v>
      </c>
      <c r="AO60" s="18" t="e">
        <f>AO59/AO41</f>
        <v>#REF!</v>
      </c>
      <c r="AP60" s="18" t="e">
        <f>AP59/AP41</f>
        <v>#REF!</v>
      </c>
      <c r="AQ60" s="18"/>
      <c r="AR60" s="18"/>
      <c r="AS60" s="18"/>
      <c r="AT60" s="70"/>
      <c r="AU60" s="59"/>
      <c r="AV60" s="59"/>
      <c r="AW60" s="59"/>
    </row>
    <row r="61" spans="1:51" ht="13" x14ac:dyDescent="0.3">
      <c r="A61" s="1"/>
      <c r="B61" s="38"/>
      <c r="C61" s="38"/>
      <c r="D61" s="38"/>
      <c r="E61" s="38"/>
      <c r="F61" s="6"/>
      <c r="G61" s="38"/>
      <c r="H61" s="38"/>
      <c r="I61" s="38"/>
      <c r="J61" s="38"/>
      <c r="K61" s="5"/>
      <c r="L61" s="6"/>
      <c r="M61" s="6"/>
      <c r="N61" s="38"/>
      <c r="O61" s="38"/>
      <c r="P61" s="38"/>
      <c r="Q61" s="6"/>
      <c r="R61" s="6"/>
      <c r="S61" s="5"/>
      <c r="T61" s="6"/>
      <c r="U61" s="5"/>
      <c r="V61" s="5"/>
      <c r="W61" s="5"/>
      <c r="X61" s="5"/>
      <c r="Y61" s="6"/>
      <c r="Z61" s="5"/>
      <c r="AA61" s="6"/>
      <c r="AB61" s="5"/>
      <c r="AC61" s="5"/>
      <c r="AD61" s="5"/>
      <c r="AE61" s="5"/>
      <c r="AF61" s="6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39"/>
      <c r="AU61" s="59"/>
      <c r="AV61" s="59"/>
      <c r="AW61" s="59"/>
    </row>
    <row r="62" spans="1:51" ht="14.5" x14ac:dyDescent="0.45">
      <c r="A62" s="1" t="s">
        <v>22</v>
      </c>
      <c r="B62" s="42">
        <v>-19903</v>
      </c>
      <c r="C62" s="42">
        <v>-4448</v>
      </c>
      <c r="D62" s="42">
        <v>-8755</v>
      </c>
      <c r="E62" s="42">
        <v>-9831</v>
      </c>
      <c r="F62" s="6"/>
      <c r="G62" s="42">
        <v>-19</v>
      </c>
      <c r="H62" s="42">
        <v>-3750</v>
      </c>
      <c r="I62" s="42">
        <v>-3462</v>
      </c>
      <c r="J62" s="42">
        <f>-10978-SUM(G62:I62)</f>
        <v>-3747</v>
      </c>
      <c r="K62" s="42"/>
      <c r="L62" s="44">
        <f>+SUM(G62:J62)</f>
        <v>-10978</v>
      </c>
      <c r="M62" s="44"/>
      <c r="N62" s="42">
        <v>-4016</v>
      </c>
      <c r="O62" s="42">
        <v>-3914</v>
      </c>
      <c r="P62" s="42">
        <v>-4374</v>
      </c>
      <c r="Q62" s="42">
        <f>-16950-SUM(N62:P62)</f>
        <v>-4646</v>
      </c>
      <c r="R62" s="44"/>
      <c r="S62" s="45">
        <f>+SUM(N62:Q62)</f>
        <v>-16950</v>
      </c>
      <c r="T62" s="44"/>
      <c r="U62" s="74">
        <v>-4993</v>
      </c>
      <c r="V62" s="74">
        <v>-4656</v>
      </c>
      <c r="W62" s="74">
        <v>-4788</v>
      </c>
      <c r="X62" s="74">
        <v>-5214</v>
      </c>
      <c r="Y62" s="44"/>
      <c r="Z62" s="45">
        <f>SUM(U62:X62)</f>
        <v>-19651</v>
      </c>
      <c r="AA62" s="44"/>
      <c r="AB62" s="74">
        <v>-5602</v>
      </c>
      <c r="AC62" s="74">
        <v>-5257</v>
      </c>
      <c r="AD62" s="74">
        <v>-5553</v>
      </c>
      <c r="AE62" s="74">
        <f>-21795-SUM(AB62:AD62)</f>
        <v>-5383</v>
      </c>
      <c r="AF62" s="44"/>
      <c r="AG62" s="45">
        <f>SUM(AB62:AE62)</f>
        <v>-21795</v>
      </c>
      <c r="AH62" s="45"/>
      <c r="AI62" s="45" t="e">
        <f t="shared" ref="AI62:AL62" si="33">+IF(AI59&gt;0,AI59*-$AQ$62,0)</f>
        <v>#REF!</v>
      </c>
      <c r="AJ62" s="45" t="e">
        <f t="shared" si="33"/>
        <v>#REF!</v>
      </c>
      <c r="AK62" s="45" t="e">
        <f t="shared" si="33"/>
        <v>#REF!</v>
      </c>
      <c r="AL62" s="45" t="e">
        <f t="shared" si="33"/>
        <v>#REF!</v>
      </c>
      <c r="AM62" s="45"/>
      <c r="AN62" s="45" t="e">
        <f>SUM(AI62:AL62)</f>
        <v>#REF!</v>
      </c>
      <c r="AO62" s="45" t="e">
        <f>+IF(AO59&gt;0,AO59*-$AQ$62,0)</f>
        <v>#REF!</v>
      </c>
      <c r="AP62" s="45" t="e">
        <f>+IF(AP59&gt;0,AP59*-$AQ$62,0)</f>
        <v>#REF!</v>
      </c>
      <c r="AQ62" s="91">
        <v>0.19500000000000001</v>
      </c>
      <c r="AR62" s="45"/>
      <c r="AS62" s="45"/>
      <c r="AU62" s="75"/>
      <c r="AV62" s="59"/>
      <c r="AW62" s="59"/>
    </row>
    <row r="63" spans="1:51" ht="13" x14ac:dyDescent="0.3">
      <c r="A63" s="1" t="s">
        <v>17</v>
      </c>
      <c r="B63" s="6">
        <f>+B59+B62</f>
        <v>16571</v>
      </c>
      <c r="C63" s="6">
        <f>+C59+C62</f>
        <v>39240</v>
      </c>
      <c r="D63" s="6">
        <f>+D59+D62</f>
        <v>44281</v>
      </c>
      <c r="E63" s="6">
        <f>+E59+SUM(E62:E62)</f>
        <v>61271</v>
      </c>
      <c r="F63" s="6"/>
      <c r="G63" s="6">
        <f>+G59+SUM(G62:G62)</f>
        <v>20505</v>
      </c>
      <c r="H63" s="6">
        <f>+H59+SUM(H62:H62)</f>
        <v>18765</v>
      </c>
      <c r="I63" s="6">
        <f>+I59+SUM(I62:I62)</f>
        <v>16728</v>
      </c>
      <c r="J63" s="6">
        <f>+J59+SUM(J62:J62)</f>
        <v>16740</v>
      </c>
      <c r="K63" s="13"/>
      <c r="L63" s="6">
        <f>+L59+SUM(L62:L62)</f>
        <v>72738</v>
      </c>
      <c r="M63" s="6"/>
      <c r="N63" s="6">
        <f>+N59+SUM(N62:N62)</f>
        <v>17556</v>
      </c>
      <c r="O63" s="6">
        <f>+O59+SUM(O62:O62)</f>
        <v>16425</v>
      </c>
      <c r="P63" s="6">
        <f>+P59+SUM(P62:P62)</f>
        <v>18299</v>
      </c>
      <c r="Q63" s="6">
        <f>+Q59+SUM(Q62:Q62)</f>
        <v>20081</v>
      </c>
      <c r="R63" s="6"/>
      <c r="S63" s="6">
        <f>+S59+SUM(S62:S62)</f>
        <v>72361</v>
      </c>
      <c r="T63" s="6"/>
      <c r="U63" s="6">
        <f>+U59+SUM(U62:U62)</f>
        <v>22291</v>
      </c>
      <c r="V63" s="6">
        <f>+V59+SUM(V62:V62)</f>
        <v>21870</v>
      </c>
      <c r="W63" s="6">
        <f>+W59+SUM(W62:W62)</f>
        <v>21939</v>
      </c>
      <c r="X63" s="6">
        <f>+X59+SUM(X62:X62)</f>
        <v>22036</v>
      </c>
      <c r="Y63" s="6"/>
      <c r="Z63" s="6">
        <f>+Z59+SUM(Z62:Z62)</f>
        <v>88136</v>
      </c>
      <c r="AA63" s="6"/>
      <c r="AB63" s="6">
        <f>+AB59+SUM(AB62:AB62)</f>
        <v>24667</v>
      </c>
      <c r="AC63" s="6">
        <f>+AC59+SUM(AC62:AC62)</f>
        <v>24108</v>
      </c>
      <c r="AD63" s="6">
        <f>+AD59+SUM(AD62:AD62)</f>
        <v>25824</v>
      </c>
      <c r="AE63" s="6">
        <f>+AE59+SUM(AE62:AE62)</f>
        <v>27233</v>
      </c>
      <c r="AF63" s="6"/>
      <c r="AG63" s="6">
        <f>+AG59+SUM(AG62:AG62)</f>
        <v>101832</v>
      </c>
      <c r="AH63" s="6"/>
      <c r="AI63" s="6" t="e">
        <f t="shared" ref="AI63:AL63" si="34">+AI59+SUM(AI62:AI62)</f>
        <v>#REF!</v>
      </c>
      <c r="AJ63" s="6" t="e">
        <f t="shared" si="34"/>
        <v>#REF!</v>
      </c>
      <c r="AK63" s="6" t="e">
        <f t="shared" si="34"/>
        <v>#REF!</v>
      </c>
      <c r="AL63" s="6" t="e">
        <f t="shared" si="34"/>
        <v>#REF!</v>
      </c>
      <c r="AM63" s="6"/>
      <c r="AN63" s="6" t="e">
        <f>+AN59+SUM(AN62:AN62)</f>
        <v>#REF!</v>
      </c>
      <c r="AO63" s="6" t="e">
        <f>+AO59+SUM(AO62:AO62)</f>
        <v>#REF!</v>
      </c>
      <c r="AP63" s="6" t="e">
        <f>+AP59+SUM(AP62:AP62)</f>
        <v>#REF!</v>
      </c>
      <c r="AQ63" s="6"/>
      <c r="AR63" s="6"/>
      <c r="AS63" s="6"/>
      <c r="AT63" s="39"/>
      <c r="AU63" s="59"/>
      <c r="AV63" s="59"/>
      <c r="AW63" s="59"/>
    </row>
    <row r="64" spans="1:51" ht="13" x14ac:dyDescent="0.3">
      <c r="A64" s="12" t="s">
        <v>5</v>
      </c>
      <c r="B64" s="18">
        <f>B63/B41</f>
        <v>0.15015404131931859</v>
      </c>
      <c r="C64" s="18">
        <f>C63/C41</f>
        <v>0.31181710544090652</v>
      </c>
      <c r="D64" s="18">
        <f>D63/D41</f>
        <v>0.30962486452470023</v>
      </c>
      <c r="E64" s="18">
        <f>E63/E41</f>
        <v>0.36451739564989766</v>
      </c>
      <c r="F64" s="6"/>
      <c r="G64" s="18">
        <f>G63/G41</f>
        <v>0.45247920206545006</v>
      </c>
      <c r="H64" s="18">
        <f>H63/H41</f>
        <v>0.36276291370244357</v>
      </c>
      <c r="I64" s="18">
        <f>I63/I41</f>
        <v>0.33889789303079415</v>
      </c>
      <c r="J64" s="18">
        <f>J63/J41</f>
        <v>0.32276101417140651</v>
      </c>
      <c r="K64" s="13"/>
      <c r="L64" s="18">
        <f>L63/L41</f>
        <v>0.36686336813436221</v>
      </c>
      <c r="M64" s="18"/>
      <c r="N64" s="18">
        <f>N63/N41</f>
        <v>0.3502653525398029</v>
      </c>
      <c r="O64" s="18">
        <f>O63/O41</f>
        <v>0.31139211708722769</v>
      </c>
      <c r="P64" s="18">
        <f>P63/P41</f>
        <v>0.34619823296819718</v>
      </c>
      <c r="Q64" s="18">
        <f>Q63/Q41</f>
        <v>0.35738311769207498</v>
      </c>
      <c r="R64" s="18"/>
      <c r="S64" s="18">
        <f>S63/S41</f>
        <v>0.34146237878394642</v>
      </c>
      <c r="T64" s="18"/>
      <c r="U64" s="18">
        <f>U63/U41</f>
        <v>0.39441230072367606</v>
      </c>
      <c r="V64" s="18">
        <f>V63/V41</f>
        <v>0.35262818445662691</v>
      </c>
      <c r="W64" s="18">
        <f>W63/W41</f>
        <v>0.35466714087102719</v>
      </c>
      <c r="X64" s="18">
        <f>X63/X41</f>
        <v>0.34044525468506187</v>
      </c>
      <c r="Y64" s="18"/>
      <c r="Z64" s="18">
        <f>Z63/Z41</f>
        <v>0.35955972944084985</v>
      </c>
      <c r="AA64" s="18"/>
      <c r="AB64" s="18">
        <f>AB63/AB41</f>
        <v>0.37610734161774795</v>
      </c>
      <c r="AC64" s="18">
        <f>AC63/AC41</f>
        <v>0.34622012867647056</v>
      </c>
      <c r="AD64" s="18">
        <f>AD63/AD41</f>
        <v>0.36856677989324349</v>
      </c>
      <c r="AE64" s="18">
        <f>AE63/AE41</f>
        <v>0.35626169202391389</v>
      </c>
      <c r="AF64" s="18"/>
      <c r="AG64" s="18">
        <f>AG63/AG41</f>
        <v>0.36146015248967073</v>
      </c>
      <c r="AH64" s="18"/>
      <c r="AI64" s="18" t="e">
        <f t="shared" ref="AI64:AL64" si="35">AI63/AI41</f>
        <v>#REF!</v>
      </c>
      <c r="AJ64" s="18" t="e">
        <f t="shared" si="35"/>
        <v>#REF!</v>
      </c>
      <c r="AK64" s="18" t="e">
        <f t="shared" si="35"/>
        <v>#REF!</v>
      </c>
      <c r="AL64" s="18" t="e">
        <f t="shared" si="35"/>
        <v>#REF!</v>
      </c>
      <c r="AM64" s="18"/>
      <c r="AN64" s="18" t="e">
        <f>AN63/AN41</f>
        <v>#REF!</v>
      </c>
      <c r="AO64" s="18" t="e">
        <f>AO63/AO41</f>
        <v>#REF!</v>
      </c>
      <c r="AP64" s="18" t="e">
        <f>AP63/AP41</f>
        <v>#REF!</v>
      </c>
      <c r="AQ64" s="18"/>
      <c r="AR64" s="18"/>
      <c r="AS64" s="18"/>
      <c r="AT64" s="70"/>
      <c r="AU64" s="59"/>
      <c r="AV64" s="59"/>
      <c r="AW64" s="59"/>
    </row>
    <row r="65" spans="1:51" ht="13" x14ac:dyDescent="0.3">
      <c r="A65" s="1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20"/>
      <c r="AU65" s="59"/>
      <c r="AV65" s="59"/>
      <c r="AW65" s="59"/>
    </row>
    <row r="66" spans="1:51" ht="13.5" x14ac:dyDescent="0.35">
      <c r="A66" s="33" t="s">
        <v>18</v>
      </c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1"/>
      <c r="U66" s="63"/>
      <c r="V66" s="63"/>
      <c r="W66" s="63"/>
      <c r="X66" s="63"/>
      <c r="Y66" s="1"/>
      <c r="Z66" s="37"/>
      <c r="AA66" s="1"/>
      <c r="AB66" s="63"/>
      <c r="AC66" s="63"/>
      <c r="AD66" s="63"/>
      <c r="AE66" s="63"/>
      <c r="AF66" s="1"/>
      <c r="AG66" s="37"/>
      <c r="AH66" s="94"/>
      <c r="AI66" s="37"/>
      <c r="AJ66" s="37"/>
      <c r="AK66" s="37"/>
      <c r="AL66" s="37"/>
      <c r="AM66" s="94"/>
      <c r="AN66" s="37"/>
      <c r="AO66" s="37"/>
      <c r="AP66" s="37"/>
      <c r="AQ66" s="37"/>
      <c r="AR66" s="37"/>
      <c r="AS66" s="37"/>
      <c r="AT66" s="71"/>
      <c r="AU66" s="59"/>
      <c r="AV66" s="59"/>
      <c r="AW66" s="59"/>
    </row>
    <row r="67" spans="1:51" ht="13" x14ac:dyDescent="0.3">
      <c r="A67" s="1" t="s">
        <v>34</v>
      </c>
      <c r="B67" s="6">
        <f>+B63</f>
        <v>16571</v>
      </c>
      <c r="C67" s="6">
        <f>+C63</f>
        <v>39240</v>
      </c>
      <c r="D67" s="6">
        <f>+D63</f>
        <v>44281</v>
      </c>
      <c r="E67" s="6">
        <f>+E63</f>
        <v>61271</v>
      </c>
      <c r="F67" s="6"/>
      <c r="G67" s="6">
        <f t="shared" ref="G67:I67" si="36">+G63</f>
        <v>20505</v>
      </c>
      <c r="H67" s="6">
        <f t="shared" si="36"/>
        <v>18765</v>
      </c>
      <c r="I67" s="6">
        <f t="shared" si="36"/>
        <v>16728</v>
      </c>
      <c r="J67" s="6">
        <f>+J63</f>
        <v>16740</v>
      </c>
      <c r="K67" s="5"/>
      <c r="L67" s="6">
        <f>+L63</f>
        <v>72738</v>
      </c>
      <c r="M67" s="6"/>
      <c r="N67" s="6">
        <f>+N63</f>
        <v>17556</v>
      </c>
      <c r="O67" s="6">
        <f t="shared" ref="O67:Q67" si="37">+O63</f>
        <v>16425</v>
      </c>
      <c r="P67" s="6">
        <f t="shared" si="37"/>
        <v>18299</v>
      </c>
      <c r="Q67" s="6">
        <f t="shared" si="37"/>
        <v>20081</v>
      </c>
      <c r="R67" s="6"/>
      <c r="S67" s="6">
        <f>+S63</f>
        <v>72361</v>
      </c>
      <c r="T67" s="6"/>
      <c r="U67" s="6">
        <f>U63</f>
        <v>22291</v>
      </c>
      <c r="V67" s="6">
        <f>V63</f>
        <v>21870</v>
      </c>
      <c r="W67" s="6">
        <f>W63</f>
        <v>21939</v>
      </c>
      <c r="X67" s="6">
        <f>X63</f>
        <v>22036</v>
      </c>
      <c r="Y67" s="6"/>
      <c r="Z67" s="6">
        <f>+Z63</f>
        <v>88136</v>
      </c>
      <c r="AA67" s="6"/>
      <c r="AB67" s="6">
        <f>AB63</f>
        <v>24667</v>
      </c>
      <c r="AC67" s="6">
        <f>AC63</f>
        <v>24108</v>
      </c>
      <c r="AD67" s="6">
        <f>AD63</f>
        <v>25824</v>
      </c>
      <c r="AE67" s="6">
        <f>AE63</f>
        <v>27233</v>
      </c>
      <c r="AF67" s="6"/>
      <c r="AG67" s="6">
        <f>+AG63</f>
        <v>101832</v>
      </c>
      <c r="AH67" s="6"/>
      <c r="AI67" s="6" t="e">
        <f t="shared" ref="AI67:AL67" si="38">+AI63</f>
        <v>#REF!</v>
      </c>
      <c r="AJ67" s="6" t="e">
        <f t="shared" si="38"/>
        <v>#REF!</v>
      </c>
      <c r="AK67" s="6" t="e">
        <f t="shared" si="38"/>
        <v>#REF!</v>
      </c>
      <c r="AL67" s="6" t="e">
        <f t="shared" si="38"/>
        <v>#REF!</v>
      </c>
      <c r="AM67" s="6"/>
      <c r="AN67" s="6" t="e">
        <f>+AN63</f>
        <v>#REF!</v>
      </c>
      <c r="AO67" s="6" t="e">
        <f>+AO63</f>
        <v>#REF!</v>
      </c>
      <c r="AP67" s="6" t="e">
        <f>+AP63</f>
        <v>#REF!</v>
      </c>
      <c r="AQ67" s="6"/>
      <c r="AR67" s="6"/>
      <c r="AS67" s="6"/>
      <c r="AT67" s="39"/>
      <c r="AU67" s="59"/>
      <c r="AV67" s="59"/>
      <c r="AW67" s="59"/>
    </row>
    <row r="68" spans="1:51" ht="13" x14ac:dyDescent="0.3">
      <c r="A68" s="1" t="s">
        <v>35</v>
      </c>
      <c r="B68" s="39">
        <v>10261</v>
      </c>
      <c r="C68" s="39">
        <v>11682</v>
      </c>
      <c r="D68" s="39">
        <v>12796</v>
      </c>
      <c r="E68" s="39">
        <v>11686</v>
      </c>
      <c r="F68" s="6"/>
      <c r="G68" s="39">
        <v>3212</v>
      </c>
      <c r="H68" s="39">
        <f>6708-G68</f>
        <v>3496</v>
      </c>
      <c r="I68" s="39">
        <f>10481-SUM(G68:H68)</f>
        <v>3773</v>
      </c>
      <c r="J68" s="39">
        <f>14460-SUM(G68:I68)</f>
        <v>3979</v>
      </c>
      <c r="K68" s="5"/>
      <c r="L68" s="6">
        <f t="shared" ref="L68:L72" si="39">+SUM(G68:J68)</f>
        <v>14460</v>
      </c>
      <c r="M68" s="6"/>
      <c r="N68" s="39">
        <v>2790</v>
      </c>
      <c r="O68" s="39">
        <f>6438-N68</f>
        <v>3648</v>
      </c>
      <c r="P68" s="39">
        <f>9987-SUM(N68:O68)</f>
        <v>3549</v>
      </c>
      <c r="Q68" s="39">
        <f>13861-SUM(N68:P68)</f>
        <v>3874</v>
      </c>
      <c r="R68" s="6"/>
      <c r="S68" s="6">
        <f>+SUM(N68:Q68)</f>
        <v>13861</v>
      </c>
      <c r="T68" s="6"/>
      <c r="U68" s="39">
        <v>3921</v>
      </c>
      <c r="V68" s="39">
        <f>9880-U68</f>
        <v>5959</v>
      </c>
      <c r="W68" s="39">
        <f>15907-V68-U68</f>
        <v>6027</v>
      </c>
      <c r="X68" s="39">
        <f>22287-SUM(U68:W68)</f>
        <v>6380</v>
      </c>
      <c r="Y68" s="6"/>
      <c r="Z68" s="6">
        <f>SUM(U68:X68)</f>
        <v>22287</v>
      </c>
      <c r="AA68" s="6"/>
      <c r="AB68" s="39">
        <v>7383</v>
      </c>
      <c r="AC68" s="39">
        <f>14210-AB68</f>
        <v>6827</v>
      </c>
      <c r="AD68" s="39">
        <f>22950-SUM(AB68:AC68)</f>
        <v>8740</v>
      </c>
      <c r="AE68" s="39">
        <f>34153-SUM(AB68:AD68)</f>
        <v>11203</v>
      </c>
      <c r="AF68" s="6"/>
      <c r="AG68" s="6">
        <f>SUM(AB68:AE68)</f>
        <v>34153</v>
      </c>
      <c r="AH68" s="6"/>
      <c r="AI68" s="6">
        <f>+AI$41*AQ68</f>
        <v>11335.414499999999</v>
      </c>
      <c r="AJ68" s="6">
        <f t="shared" ref="AJ68:AL68" si="40">+AJ$41*AR68</f>
        <v>12004.942499999999</v>
      </c>
      <c r="AK68" s="6">
        <f t="shared" si="40"/>
        <v>12116.142</v>
      </c>
      <c r="AL68" s="6">
        <f t="shared" si="40"/>
        <v>13236.3375</v>
      </c>
      <c r="AM68" s="6"/>
      <c r="AN68" s="6">
        <f t="shared" ref="AN68:AN72" si="41">SUM(AI68:AL68)</f>
        <v>48692.836499999998</v>
      </c>
      <c r="AO68" s="6">
        <f>+AO$41*AU68</f>
        <v>53938.60076999999</v>
      </c>
      <c r="AP68" s="6">
        <f>+AP$41*AV68</f>
        <v>60624.512215874995</v>
      </c>
      <c r="AQ68" s="91">
        <v>0.15</v>
      </c>
      <c r="AR68" s="91">
        <v>0.15</v>
      </c>
      <c r="AS68" s="91">
        <v>0.15</v>
      </c>
      <c r="AT68" s="91">
        <v>0.15</v>
      </c>
      <c r="AU68" s="91">
        <v>0.15</v>
      </c>
      <c r="AV68" s="91">
        <v>0.15</v>
      </c>
    </row>
    <row r="69" spans="1:51" ht="13" x14ac:dyDescent="0.3">
      <c r="A69" s="1" t="s">
        <v>30</v>
      </c>
      <c r="B69" s="5">
        <v>3940</v>
      </c>
      <c r="C69" s="5">
        <v>4652</v>
      </c>
      <c r="D69" s="5">
        <v>5289</v>
      </c>
      <c r="E69" s="5">
        <v>6118</v>
      </c>
      <c r="F69" s="6"/>
      <c r="G69" s="5">
        <v>1702</v>
      </c>
      <c r="H69" s="5">
        <f>3599-G69</f>
        <v>1897</v>
      </c>
      <c r="I69" s="5">
        <f>5505-SUM(G69:H69)</f>
        <v>1906</v>
      </c>
      <c r="J69" s="5">
        <f>7502-SUM(G69:I69)</f>
        <v>1997</v>
      </c>
      <c r="K69" s="5"/>
      <c r="L69" s="6">
        <f t="shared" si="39"/>
        <v>7502</v>
      </c>
      <c r="M69" s="6"/>
      <c r="N69" s="5">
        <v>2192</v>
      </c>
      <c r="O69" s="5">
        <f>4730-N69</f>
        <v>2538</v>
      </c>
      <c r="P69" s="5">
        <f>7195-SUM(N69:O69)</f>
        <v>2465</v>
      </c>
      <c r="Q69" s="5">
        <f>9611-SUM(N69:P69)</f>
        <v>2416</v>
      </c>
      <c r="R69" s="6"/>
      <c r="S69" s="6">
        <f>+SUM(N69:Q69)</f>
        <v>9611</v>
      </c>
      <c r="T69" s="6"/>
      <c r="U69" s="39">
        <v>2507</v>
      </c>
      <c r="V69" s="39">
        <f>5335-U69</f>
        <v>2828</v>
      </c>
      <c r="W69" s="39">
        <f>8038-V69-U69</f>
        <v>2703</v>
      </c>
      <c r="X69" s="39">
        <f>10734-SUM(U69:W69)</f>
        <v>2696</v>
      </c>
      <c r="Y69" s="6"/>
      <c r="Z69" s="6">
        <f>SUM(U69:X69)</f>
        <v>10734</v>
      </c>
      <c r="AA69" s="6"/>
      <c r="AB69" s="39">
        <v>2832</v>
      </c>
      <c r="AC69" s="39">
        <f>5921-AB69</f>
        <v>3089</v>
      </c>
      <c r="AD69" s="39">
        <f>8901-SUM(AB69:AC69)</f>
        <v>2980</v>
      </c>
      <c r="AE69" s="39">
        <f>11974-SUM(AB69:AD69)</f>
        <v>3073</v>
      </c>
      <c r="AF69" s="6"/>
      <c r="AG69" s="6">
        <f>SUM(AB69:AE69)</f>
        <v>11974</v>
      </c>
      <c r="AH69" s="6"/>
      <c r="AI69" s="6">
        <f>AE69</f>
        <v>3073</v>
      </c>
      <c r="AJ69" s="6">
        <f>AI69</f>
        <v>3073</v>
      </c>
      <c r="AK69" s="6">
        <f t="shared" ref="AK69:AL69" si="42">AJ69</f>
        <v>3073</v>
      </c>
      <c r="AL69" s="6">
        <f t="shared" si="42"/>
        <v>3073</v>
      </c>
      <c r="AM69" s="6"/>
      <c r="AN69" s="6">
        <f t="shared" si="41"/>
        <v>12292</v>
      </c>
      <c r="AO69" s="6">
        <f>AN69</f>
        <v>12292</v>
      </c>
      <c r="AP69" s="6">
        <f>AO69</f>
        <v>12292</v>
      </c>
      <c r="AQ69" s="6"/>
      <c r="AR69" s="6"/>
      <c r="AS69" s="6"/>
      <c r="AT69" s="59"/>
      <c r="AU69" s="59"/>
    </row>
    <row r="70" spans="1:51" ht="13" x14ac:dyDescent="0.3">
      <c r="A70" s="1" t="s">
        <v>50</v>
      </c>
      <c r="B70" s="5">
        <v>-2212</v>
      </c>
      <c r="C70" s="5">
        <v>-792</v>
      </c>
      <c r="D70" s="5">
        <v>-219</v>
      </c>
      <c r="E70" s="5">
        <v>-1249</v>
      </c>
      <c r="F70" s="6"/>
      <c r="G70" s="5">
        <v>-364</v>
      </c>
      <c r="H70" s="5">
        <f>-671-G70</f>
        <v>-307</v>
      </c>
      <c r="I70" s="5">
        <f>-566-SUM(G70:H70)</f>
        <v>105</v>
      </c>
      <c r="J70" s="5">
        <f>-409-SUM(G70:I70)</f>
        <v>157</v>
      </c>
      <c r="K70" s="5"/>
      <c r="L70" s="6">
        <f t="shared" si="39"/>
        <v>-409</v>
      </c>
      <c r="M70" s="6"/>
      <c r="N70" s="5">
        <v>-22</v>
      </c>
      <c r="O70" s="5">
        <f>192-N70</f>
        <v>214</v>
      </c>
      <c r="P70" s="5">
        <f>152-SUM(N70:O70)</f>
        <v>-40</v>
      </c>
      <c r="Q70" s="5">
        <f>196-SUM(N70:P70)</f>
        <v>44</v>
      </c>
      <c r="R70" s="6"/>
      <c r="S70" s="6">
        <f>+SUM(N70:Q70)</f>
        <v>196</v>
      </c>
      <c r="T70" s="6"/>
      <c r="U70" s="39">
        <v>14</v>
      </c>
      <c r="V70" s="39">
        <f>212-U70</f>
        <v>198</v>
      </c>
      <c r="W70" s="39">
        <f>261-V70-U70</f>
        <v>49</v>
      </c>
      <c r="X70" s="39">
        <f>305-SUM(U70:W70)</f>
        <v>44</v>
      </c>
      <c r="Y70" s="6"/>
      <c r="Z70" s="6">
        <f>SUM(U70:X70)</f>
        <v>305</v>
      </c>
      <c r="AA70" s="6"/>
      <c r="AB70" s="39">
        <v>-125</v>
      </c>
      <c r="AC70" s="39">
        <f>851-AB70</f>
        <v>976</v>
      </c>
      <c r="AD70" s="39">
        <f>553-SUM(AB70:AC70)</f>
        <v>-298</v>
      </c>
      <c r="AE70" s="39">
        <f>609-SUM(AB70:AD70)</f>
        <v>56</v>
      </c>
      <c r="AF70" s="6"/>
      <c r="AG70" s="6">
        <f>SUM(AB70:AE70)</f>
        <v>609</v>
      </c>
      <c r="AH70" s="6"/>
      <c r="AI70" s="39">
        <v>0</v>
      </c>
      <c r="AJ70" s="39">
        <v>0</v>
      </c>
      <c r="AK70" s="39">
        <v>0</v>
      </c>
      <c r="AL70" s="39">
        <v>0</v>
      </c>
      <c r="AM70" s="6"/>
      <c r="AN70" s="6">
        <f t="shared" si="41"/>
        <v>0</v>
      </c>
      <c r="AO70" s="6">
        <v>0</v>
      </c>
      <c r="AP70" s="6">
        <v>0</v>
      </c>
      <c r="AQ70" s="6"/>
      <c r="AR70" s="6"/>
      <c r="AS70" s="6"/>
      <c r="AT70" s="59"/>
      <c r="AU70" s="59"/>
    </row>
    <row r="71" spans="1:51" ht="13" x14ac:dyDescent="0.3">
      <c r="A71" s="1" t="s">
        <v>36</v>
      </c>
      <c r="B71" s="5">
        <v>-5143</v>
      </c>
      <c r="C71" s="5">
        <v>-6463</v>
      </c>
      <c r="D71" s="5">
        <v>11</v>
      </c>
      <c r="E71" s="5">
        <v>-150</v>
      </c>
      <c r="F71" s="6"/>
      <c r="G71" s="5">
        <v>-5970</v>
      </c>
      <c r="H71" s="5">
        <f>-5787-G71</f>
        <v>183</v>
      </c>
      <c r="I71" s="5">
        <f>-5985-SUM(G71:H71)</f>
        <v>-198</v>
      </c>
      <c r="J71" s="5">
        <f>-5702-SUM(G71:I71)</f>
        <v>283</v>
      </c>
      <c r="K71" s="5"/>
      <c r="L71" s="6">
        <f t="shared" si="39"/>
        <v>-5702</v>
      </c>
      <c r="M71" s="6"/>
      <c r="N71" s="5">
        <v>-1191</v>
      </c>
      <c r="O71" s="5">
        <f>-2496-N71</f>
        <v>-1305</v>
      </c>
      <c r="P71" s="5">
        <f>-4171-SUM(N71:O71)</f>
        <v>-1675</v>
      </c>
      <c r="Q71" s="5">
        <f>-6059-SUM(N71:P71)</f>
        <v>-1888</v>
      </c>
      <c r="R71" s="6"/>
      <c r="S71" s="6">
        <f>+SUM(N71:Q71)</f>
        <v>-6059</v>
      </c>
      <c r="T71" s="6"/>
      <c r="U71" s="39">
        <v>-568</v>
      </c>
      <c r="V71" s="39">
        <f>-2270-U71</f>
        <v>-1702</v>
      </c>
      <c r="W71" s="39">
        <f>-3593-V71-U71</f>
        <v>-1323</v>
      </c>
      <c r="X71" s="39">
        <f>-4738-SUM(U71:W71)</f>
        <v>-1145</v>
      </c>
      <c r="Y71" s="6"/>
      <c r="Z71" s="6">
        <f>SUM(U71:X71)</f>
        <v>-4738</v>
      </c>
      <c r="AA71" s="6"/>
      <c r="AB71" s="39">
        <v>-1433</v>
      </c>
      <c r="AC71" s="39">
        <f>-2591-AB71</f>
        <v>-1158</v>
      </c>
      <c r="AD71" s="39">
        <f>-4835-SUM(AB71:AC71)</f>
        <v>-2244</v>
      </c>
      <c r="AE71" s="39">
        <f>-7056-SUM(AB71:AD71)</f>
        <v>-2221</v>
      </c>
      <c r="AF71" s="6"/>
      <c r="AG71" s="6">
        <f>SUM(AB71:AE71)</f>
        <v>-7056</v>
      </c>
      <c r="AH71" s="6"/>
      <c r="AI71" s="6">
        <f>AE71</f>
        <v>-2221</v>
      </c>
      <c r="AJ71" s="6">
        <f>AI71</f>
        <v>-2221</v>
      </c>
      <c r="AK71" s="6">
        <f t="shared" ref="AK71:AL71" si="43">AJ71</f>
        <v>-2221</v>
      </c>
      <c r="AL71" s="6">
        <f t="shared" si="43"/>
        <v>-2221</v>
      </c>
      <c r="AM71" s="6"/>
      <c r="AN71" s="6">
        <f t="shared" si="41"/>
        <v>-8884</v>
      </c>
      <c r="AO71" s="6">
        <f>AN71</f>
        <v>-8884</v>
      </c>
      <c r="AP71" s="6">
        <f>AO71</f>
        <v>-8884</v>
      </c>
      <c r="AQ71" s="6"/>
      <c r="AR71" s="6"/>
      <c r="AS71" s="6"/>
      <c r="AT71" s="59"/>
      <c r="AU71" s="59"/>
    </row>
    <row r="72" spans="1:51" ht="14.5" x14ac:dyDescent="0.45">
      <c r="A72" s="1" t="s">
        <v>24</v>
      </c>
      <c r="B72" s="42">
        <f>-3862-465-952-285+1148+5922+18183+798-20</f>
        <v>20467</v>
      </c>
      <c r="C72" s="42">
        <f>-2812+597-1718-1834+232+4462+2929+1419+591</f>
        <v>3866</v>
      </c>
      <c r="D72" s="42">
        <f>-2577+168-2330-1037+3018+2212-3631+1346+1348</f>
        <v>-1483</v>
      </c>
      <c r="E72" s="42">
        <f>-6481-737-932-3459+2798+4633-2309+4149+1402</f>
        <v>-936</v>
      </c>
      <c r="F72" s="6"/>
      <c r="G72" s="42">
        <f>10486-777+940-598-471-2885+2653-4143+250</f>
        <v>5455</v>
      </c>
      <c r="H72" s="42">
        <f>4943-383+1770-1506-236-7228+596-2398+343-G72</f>
        <v>-9554</v>
      </c>
      <c r="I72" s="42">
        <f>5800-662+1861-2230+284-7437+1687-1111+781-SUM(G72:H72)</f>
        <v>3072</v>
      </c>
      <c r="J72" s="42">
        <f>-6834-1123-709-2805+2943+5109+696+2344+825-SUM(G72:I72)</f>
        <v>1473</v>
      </c>
      <c r="K72" s="5"/>
      <c r="L72" s="45">
        <f t="shared" si="39"/>
        <v>446</v>
      </c>
      <c r="M72" s="45"/>
      <c r="N72" s="42">
        <f>11729-543-332-666-1567-3322+410-4024+188</f>
        <v>1873</v>
      </c>
      <c r="O72" s="42">
        <f>8565+762-724-731-3625-8508-2453-2205+445-N72</f>
        <v>-10347</v>
      </c>
      <c r="P72" s="42">
        <f>7157+868+428-1285-4032-8689-1039-490+451-SUM(N72:O72)</f>
        <v>1843</v>
      </c>
      <c r="Q72" s="42">
        <f>SUM(-4087,1242,-1991,-2833,-2721,5535,-358,2272,553)-SUM(N72:P72)</f>
        <v>4243</v>
      </c>
      <c r="R72" s="45"/>
      <c r="S72" s="45">
        <f>+SUM(N72:Q72)</f>
        <v>-2388</v>
      </c>
      <c r="T72" s="45"/>
      <c r="U72" s="74">
        <f>11034-505-796-2013+1214-4126+1425-4106+291</f>
        <v>2418</v>
      </c>
      <c r="V72" s="74">
        <f>8083+969-71-3440-1307-9664-129-2588+265-U72</f>
        <v>-10300</v>
      </c>
      <c r="W72" s="74">
        <f>6055+1229+880-5577-659-10309+2493+215+313-V72-U72</f>
        <v>2522</v>
      </c>
      <c r="X72" s="74">
        <f>SUM(-7191,1284,-1648,-6817,3545,5348,1687,4867,749)-SUM(U72:W72)</f>
        <v>7184</v>
      </c>
      <c r="Y72" s="45"/>
      <c r="Z72" s="45">
        <f>SUM(U72:X72)</f>
        <v>1824</v>
      </c>
      <c r="AA72" s="45"/>
      <c r="AB72" s="74">
        <f>SUM(14037,-373,-82,-1761,-916,-5553,1016,-5479,-33)</f>
        <v>856</v>
      </c>
      <c r="AC72" s="74">
        <f>SUM(8059,338,-435,-2850,42,-11891,-2379,-2262,683)-AB72</f>
        <v>-11551</v>
      </c>
      <c r="AD72" s="74">
        <f>(5598+390+642+-3368+1221+-12923+-1081+576+292)-SUM(AB72:AC72)</f>
        <v>2042</v>
      </c>
      <c r="AE72" s="74">
        <f>(-10581+309+-3044+-2950+569+5438+-38+5922+-975)-SUM(AB72:AD72)</f>
        <v>3303</v>
      </c>
      <c r="AF72" s="45"/>
      <c r="AG72" s="45">
        <f>SUM(AB72:AE72)</f>
        <v>-5350</v>
      </c>
      <c r="AH72" s="45"/>
      <c r="AI72" s="45" t="e">
        <f>#REF!</f>
        <v>#REF!</v>
      </c>
      <c r="AJ72" s="45" t="e">
        <f>#REF!</f>
        <v>#REF!</v>
      </c>
      <c r="AK72" s="45" t="e">
        <f>#REF!</f>
        <v>#REF!</v>
      </c>
      <c r="AL72" s="45" t="e">
        <f>#REF!</f>
        <v>#REF!</v>
      </c>
      <c r="AM72" s="45"/>
      <c r="AN72" s="45" t="e">
        <f t="shared" si="41"/>
        <v>#REF!</v>
      </c>
      <c r="AO72" s="45" t="e">
        <f>#REF!</f>
        <v>#REF!</v>
      </c>
      <c r="AP72" s="45" t="e">
        <f>#REF!</f>
        <v>#REF!</v>
      </c>
      <c r="AQ72" s="45"/>
      <c r="AR72" s="45"/>
      <c r="AS72" s="45"/>
      <c r="AT72" s="59"/>
      <c r="AU72" s="59"/>
    </row>
    <row r="73" spans="1:51" ht="13" x14ac:dyDescent="0.3">
      <c r="A73" s="1" t="s">
        <v>12</v>
      </c>
      <c r="B73" s="6">
        <f>SUM(B67:B72)</f>
        <v>43884</v>
      </c>
      <c r="C73" s="6">
        <f>SUM(C67:C72)</f>
        <v>52185</v>
      </c>
      <c r="D73" s="6">
        <f>SUM(D67:D72)</f>
        <v>60675</v>
      </c>
      <c r="E73" s="6">
        <f>SUM(E67:E72)</f>
        <v>76740</v>
      </c>
      <c r="F73" s="6"/>
      <c r="G73" s="6">
        <f>SUM(G67:G72)</f>
        <v>24540</v>
      </c>
      <c r="H73" s="6">
        <f>SUM(H67:H72)</f>
        <v>14480</v>
      </c>
      <c r="I73" s="6">
        <f>SUM(I67:I72)</f>
        <v>25386</v>
      </c>
      <c r="J73" s="6">
        <f>SUM(J67:J72)</f>
        <v>24629</v>
      </c>
      <c r="K73" s="5"/>
      <c r="L73" s="6">
        <f>SUM(L67:L72)</f>
        <v>89035</v>
      </c>
      <c r="M73" s="6"/>
      <c r="N73" s="6">
        <f>SUM(N67:N72)</f>
        <v>23198</v>
      </c>
      <c r="O73" s="6">
        <f>SUM(O67:O72)</f>
        <v>11173</v>
      </c>
      <c r="P73" s="6">
        <f>SUM(P67:P72)</f>
        <v>24441</v>
      </c>
      <c r="Q73" s="6">
        <f>SUM(Q67:Q72)</f>
        <v>28770</v>
      </c>
      <c r="R73" s="6"/>
      <c r="S73" s="6">
        <f>SUM(S67:S72)</f>
        <v>87582</v>
      </c>
      <c r="T73" s="6"/>
      <c r="U73" s="6">
        <f>SUM(U67:U72)</f>
        <v>30583</v>
      </c>
      <c r="V73" s="6">
        <f>SUM(V67:V72)</f>
        <v>18853</v>
      </c>
      <c r="W73" s="6">
        <f>SUM(W67:W72)</f>
        <v>31917</v>
      </c>
      <c r="X73" s="6">
        <f>SUM(X67:X72)</f>
        <v>37195</v>
      </c>
      <c r="Y73" s="6"/>
      <c r="Z73" s="6">
        <f>SUM(Z67:Z72)</f>
        <v>118548</v>
      </c>
      <c r="AA73" s="6"/>
      <c r="AB73" s="6">
        <f>SUM(AB67:AB72)</f>
        <v>34180</v>
      </c>
      <c r="AC73" s="6">
        <f>SUM(AC67:AC72)</f>
        <v>22291</v>
      </c>
      <c r="AD73" s="6">
        <f>SUM(AD67:AD72)</f>
        <v>37044</v>
      </c>
      <c r="AE73" s="6">
        <f>SUM(AE67:AE72)</f>
        <v>42647</v>
      </c>
      <c r="AF73" s="6"/>
      <c r="AG73" s="6">
        <f>SUM(AG67:AG72)</f>
        <v>136162</v>
      </c>
      <c r="AH73" s="6"/>
      <c r="AI73" s="6" t="e">
        <f t="shared" ref="AI73:AL73" si="44">SUM(AI67:AI72)</f>
        <v>#REF!</v>
      </c>
      <c r="AJ73" s="6" t="e">
        <f t="shared" si="44"/>
        <v>#REF!</v>
      </c>
      <c r="AK73" s="6" t="e">
        <f t="shared" si="44"/>
        <v>#REF!</v>
      </c>
      <c r="AL73" s="6" t="e">
        <f t="shared" si="44"/>
        <v>#REF!</v>
      </c>
      <c r="AM73" s="6"/>
      <c r="AN73" s="6" t="e">
        <f>SUM(AN67:AN72)</f>
        <v>#REF!</v>
      </c>
      <c r="AO73" s="6" t="e">
        <f>SUM(AO67:AO72)</f>
        <v>#REF!</v>
      </c>
      <c r="AP73" s="6" t="e">
        <f>SUM(AP67:AP72)</f>
        <v>#REF!</v>
      </c>
      <c r="AQ73" s="6"/>
      <c r="AR73" s="6"/>
      <c r="AS73" s="6"/>
      <c r="AT73" s="59"/>
      <c r="AU73" s="59"/>
    </row>
    <row r="74" spans="1:51" ht="13" x14ac:dyDescent="0.3">
      <c r="A74" s="1"/>
      <c r="B74" s="40"/>
      <c r="C74" s="40"/>
      <c r="D74" s="40"/>
      <c r="E74" s="40"/>
      <c r="F74" s="37"/>
      <c r="G74" s="40"/>
      <c r="H74" s="40"/>
      <c r="I74" s="57"/>
      <c r="J74" s="40"/>
      <c r="K74" s="5"/>
      <c r="L74" s="26"/>
      <c r="M74" s="26"/>
      <c r="N74" s="40"/>
      <c r="O74" s="58"/>
      <c r="P74" s="57"/>
      <c r="Q74" s="26"/>
      <c r="R74" s="26"/>
      <c r="S74" s="6"/>
      <c r="T74" s="26"/>
      <c r="U74" s="6"/>
      <c r="V74" s="6"/>
      <c r="W74" s="6"/>
      <c r="X74" s="6"/>
      <c r="Y74" s="26"/>
      <c r="Z74" s="6"/>
      <c r="AA74" s="26"/>
      <c r="AB74" s="6"/>
      <c r="AC74" s="6"/>
      <c r="AD74" s="6"/>
      <c r="AE74" s="6"/>
      <c r="AF74" s="2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59"/>
      <c r="AU74" s="59"/>
    </row>
    <row r="75" spans="1:51" ht="13" x14ac:dyDescent="0.3">
      <c r="A75" s="1" t="s">
        <v>13</v>
      </c>
      <c r="B75" s="5">
        <v>-11632</v>
      </c>
      <c r="C75" s="5">
        <v>-13925</v>
      </c>
      <c r="D75" s="5">
        <v>-15441</v>
      </c>
      <c r="E75" s="5">
        <v>-20622</v>
      </c>
      <c r="F75" s="40"/>
      <c r="G75" s="5">
        <v>-5810</v>
      </c>
      <c r="H75" s="5">
        <f>-11675-G75</f>
        <v>-5865</v>
      </c>
      <c r="I75" s="5">
        <f>-17015-SUM(G75:H75)</f>
        <v>-5340</v>
      </c>
      <c r="J75" s="5">
        <f>-23886-SUM(G75:I75)</f>
        <v>-6871</v>
      </c>
      <c r="K75" s="5"/>
      <c r="L75" s="6">
        <f t="shared" ref="L75:L84" si="45">+SUM(G75:J75)</f>
        <v>-23886</v>
      </c>
      <c r="M75" s="6"/>
      <c r="N75" s="5">
        <v>-6283</v>
      </c>
      <c r="O75" s="5">
        <f>-12557-N75</f>
        <v>-6274</v>
      </c>
      <c r="P75" s="5">
        <f>-19164-SUM(N75:O75)</f>
        <v>-6607</v>
      </c>
      <c r="Q75" s="39">
        <f>-28107-SUM(N75:P75)</f>
        <v>-8943</v>
      </c>
      <c r="R75" s="6"/>
      <c r="S75" s="6">
        <f t="shared" ref="S75:S84" si="46">+SUM(N75:Q75)</f>
        <v>-28107</v>
      </c>
      <c r="T75" s="6"/>
      <c r="U75" s="39">
        <v>-9917</v>
      </c>
      <c r="V75" s="39">
        <f>-19652-U75</f>
        <v>-9735</v>
      </c>
      <c r="W75" s="39">
        <f>-30604-V75-U75</f>
        <v>-10952</v>
      </c>
      <c r="X75" s="39">
        <f>-44477-SUM(U75:W75)</f>
        <v>-13873</v>
      </c>
      <c r="Y75" s="6"/>
      <c r="Z75" s="6">
        <f t="shared" ref="Z75:Z84" si="47">SUM(U75:X75)</f>
        <v>-44477</v>
      </c>
      <c r="AA75" s="6"/>
      <c r="AB75" s="39">
        <v>-14923</v>
      </c>
      <c r="AC75" s="39">
        <f>-30727-AB75</f>
        <v>-15804</v>
      </c>
      <c r="AD75" s="39">
        <f>-47472-SUM(AB75:AC75)</f>
        <v>-16745</v>
      </c>
      <c r="AE75" s="39">
        <f>-64551-SUM(AB75:AD75)</f>
        <v>-17079</v>
      </c>
      <c r="AF75" s="6"/>
      <c r="AG75" s="6">
        <f>SUM(AB75:AE75)</f>
        <v>-64551</v>
      </c>
      <c r="AH75" s="6"/>
      <c r="AI75" s="6">
        <f>+AI$41*-AQ75</f>
        <v>-17532.107759999999</v>
      </c>
      <c r="AJ75" s="6">
        <f t="shared" ref="AJ75:AL75" si="48">+AJ$41*-AR75</f>
        <v>-18807.74325</v>
      </c>
      <c r="AK75" s="6">
        <f t="shared" si="48"/>
        <v>-19224.27864</v>
      </c>
      <c r="AL75" s="6">
        <f t="shared" si="48"/>
        <v>-21178.14</v>
      </c>
      <c r="AM75" s="6"/>
      <c r="AN75" s="6">
        <f t="shared" ref="AN75:AN84" si="49">SUM(AI75:AL75)</f>
        <v>-76742.269650000002</v>
      </c>
      <c r="AO75" s="6">
        <f>+AO$41*-AU75</f>
        <v>-80907.901154999985</v>
      </c>
      <c r="AP75" s="6">
        <f>+AP$41*-AV75</f>
        <v>-84874.317102225003</v>
      </c>
      <c r="AQ75" s="91">
        <v>0.23200000000000001</v>
      </c>
      <c r="AR75" s="91">
        <v>0.23499999999999999</v>
      </c>
      <c r="AS75" s="91">
        <v>0.23799999999999999</v>
      </c>
      <c r="AT75" s="91">
        <v>0.24</v>
      </c>
      <c r="AU75" s="91">
        <v>0.22500000000000001</v>
      </c>
      <c r="AV75" s="91">
        <v>0.21</v>
      </c>
    </row>
    <row r="76" spans="1:51" ht="13" x14ac:dyDescent="0.3">
      <c r="A76" s="1" t="s">
        <v>25</v>
      </c>
      <c r="B76" s="5">
        <v>-888</v>
      </c>
      <c r="C76" s="5">
        <v>-2388</v>
      </c>
      <c r="D76" s="5">
        <f>-2521</f>
        <v>-2521</v>
      </c>
      <c r="E76" s="5">
        <v>-8909</v>
      </c>
      <c r="F76" s="6"/>
      <c r="G76" s="5">
        <v>-1206</v>
      </c>
      <c r="H76" s="5">
        <f>-2056-G76</f>
        <v>-850</v>
      </c>
      <c r="I76" s="5">
        <f>-20775-SUM(G76:H76)</f>
        <v>-18719</v>
      </c>
      <c r="J76" s="5">
        <f>-22038-SUM(G76:I76)</f>
        <v>-1263</v>
      </c>
      <c r="K76" s="5"/>
      <c r="L76" s="6">
        <f t="shared" si="45"/>
        <v>-22038</v>
      </c>
      <c r="M76" s="6"/>
      <c r="N76" s="5">
        <v>-349</v>
      </c>
      <c r="O76" s="5">
        <f>-1028-N76</f>
        <v>-679</v>
      </c>
      <c r="P76" s="5">
        <f>-1329-SUM(N76:O76)</f>
        <v>-301</v>
      </c>
      <c r="Q76" s="5">
        <f>-1670-SUM(N76:P76)</f>
        <v>-341</v>
      </c>
      <c r="R76" s="6"/>
      <c r="S76" s="6">
        <f t="shared" si="46"/>
        <v>-1670</v>
      </c>
      <c r="T76" s="6"/>
      <c r="U76" s="5">
        <v>-1186</v>
      </c>
      <c r="V76" s="5">
        <f>-66215-U76</f>
        <v>-65029</v>
      </c>
      <c r="W76" s="5">
        <f>-67790-V76-U76</f>
        <v>-1575</v>
      </c>
      <c r="X76" s="5">
        <f>-69132-SUM(U76:W76)</f>
        <v>-1342</v>
      </c>
      <c r="Y76" s="6"/>
      <c r="Z76" s="6">
        <f t="shared" si="47"/>
        <v>-69132</v>
      </c>
      <c r="AA76" s="6"/>
      <c r="AB76" s="5">
        <v>-1849</v>
      </c>
      <c r="AC76" s="5">
        <f>-3254-AB76</f>
        <v>-1405</v>
      </c>
      <c r="AD76" s="39">
        <f>-4235-SUM(AB76:AC76)</f>
        <v>-981</v>
      </c>
      <c r="AE76" s="39">
        <f>-5978-SUM(AB76:AD76)</f>
        <v>-1743</v>
      </c>
      <c r="AF76" s="6"/>
      <c r="AG76" s="6">
        <f t="shared" ref="AG76:AG78" si="50">SUM(AB76:AE76)</f>
        <v>-5978</v>
      </c>
      <c r="AH76" s="6"/>
      <c r="AI76" s="39">
        <v>0</v>
      </c>
      <c r="AJ76" s="39">
        <v>0</v>
      </c>
      <c r="AK76" s="39">
        <v>0</v>
      </c>
      <c r="AL76" s="39">
        <v>0</v>
      </c>
      <c r="AM76" s="6"/>
      <c r="AN76" s="6">
        <f t="shared" si="49"/>
        <v>0</v>
      </c>
      <c r="AO76" s="6">
        <v>0</v>
      </c>
      <c r="AP76" s="6">
        <v>0</v>
      </c>
      <c r="AQ76" s="6"/>
      <c r="AR76" s="6"/>
      <c r="AS76" s="6"/>
      <c r="AT76" s="59"/>
      <c r="AU76" s="59"/>
    </row>
    <row r="77" spans="1:51" ht="13" x14ac:dyDescent="0.3">
      <c r="A77" s="1" t="s">
        <v>51</v>
      </c>
      <c r="B77" s="5">
        <f>-137380+26360+117577</f>
        <v>6557</v>
      </c>
      <c r="C77" s="5">
        <f>-57697+20043+38194</f>
        <v>540</v>
      </c>
      <c r="D77" s="5">
        <f>-77190+66449+17721</f>
        <v>6980</v>
      </c>
      <c r="E77" s="5">
        <f>-62924+51792+14008</f>
        <v>2876</v>
      </c>
      <c r="F77" s="6"/>
      <c r="G77" s="5">
        <f>-10309+8862+5630</f>
        <v>4183</v>
      </c>
      <c r="H77" s="5">
        <f>-12814+14115+8525-G77</f>
        <v>5643</v>
      </c>
      <c r="I77" s="5">
        <f>-21537+15214+25218-SUM(G77:H77)</f>
        <v>9069</v>
      </c>
      <c r="J77" s="5">
        <f>-26456+16451+28443-SUM(G77:I77)</f>
        <v>-457</v>
      </c>
      <c r="K77" s="5"/>
      <c r="L77" s="6">
        <f t="shared" si="45"/>
        <v>18438</v>
      </c>
      <c r="M77" s="6"/>
      <c r="N77" s="5">
        <f>-5013+6662+2711</f>
        <v>4360</v>
      </c>
      <c r="O77" s="5">
        <f>-16612+13590+7486-N77</f>
        <v>104</v>
      </c>
      <c r="P77" s="5">
        <f>-25675+26744+8725-SUM(N77:O77)</f>
        <v>5330</v>
      </c>
      <c r="Q77" s="5">
        <f>SUM(-37651,33510,14354)-SUM(N77:P77)</f>
        <v>419</v>
      </c>
      <c r="R77" s="6"/>
      <c r="S77" s="6">
        <f t="shared" si="46"/>
        <v>10213</v>
      </c>
      <c r="T77" s="6"/>
      <c r="U77" s="5">
        <f>-8460+15718+5330</f>
        <v>12588</v>
      </c>
      <c r="V77" s="5">
        <f>-12718+19868+6930-U77</f>
        <v>1492</v>
      </c>
      <c r="W77" s="5">
        <f>-14901+23218+8871-V77-U77</f>
        <v>3108</v>
      </c>
      <c r="X77" s="5">
        <f>SUM(-17732,24775,10894)-SUM(U77:W77)</f>
        <v>749</v>
      </c>
      <c r="Y77" s="6"/>
      <c r="Z77" s="6">
        <f t="shared" si="47"/>
        <v>17937</v>
      </c>
      <c r="AA77" s="6"/>
      <c r="AB77" s="5">
        <f>-1620+2136+1968-913</f>
        <v>1571</v>
      </c>
      <c r="AC77" s="5">
        <f>-3670+4740+4527-929-AB77</f>
        <v>3097</v>
      </c>
      <c r="AD77" s="39">
        <f>(-8144+6688+11461)-SUM(AB77:AC77)</f>
        <v>5337</v>
      </c>
      <c r="AE77" s="39">
        <f>(-29775+16079+9309)-SUM(AB77:AD77)</f>
        <v>-14392</v>
      </c>
      <c r="AF77" s="6"/>
      <c r="AG77" s="6">
        <f t="shared" si="50"/>
        <v>-4387</v>
      </c>
      <c r="AH77" s="6"/>
      <c r="AI77" s="39">
        <v>0</v>
      </c>
      <c r="AJ77" s="39">
        <v>0</v>
      </c>
      <c r="AK77" s="39">
        <v>0</v>
      </c>
      <c r="AL77" s="39">
        <v>0</v>
      </c>
      <c r="AM77" s="6"/>
      <c r="AN77" s="6">
        <f t="shared" si="49"/>
        <v>0</v>
      </c>
      <c r="AO77" s="6">
        <v>0</v>
      </c>
      <c r="AP77" s="6">
        <v>0</v>
      </c>
      <c r="AQ77" s="6"/>
      <c r="AR77" s="37"/>
      <c r="AS77" s="6"/>
      <c r="AT77" s="59"/>
      <c r="AU77" s="59"/>
    </row>
    <row r="78" spans="1:51" ht="13" x14ac:dyDescent="0.3">
      <c r="A78" s="1" t="s">
        <v>54</v>
      </c>
      <c r="B78" s="5">
        <v>0</v>
      </c>
      <c r="C78" s="5">
        <v>0</v>
      </c>
      <c r="D78" s="5">
        <v>-3417</v>
      </c>
      <c r="E78" s="5">
        <v>-1754</v>
      </c>
      <c r="F78" s="6"/>
      <c r="G78" s="5">
        <v>0</v>
      </c>
      <c r="H78" s="5">
        <v>0</v>
      </c>
      <c r="I78" s="5">
        <v>0</v>
      </c>
      <c r="J78" s="5">
        <v>0</v>
      </c>
      <c r="K78" s="5"/>
      <c r="L78" s="6">
        <f t="shared" si="45"/>
        <v>0</v>
      </c>
      <c r="M78" s="6"/>
      <c r="N78" s="5">
        <v>0</v>
      </c>
      <c r="O78" s="5">
        <v>0</v>
      </c>
      <c r="P78" s="5">
        <v>0</v>
      </c>
      <c r="Q78" s="5">
        <v>0</v>
      </c>
      <c r="R78" s="6"/>
      <c r="S78" s="6">
        <f t="shared" si="46"/>
        <v>0</v>
      </c>
      <c r="T78" s="6"/>
      <c r="U78" s="5">
        <v>0</v>
      </c>
      <c r="V78" s="5">
        <v>0</v>
      </c>
      <c r="W78" s="5">
        <v>0</v>
      </c>
      <c r="X78" s="5">
        <v>0</v>
      </c>
      <c r="Y78" s="6"/>
      <c r="Z78" s="6">
        <f t="shared" si="47"/>
        <v>0</v>
      </c>
      <c r="AA78" s="6"/>
      <c r="AB78" s="5">
        <v>0</v>
      </c>
      <c r="AC78" s="5">
        <v>0</v>
      </c>
      <c r="AD78" s="39">
        <v>0</v>
      </c>
      <c r="AE78" s="39">
        <v>0</v>
      </c>
      <c r="AF78" s="6"/>
      <c r="AG78" s="6">
        <f t="shared" si="50"/>
        <v>0</v>
      </c>
      <c r="AH78" s="6"/>
      <c r="AI78" s="39">
        <v>0</v>
      </c>
      <c r="AJ78" s="39">
        <v>0</v>
      </c>
      <c r="AK78" s="39">
        <v>0</v>
      </c>
      <c r="AL78" s="39">
        <v>0</v>
      </c>
      <c r="AM78" s="6"/>
      <c r="AN78" s="6">
        <f t="shared" si="49"/>
        <v>0</v>
      </c>
      <c r="AO78" s="6">
        <v>0</v>
      </c>
      <c r="AP78" s="6">
        <v>0</v>
      </c>
      <c r="AQ78" s="6"/>
      <c r="AR78" s="37"/>
      <c r="AS78" s="6"/>
      <c r="AT78" s="59"/>
      <c r="AU78" s="59"/>
    </row>
    <row r="79" spans="1:51" ht="13" x14ac:dyDescent="0.3">
      <c r="A79" s="1" t="s">
        <v>26</v>
      </c>
      <c r="B79" s="5">
        <v>7183</v>
      </c>
      <c r="C79" s="5">
        <v>0</v>
      </c>
      <c r="D79" s="5">
        <v>0</v>
      </c>
      <c r="E79" s="5">
        <v>0</v>
      </c>
      <c r="F79" s="6"/>
      <c r="G79" s="5">
        <v>0</v>
      </c>
      <c r="H79" s="5">
        <v>0</v>
      </c>
      <c r="I79" s="5">
        <v>0</v>
      </c>
      <c r="J79" s="5">
        <v>0</v>
      </c>
      <c r="K79" s="5"/>
      <c r="L79" s="6">
        <f t="shared" si="45"/>
        <v>0</v>
      </c>
      <c r="M79" s="6"/>
      <c r="N79" s="5">
        <v>0</v>
      </c>
      <c r="O79" s="5">
        <v>0</v>
      </c>
      <c r="P79" s="5">
        <v>0</v>
      </c>
      <c r="Q79" s="5">
        <v>0</v>
      </c>
      <c r="R79" s="6"/>
      <c r="S79" s="6">
        <f t="shared" si="46"/>
        <v>0</v>
      </c>
      <c r="T79" s="6"/>
      <c r="U79" s="5">
        <f>18692+7073</f>
        <v>25765</v>
      </c>
      <c r="V79" s="5">
        <f>17846+10202-U79</f>
        <v>2283</v>
      </c>
      <c r="W79" s="5">
        <f>24198+6392-V79-U79</f>
        <v>2542</v>
      </c>
      <c r="X79" s="5">
        <f>24395+5250-SUM(U79:W79)</f>
        <v>-945</v>
      </c>
      <c r="Y79" s="6"/>
      <c r="Z79" s="6">
        <f t="shared" si="47"/>
        <v>29645</v>
      </c>
      <c r="AA79" s="6"/>
      <c r="AB79" s="5">
        <v>0</v>
      </c>
      <c r="AC79" s="5">
        <v>0</v>
      </c>
      <c r="AD79" s="39">
        <v>0</v>
      </c>
      <c r="AE79" s="39">
        <v>0</v>
      </c>
      <c r="AF79" s="6"/>
      <c r="AG79" s="6">
        <f t="shared" ref="AG79:AG84" si="51">SUM(AB79:AE79)</f>
        <v>0</v>
      </c>
      <c r="AH79" s="6"/>
      <c r="AI79" s="39">
        <v>0</v>
      </c>
      <c r="AJ79" s="39">
        <v>0</v>
      </c>
      <c r="AK79" s="39">
        <v>0</v>
      </c>
      <c r="AL79" s="39">
        <v>0</v>
      </c>
      <c r="AM79" s="6"/>
      <c r="AN79" s="6">
        <f t="shared" si="49"/>
        <v>0</v>
      </c>
      <c r="AO79" s="6">
        <v>0</v>
      </c>
      <c r="AP79" s="6">
        <v>0</v>
      </c>
      <c r="AQ79" s="6"/>
      <c r="AR79" s="6"/>
      <c r="AS79" s="6"/>
      <c r="AT79" s="39"/>
      <c r="AU79" s="59"/>
      <c r="AV79" s="59"/>
      <c r="AW79" s="59"/>
    </row>
    <row r="80" spans="1:51" ht="13" x14ac:dyDescent="0.3">
      <c r="A80" s="1" t="s">
        <v>27</v>
      </c>
      <c r="B80" s="5">
        <f>-7324-10060</f>
        <v>-17384</v>
      </c>
      <c r="C80" s="5">
        <v>-4000</v>
      </c>
      <c r="D80" s="5">
        <v>-5518</v>
      </c>
      <c r="E80" s="5">
        <v>-3750</v>
      </c>
      <c r="F80" s="6"/>
      <c r="G80" s="5">
        <v>-4826</v>
      </c>
      <c r="H80" s="5">
        <f>-4826-G80</f>
        <v>0</v>
      </c>
      <c r="I80" s="5">
        <f>-9023-SUM(G80:H80)</f>
        <v>-4197</v>
      </c>
      <c r="J80" s="5">
        <f>-9023-SUM(G80:I80)</f>
        <v>0</v>
      </c>
      <c r="K80" s="5"/>
      <c r="L80" s="6">
        <f t="shared" si="45"/>
        <v>-9023</v>
      </c>
      <c r="M80" s="6"/>
      <c r="N80" s="5">
        <v>-1000</v>
      </c>
      <c r="O80" s="5">
        <f>-1750-N80</f>
        <v>-750</v>
      </c>
      <c r="P80" s="5">
        <f>-1750-SUM(N80:O80)</f>
        <v>0</v>
      </c>
      <c r="Q80" s="5">
        <f>-2750-SUM(N80:P80)</f>
        <v>-1000</v>
      </c>
      <c r="R80" s="6"/>
      <c r="S80" s="6">
        <f t="shared" si="46"/>
        <v>-2750</v>
      </c>
      <c r="T80" s="6"/>
      <c r="U80" s="5">
        <v>-1500</v>
      </c>
      <c r="V80" s="5">
        <f>-4416-U80</f>
        <v>-2916</v>
      </c>
      <c r="W80" s="5">
        <f>-16005-V80-U80</f>
        <v>-11589</v>
      </c>
      <c r="X80" s="5">
        <f>-29070-SUM(U80:W80)</f>
        <v>-13065</v>
      </c>
      <c r="Y80" s="6"/>
      <c r="Z80" s="6">
        <f t="shared" si="47"/>
        <v>-29070</v>
      </c>
      <c r="AA80" s="6"/>
      <c r="AB80" s="5">
        <f>-966-5746</f>
        <v>-6712</v>
      </c>
      <c r="AC80" s="5">
        <f>-5746-966-AB80</f>
        <v>0</v>
      </c>
      <c r="AD80" s="39">
        <f>(-5746+-3216)-SUM(AB80:AC80)</f>
        <v>-2250</v>
      </c>
      <c r="AE80" s="39">
        <f>(-5746+-3216)-SUM(AB80:AD80)</f>
        <v>0</v>
      </c>
      <c r="AF80" s="6"/>
      <c r="AG80" s="6">
        <f t="shared" si="51"/>
        <v>-8962</v>
      </c>
      <c r="AH80" s="6"/>
      <c r="AI80" s="39">
        <v>0</v>
      </c>
      <c r="AJ80" s="6" t="e">
        <f>-#REF!</f>
        <v>#REF!</v>
      </c>
      <c r="AK80" s="39">
        <v>0</v>
      </c>
      <c r="AL80" s="39">
        <v>0</v>
      </c>
      <c r="AM80" s="6"/>
      <c r="AN80" s="6" t="e">
        <f t="shared" si="49"/>
        <v>#REF!</v>
      </c>
      <c r="AO80" s="6" t="e">
        <f>-#REF!-#REF!-#REF!-#REF!-#REF!-#REF!-#REF!-#REF!</f>
        <v>#REF!</v>
      </c>
      <c r="AP80" s="6" t="e">
        <f>-#REF!</f>
        <v>#REF!</v>
      </c>
      <c r="AQ80" s="6"/>
      <c r="AR80" s="6"/>
      <c r="AS80" s="6"/>
      <c r="AT80" s="39"/>
      <c r="AU80" s="59"/>
      <c r="AV80" s="59"/>
      <c r="AW80" s="59"/>
      <c r="AY80" s="10"/>
    </row>
    <row r="81" spans="1:49" ht="13" x14ac:dyDescent="0.3">
      <c r="A81" s="1" t="s">
        <v>37</v>
      </c>
      <c r="B81" s="5">
        <v>1002</v>
      </c>
      <c r="C81" s="5">
        <v>1142</v>
      </c>
      <c r="D81" s="5">
        <v>1343</v>
      </c>
      <c r="E81" s="5">
        <v>1693</v>
      </c>
      <c r="F81" s="6"/>
      <c r="G81" s="5">
        <v>612</v>
      </c>
      <c r="H81" s="5">
        <f>903-G81</f>
        <v>291</v>
      </c>
      <c r="I81" s="5">
        <f>1380-SUM(G81:H81)</f>
        <v>477</v>
      </c>
      <c r="J81" s="5">
        <f>1841-SUM(G81:I81)</f>
        <v>461</v>
      </c>
      <c r="K81" s="5"/>
      <c r="L81" s="6">
        <f t="shared" si="45"/>
        <v>1841</v>
      </c>
      <c r="M81" s="6"/>
      <c r="N81" s="5">
        <v>575</v>
      </c>
      <c r="O81" s="5">
        <f>818-N81</f>
        <v>243</v>
      </c>
      <c r="P81" s="5">
        <f>1354-SUM(N81:O81)</f>
        <v>536</v>
      </c>
      <c r="Q81" s="5">
        <f>1866-SUM(N81:P81)</f>
        <v>512</v>
      </c>
      <c r="R81" s="6"/>
      <c r="S81" s="6">
        <f t="shared" si="46"/>
        <v>1866</v>
      </c>
      <c r="T81" s="6"/>
      <c r="U81" s="5">
        <v>685</v>
      </c>
      <c r="V81" s="5">
        <f>946-U81</f>
        <v>261</v>
      </c>
      <c r="W81" s="5">
        <f>1468-V81-U81</f>
        <v>522</v>
      </c>
      <c r="X81" s="5">
        <f>2002-SUM(U81:W81)</f>
        <v>534</v>
      </c>
      <c r="Y81" s="6"/>
      <c r="Z81" s="6">
        <f t="shared" si="47"/>
        <v>2002</v>
      </c>
      <c r="AA81" s="6"/>
      <c r="AB81" s="5">
        <v>706</v>
      </c>
      <c r="AC81" s="5">
        <f>962-AB81</f>
        <v>256</v>
      </c>
      <c r="AD81" s="39">
        <f>1508-SUM(AB81:AC81)</f>
        <v>546</v>
      </c>
      <c r="AE81" s="39">
        <f>2056-SUM(AB81:AD81)</f>
        <v>548</v>
      </c>
      <c r="AF81" s="6"/>
      <c r="AG81" s="6">
        <f t="shared" si="51"/>
        <v>2056</v>
      </c>
      <c r="AH81" s="6"/>
      <c r="AI81" s="39">
        <v>0</v>
      </c>
      <c r="AJ81" s="39">
        <v>0</v>
      </c>
      <c r="AK81" s="39">
        <v>0</v>
      </c>
      <c r="AL81" s="39">
        <v>0</v>
      </c>
      <c r="AM81" s="6"/>
      <c r="AN81" s="6">
        <f t="shared" si="49"/>
        <v>0</v>
      </c>
      <c r="AO81" s="39">
        <v>0</v>
      </c>
      <c r="AP81" s="39">
        <v>0</v>
      </c>
      <c r="AQ81" s="6"/>
      <c r="AR81" s="6"/>
      <c r="AS81" s="6"/>
      <c r="AT81" s="39"/>
      <c r="AU81" s="59"/>
      <c r="AV81" s="59"/>
      <c r="AW81" s="59"/>
    </row>
    <row r="82" spans="1:49" ht="13" x14ac:dyDescent="0.3">
      <c r="A82" s="1" t="s">
        <v>38</v>
      </c>
      <c r="B82" s="5">
        <v>-10721</v>
      </c>
      <c r="C82" s="5">
        <v>-19543</v>
      </c>
      <c r="D82" s="5">
        <v>-22968</v>
      </c>
      <c r="E82" s="5">
        <v>-27385</v>
      </c>
      <c r="F82" s="6"/>
      <c r="G82" s="5">
        <v>-7684</v>
      </c>
      <c r="H82" s="5">
        <f>-15117-G82</f>
        <v>-7433</v>
      </c>
      <c r="I82" s="5">
        <f>-23939-SUM(G82:H82)</f>
        <v>-8822</v>
      </c>
      <c r="J82" s="5">
        <f>-32696-SUM(G82:I82)</f>
        <v>-8757</v>
      </c>
      <c r="K82" s="5"/>
      <c r="L82" s="6">
        <f t="shared" si="45"/>
        <v>-32696</v>
      </c>
      <c r="M82" s="6"/>
      <c r="N82" s="5">
        <v>-5573</v>
      </c>
      <c r="O82" s="5">
        <f>-11032-N82</f>
        <v>-5459</v>
      </c>
      <c r="P82" s="5">
        <f>-16541-SUM(N82:O82)</f>
        <v>-5509</v>
      </c>
      <c r="Q82" s="5">
        <f>-22245-SUM(N82:P82)</f>
        <v>-5704</v>
      </c>
      <c r="R82" s="6"/>
      <c r="S82" s="6">
        <f t="shared" si="46"/>
        <v>-22245</v>
      </c>
      <c r="T82" s="6"/>
      <c r="U82" s="5">
        <v>-4831</v>
      </c>
      <c r="V82" s="5">
        <f>-8831-U82</f>
        <v>-4000</v>
      </c>
      <c r="W82" s="5">
        <f>-13044-V82-U82</f>
        <v>-4213</v>
      </c>
      <c r="X82" s="5">
        <f>-17254-SUM(U82:W82)</f>
        <v>-4210</v>
      </c>
      <c r="Y82" s="6"/>
      <c r="Z82" s="6">
        <f t="shared" si="47"/>
        <v>-17254</v>
      </c>
      <c r="AA82" s="6"/>
      <c r="AB82" s="5">
        <v>-4107</v>
      </c>
      <c r="AC82" s="5">
        <f>-9093-AB82</f>
        <v>-4986</v>
      </c>
      <c r="AD82" s="39">
        <f>-13874-SUM(AB82:AC82)</f>
        <v>-4781</v>
      </c>
      <c r="AE82" s="39">
        <f>-18420-SUM(AB82:AD82)</f>
        <v>-4546</v>
      </c>
      <c r="AF82" s="6"/>
      <c r="AG82" s="6">
        <f t="shared" si="51"/>
        <v>-18420</v>
      </c>
      <c r="AH82" s="6"/>
      <c r="AI82" s="6">
        <f>AE82</f>
        <v>-4546</v>
      </c>
      <c r="AJ82" s="6">
        <f>AI82</f>
        <v>-4546</v>
      </c>
      <c r="AK82" s="6">
        <f t="shared" ref="AK82:AL82" si="52">AJ82</f>
        <v>-4546</v>
      </c>
      <c r="AL82" s="6">
        <f t="shared" si="52"/>
        <v>-4546</v>
      </c>
      <c r="AM82" s="6"/>
      <c r="AN82" s="6">
        <f t="shared" si="49"/>
        <v>-18184</v>
      </c>
      <c r="AO82" s="39">
        <v>-25000</v>
      </c>
      <c r="AP82" s="39">
        <v>-30000</v>
      </c>
      <c r="AQ82" s="6"/>
      <c r="AR82" s="6"/>
      <c r="AS82" s="6"/>
      <c r="AT82" s="39"/>
      <c r="AU82" s="59"/>
      <c r="AV82" s="59"/>
      <c r="AW82" s="59"/>
    </row>
    <row r="83" spans="1:49" ht="13" x14ac:dyDescent="0.3">
      <c r="A83" s="1" t="s">
        <v>39</v>
      </c>
      <c r="B83" s="5">
        <v>-12699</v>
      </c>
      <c r="C83" s="5">
        <v>-13811</v>
      </c>
      <c r="D83" s="5">
        <v>-15137</v>
      </c>
      <c r="E83" s="5">
        <v>-16521</v>
      </c>
      <c r="F83" s="6"/>
      <c r="G83" s="5">
        <v>-4206</v>
      </c>
      <c r="H83" s="5">
        <f>-8858-G83</f>
        <v>-4652</v>
      </c>
      <c r="I83" s="5">
        <f>-13503-SUM(G83:H83)</f>
        <v>-4645</v>
      </c>
      <c r="J83" s="5">
        <f>-18135-SUM(G83:I83)</f>
        <v>-4632</v>
      </c>
      <c r="K83" s="5"/>
      <c r="L83" s="6">
        <f t="shared" si="45"/>
        <v>-18135</v>
      </c>
      <c r="M83" s="6"/>
      <c r="N83" s="5">
        <v>-4621</v>
      </c>
      <c r="O83" s="5">
        <f>-9687-N83</f>
        <v>-5066</v>
      </c>
      <c r="P83" s="5">
        <f>-14746-SUM(N83:O83)</f>
        <v>-5059</v>
      </c>
      <c r="Q83" s="5">
        <f>-19800-SUM(N83:P83)</f>
        <v>-5054</v>
      </c>
      <c r="R83" s="6"/>
      <c r="S83" s="6">
        <f t="shared" si="46"/>
        <v>-19800</v>
      </c>
      <c r="T83" s="6"/>
      <c r="U83" s="5">
        <v>-5051</v>
      </c>
      <c r="V83" s="5">
        <f>-10625-U83</f>
        <v>-5574</v>
      </c>
      <c r="W83" s="5">
        <f>-16197-V83-U83</f>
        <v>-5572</v>
      </c>
      <c r="X83" s="5">
        <f>-21771-SUM(U83:W83)</f>
        <v>-5574</v>
      </c>
      <c r="Y83" s="6"/>
      <c r="Z83" s="6">
        <f t="shared" si="47"/>
        <v>-21771</v>
      </c>
      <c r="AA83" s="6"/>
      <c r="AB83" s="5">
        <v>-5574</v>
      </c>
      <c r="AC83" s="5">
        <f>-11744-AB83</f>
        <v>-6170</v>
      </c>
      <c r="AD83" s="39">
        <f>-17913-SUM(AB83:AC83)</f>
        <v>-6169</v>
      </c>
      <c r="AE83" s="39">
        <f>-24082-SUM(AB83:AD83)</f>
        <v>-6169</v>
      </c>
      <c r="AF83" s="6"/>
      <c r="AG83" s="6">
        <f t="shared" si="51"/>
        <v>-24082</v>
      </c>
      <c r="AH83" s="6"/>
      <c r="AI83" s="6">
        <f>-0.83*7433.166379</f>
        <v>-6169.5280945699997</v>
      </c>
      <c r="AJ83" s="6">
        <f>AI83</f>
        <v>-6169.5280945699997</v>
      </c>
      <c r="AK83" s="6">
        <f t="shared" ref="AK83:AL83" si="53">AJ83</f>
        <v>-6169.5280945699997</v>
      </c>
      <c r="AL83" s="6">
        <f t="shared" si="53"/>
        <v>-6169.5280945699997</v>
      </c>
      <c r="AM83" s="6"/>
      <c r="AN83" s="6">
        <f t="shared" si="49"/>
        <v>-24678.112378279999</v>
      </c>
      <c r="AO83" s="39">
        <v>-28000</v>
      </c>
      <c r="AP83" s="39">
        <v>-32000</v>
      </c>
      <c r="AQ83" s="6"/>
      <c r="AR83" s="6"/>
      <c r="AS83" s="6"/>
      <c r="AT83" s="39"/>
      <c r="AU83" s="59"/>
      <c r="AV83" s="59"/>
      <c r="AW83" s="59"/>
    </row>
    <row r="84" spans="1:49" ht="14.5" x14ac:dyDescent="0.45">
      <c r="A84" s="1" t="s">
        <v>29</v>
      </c>
      <c r="B84" s="42">
        <f>-98-971+50</f>
        <v>-1019</v>
      </c>
      <c r="C84" s="42">
        <f>-675-115</f>
        <v>-790</v>
      </c>
      <c r="D84" s="13">
        <f>-1241-334-201</f>
        <v>-1776</v>
      </c>
      <c r="E84" s="13">
        <f>-769-922-29</f>
        <v>-1720</v>
      </c>
      <c r="F84" s="19"/>
      <c r="G84" s="13">
        <f>-417-73-172</f>
        <v>-662</v>
      </c>
      <c r="H84" s="13">
        <f>-364+33-506-G84</f>
        <v>-175</v>
      </c>
      <c r="I84" s="13">
        <f>-1687-522+57-SUM(G84:H84)</f>
        <v>-1315</v>
      </c>
      <c r="J84" s="13">
        <f>-863-2825-141-SUM(G84:I84)</f>
        <v>-1677</v>
      </c>
      <c r="K84" s="13"/>
      <c r="L84" s="19">
        <f t="shared" si="45"/>
        <v>-3829</v>
      </c>
      <c r="M84" s="19"/>
      <c r="N84" s="13">
        <f>-860-264-230</f>
        <v>-1354</v>
      </c>
      <c r="O84" s="13">
        <f>-1161-581-142-N84</f>
        <v>-530</v>
      </c>
      <c r="P84" s="13">
        <f>-2847-839-113-SUM(N84:O84)</f>
        <v>-1915</v>
      </c>
      <c r="Q84" s="13">
        <f>SUM(-1006,-3116,-194)-SUM(N84:P84)</f>
        <v>-517</v>
      </c>
      <c r="R84" s="19"/>
      <c r="S84" s="19">
        <f t="shared" si="46"/>
        <v>-4316</v>
      </c>
      <c r="T84" s="19"/>
      <c r="U84" s="13">
        <f>-982-307-99</f>
        <v>-1388</v>
      </c>
      <c r="V84" s="13">
        <f>-508+365-27-U84</f>
        <v>1218</v>
      </c>
      <c r="W84" s="13">
        <f>-1006-916-107-V84-U84</f>
        <v>-1859</v>
      </c>
      <c r="X84" s="13">
        <f>SUM(-1309,-1298,-210)-SUM(U84:W84)</f>
        <v>-788</v>
      </c>
      <c r="Y84" s="19"/>
      <c r="Z84" s="19">
        <f t="shared" si="47"/>
        <v>-2817</v>
      </c>
      <c r="AA84" s="19"/>
      <c r="AB84" s="13">
        <f>-889+122</f>
        <v>-767</v>
      </c>
      <c r="AC84" s="13">
        <f>-1232-172-AB84</f>
        <v>-637</v>
      </c>
      <c r="AD84" s="72">
        <f>(-325+-1614+-120)-SUM(AB84:AC84)</f>
        <v>-655</v>
      </c>
      <c r="AE84" s="19">
        <f>(2317+-2291+63)-SUM(AB84:AD84)</f>
        <v>2148</v>
      </c>
      <c r="AF84" s="19"/>
      <c r="AG84" s="19">
        <f t="shared" si="51"/>
        <v>89</v>
      </c>
      <c r="AH84" s="19"/>
      <c r="AI84" s="72">
        <v>0</v>
      </c>
      <c r="AJ84" s="72">
        <v>0</v>
      </c>
      <c r="AK84" s="72">
        <v>0</v>
      </c>
      <c r="AL84" s="72">
        <v>0</v>
      </c>
      <c r="AM84" s="19"/>
      <c r="AN84" s="19">
        <f t="shared" si="49"/>
        <v>0</v>
      </c>
      <c r="AO84" s="72">
        <v>0</v>
      </c>
      <c r="AP84" s="72">
        <v>0</v>
      </c>
      <c r="AQ84" s="19"/>
      <c r="AR84" s="19"/>
      <c r="AS84" s="19"/>
      <c r="AT84" s="72"/>
      <c r="AU84" s="59"/>
      <c r="AV84" s="59"/>
      <c r="AW84" s="59"/>
    </row>
    <row r="85" spans="1:49" ht="13" x14ac:dyDescent="0.3">
      <c r="A85" s="1" t="s">
        <v>2</v>
      </c>
      <c r="B85" s="6">
        <f>B73+SUM(B75:B84)</f>
        <v>4283</v>
      </c>
      <c r="C85" s="6">
        <f>C73+SUM(C75:C84)</f>
        <v>-590</v>
      </c>
      <c r="D85" s="6">
        <f>D73+SUM(D75:D84)</f>
        <v>2220</v>
      </c>
      <c r="E85" s="6">
        <f>E73+SUM(E75:E84)</f>
        <v>648</v>
      </c>
      <c r="F85" s="6"/>
      <c r="G85" s="6">
        <f>G73+SUM(G75:G84)</f>
        <v>4941</v>
      </c>
      <c r="H85" s="6">
        <f>H73+SUM(H75:H84)</f>
        <v>1439</v>
      </c>
      <c r="I85" s="6">
        <f>I73+SUM(I75:I84)</f>
        <v>-8106</v>
      </c>
      <c r="J85" s="6">
        <f>J73+SUM(J75:J84)</f>
        <v>1433</v>
      </c>
      <c r="K85" s="14"/>
      <c r="L85" s="6">
        <f>L73+SUM(L75:L84)</f>
        <v>-293</v>
      </c>
      <c r="M85" s="6"/>
      <c r="N85" s="6">
        <f>N73+SUM(N75:N84)</f>
        <v>8953</v>
      </c>
      <c r="O85" s="6">
        <f>O73+SUM(O75:O84)</f>
        <v>-7238</v>
      </c>
      <c r="P85" s="6">
        <f>P73+SUM(P75:P84)</f>
        <v>10916</v>
      </c>
      <c r="Q85" s="6">
        <f>Q73+SUM(Q75:Q84)</f>
        <v>8142</v>
      </c>
      <c r="R85" s="6"/>
      <c r="S85" s="6">
        <f>S73+SUM(S75:S84)</f>
        <v>20773</v>
      </c>
      <c r="T85" s="6"/>
      <c r="U85" s="6">
        <f>U73+SUM(U75:U84)</f>
        <v>45748</v>
      </c>
      <c r="V85" s="6">
        <f>V73+SUM(V75:V84)</f>
        <v>-63147</v>
      </c>
      <c r="W85" s="6">
        <f>W73+SUM(W75:W84)</f>
        <v>2329</v>
      </c>
      <c r="X85" s="6">
        <f>X73+SUM(X75:X84)</f>
        <v>-1319</v>
      </c>
      <c r="Y85" s="6"/>
      <c r="Z85" s="6">
        <f>Z73+SUM(Z75:Z84)</f>
        <v>-16389</v>
      </c>
      <c r="AA85" s="6"/>
      <c r="AB85" s="6">
        <f>AB73+SUM(AB75:AB84)</f>
        <v>2525</v>
      </c>
      <c r="AC85" s="6">
        <f>AC73+SUM(AC75:AC84)</f>
        <v>-3358</v>
      </c>
      <c r="AD85" s="6">
        <f>AD73+SUM(AD75:AD84)</f>
        <v>11346</v>
      </c>
      <c r="AE85" s="6">
        <f>AE73+SUM(AE75:AE84)</f>
        <v>1414</v>
      </c>
      <c r="AF85" s="6"/>
      <c r="AG85" s="6">
        <f>AG73+SUM(AG75:AG84)</f>
        <v>11927</v>
      </c>
      <c r="AH85" s="6"/>
      <c r="AI85" s="6" t="e">
        <f t="shared" ref="AI85:AL85" si="54">AI73+SUM(AI75:AI84)</f>
        <v>#REF!</v>
      </c>
      <c r="AJ85" s="6" t="e">
        <f t="shared" si="54"/>
        <v>#REF!</v>
      </c>
      <c r="AK85" s="6" t="e">
        <f t="shared" si="54"/>
        <v>#REF!</v>
      </c>
      <c r="AL85" s="6" t="e">
        <f t="shared" si="54"/>
        <v>#REF!</v>
      </c>
      <c r="AM85" s="6"/>
      <c r="AN85" s="6" t="e">
        <f>AN73+SUM(AN75:AN84)</f>
        <v>#REF!</v>
      </c>
      <c r="AO85" s="6" t="e">
        <f>AO73+SUM(AO75:AO84)</f>
        <v>#REF!</v>
      </c>
      <c r="AP85" s="6" t="e">
        <f>AP73+SUM(AP75:AP84)</f>
        <v>#REF!</v>
      </c>
      <c r="AQ85" s="6"/>
      <c r="AR85" s="6"/>
      <c r="AS85" s="6"/>
      <c r="AT85" s="39"/>
      <c r="AU85" s="59"/>
      <c r="AV85" s="59"/>
      <c r="AW85" s="59"/>
    </row>
    <row r="86" spans="1:49" ht="13" x14ac:dyDescent="0.3">
      <c r="A86" s="1"/>
      <c r="B86" s="6"/>
      <c r="C86" s="6"/>
      <c r="D86" s="6"/>
      <c r="E86" s="6"/>
      <c r="F86" s="6"/>
      <c r="G86" s="6"/>
      <c r="H86" s="6"/>
      <c r="I86" s="6"/>
      <c r="J86" s="6"/>
      <c r="K86" s="14"/>
      <c r="L86" s="34"/>
      <c r="M86" s="34"/>
      <c r="N86" s="6"/>
      <c r="O86" s="6"/>
      <c r="P86" s="6"/>
      <c r="Q86" s="34"/>
      <c r="R86" s="34"/>
      <c r="S86" s="6"/>
      <c r="T86" s="34"/>
      <c r="U86" s="6"/>
      <c r="V86" s="6"/>
      <c r="W86" s="6"/>
      <c r="X86" s="6"/>
      <c r="Y86" s="34"/>
      <c r="Z86" s="6"/>
      <c r="AA86" s="34"/>
      <c r="AB86" s="6"/>
      <c r="AC86" s="6"/>
      <c r="AD86" s="6"/>
      <c r="AE86" s="6"/>
      <c r="AF86" s="34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39"/>
      <c r="AU86" s="59"/>
      <c r="AV86" s="59"/>
      <c r="AW86" s="59"/>
    </row>
    <row r="87" spans="1:49" ht="13" x14ac:dyDescent="0.3">
      <c r="A87" s="1" t="s">
        <v>7</v>
      </c>
      <c r="B87" s="39">
        <v>7663</v>
      </c>
      <c r="C87" s="6">
        <f>+B88</f>
        <v>11946</v>
      </c>
      <c r="D87" s="6">
        <f>C88</f>
        <v>11356</v>
      </c>
      <c r="E87" s="6">
        <f>D88</f>
        <v>13576</v>
      </c>
      <c r="F87" s="6"/>
      <c r="G87" s="6">
        <f>E88</f>
        <v>14224</v>
      </c>
      <c r="H87" s="6">
        <f>G88</f>
        <v>19165</v>
      </c>
      <c r="I87" s="6">
        <f>H88</f>
        <v>20604</v>
      </c>
      <c r="J87" s="6">
        <f>I88</f>
        <v>12498</v>
      </c>
      <c r="K87" s="14"/>
      <c r="L87" s="6">
        <f>E88</f>
        <v>14224</v>
      </c>
      <c r="M87" s="6"/>
      <c r="N87" s="6">
        <f>+L88</f>
        <v>13931</v>
      </c>
      <c r="O87" s="6">
        <f>+N88</f>
        <v>22884</v>
      </c>
      <c r="P87" s="6">
        <f t="shared" ref="P87:Q87" si="55">+O88</f>
        <v>15646</v>
      </c>
      <c r="Q87" s="6">
        <f t="shared" si="55"/>
        <v>26562</v>
      </c>
      <c r="R87" s="6"/>
      <c r="S87" s="6">
        <f>L88</f>
        <v>13931</v>
      </c>
      <c r="T87" s="6"/>
      <c r="U87" s="6">
        <f>S88</f>
        <v>34704</v>
      </c>
      <c r="V87" s="6">
        <f>U88</f>
        <v>80452</v>
      </c>
      <c r="W87" s="6">
        <f>V88</f>
        <v>17305</v>
      </c>
      <c r="X87" s="6">
        <f>W88</f>
        <v>19634</v>
      </c>
      <c r="Y87" s="6"/>
      <c r="Z87" s="6">
        <f>S88</f>
        <v>34704</v>
      </c>
      <c r="AA87" s="6"/>
      <c r="AB87" s="6">
        <f>Z88</f>
        <v>18315</v>
      </c>
      <c r="AC87" s="6">
        <f>AB88</f>
        <v>20840</v>
      </c>
      <c r="AD87" s="6">
        <f>AC88</f>
        <v>17482</v>
      </c>
      <c r="AE87" s="6">
        <f>AD88</f>
        <v>28828</v>
      </c>
      <c r="AF87" s="6"/>
      <c r="AG87" s="6">
        <f>Z88</f>
        <v>18315</v>
      </c>
      <c r="AH87" s="6"/>
      <c r="AI87" s="6">
        <f>AG88</f>
        <v>30242</v>
      </c>
      <c r="AJ87" s="6" t="e">
        <f>AI88</f>
        <v>#REF!</v>
      </c>
      <c r="AK87" s="6" t="e">
        <f t="shared" ref="AK87:AL87" si="56">AJ88</f>
        <v>#REF!</v>
      </c>
      <c r="AL87" s="6" t="e">
        <f t="shared" si="56"/>
        <v>#REF!</v>
      </c>
      <c r="AM87" s="6"/>
      <c r="AN87" s="6">
        <f>+AG88</f>
        <v>30242</v>
      </c>
      <c r="AO87" s="6" t="e">
        <f>AN88</f>
        <v>#REF!</v>
      </c>
      <c r="AP87" s="6" t="e">
        <f>AO88</f>
        <v>#REF!</v>
      </c>
      <c r="AQ87" s="6"/>
      <c r="AR87" s="6"/>
      <c r="AS87" s="6"/>
      <c r="AT87" s="39"/>
      <c r="AU87" s="59"/>
      <c r="AV87" s="59"/>
      <c r="AW87" s="59"/>
    </row>
    <row r="88" spans="1:49" ht="13" x14ac:dyDescent="0.3">
      <c r="A88" s="1" t="s">
        <v>8</v>
      </c>
      <c r="B88" s="6">
        <f>+B87+B85</f>
        <v>11946</v>
      </c>
      <c r="C88" s="6">
        <f>+C87+C85</f>
        <v>11356</v>
      </c>
      <c r="D88" s="6">
        <f>+D87+D85</f>
        <v>13576</v>
      </c>
      <c r="E88" s="6">
        <f>+E87+E85</f>
        <v>14224</v>
      </c>
      <c r="F88" s="6"/>
      <c r="G88" s="6">
        <f>+G87+G85</f>
        <v>19165</v>
      </c>
      <c r="H88" s="6">
        <f>+H87+H85</f>
        <v>20604</v>
      </c>
      <c r="I88" s="6">
        <f>+I87+I85</f>
        <v>12498</v>
      </c>
      <c r="J88" s="6">
        <f>+J87+J85</f>
        <v>13931</v>
      </c>
      <c r="K88" s="14"/>
      <c r="L88" s="6">
        <f>+L87+L85</f>
        <v>13931</v>
      </c>
      <c r="M88" s="6"/>
      <c r="N88" s="6">
        <f>+N85+N87</f>
        <v>22884</v>
      </c>
      <c r="O88" s="6">
        <f>+O85+O87</f>
        <v>15646</v>
      </c>
      <c r="P88" s="6">
        <f t="shared" ref="P88" si="57">+P85+P87</f>
        <v>26562</v>
      </c>
      <c r="Q88" s="6">
        <f>+Q85+Q87</f>
        <v>34704</v>
      </c>
      <c r="R88" s="6"/>
      <c r="S88" s="6">
        <f>+S87+S85</f>
        <v>34704</v>
      </c>
      <c r="T88" s="6"/>
      <c r="U88" s="6">
        <f>SUM(U85:U87)</f>
        <v>80452</v>
      </c>
      <c r="V88" s="6">
        <f>SUM(V85:V87)</f>
        <v>17305</v>
      </c>
      <c r="W88" s="6">
        <f>SUM(W85:W87)</f>
        <v>19634</v>
      </c>
      <c r="X88" s="6">
        <f>SUM(X85:X87)</f>
        <v>18315</v>
      </c>
      <c r="Y88" s="6"/>
      <c r="Z88" s="6">
        <f>+Z87+Z85</f>
        <v>18315</v>
      </c>
      <c r="AA88" s="6"/>
      <c r="AB88" s="6">
        <f>SUM(AB85:AB87)</f>
        <v>20840</v>
      </c>
      <c r="AC88" s="6">
        <f>SUM(AC85:AC87)</f>
        <v>17482</v>
      </c>
      <c r="AD88" s="6">
        <f>SUM(AD85:AD87)</f>
        <v>28828</v>
      </c>
      <c r="AE88" s="6">
        <f>SUM(AE85:AE87)</f>
        <v>30242</v>
      </c>
      <c r="AF88" s="6"/>
      <c r="AG88" s="6">
        <f>+AG87+AG85</f>
        <v>30242</v>
      </c>
      <c r="AH88" s="6"/>
      <c r="AI88" s="6" t="e">
        <f t="shared" ref="AI88:AL88" si="58">+AI87+AI85</f>
        <v>#REF!</v>
      </c>
      <c r="AJ88" s="6" t="e">
        <f t="shared" si="58"/>
        <v>#REF!</v>
      </c>
      <c r="AK88" s="6" t="e">
        <f t="shared" si="58"/>
        <v>#REF!</v>
      </c>
      <c r="AL88" s="6" t="e">
        <f t="shared" si="58"/>
        <v>#REF!</v>
      </c>
      <c r="AM88" s="6"/>
      <c r="AN88" s="6" t="e">
        <f>+AN87+AN85</f>
        <v>#REF!</v>
      </c>
      <c r="AO88" s="6" t="e">
        <f>+AO87+AO85</f>
        <v>#REF!</v>
      </c>
      <c r="AP88" s="6" t="e">
        <f>+AP87+AP85</f>
        <v>#REF!</v>
      </c>
      <c r="AQ88" s="6"/>
      <c r="AR88" s="6"/>
      <c r="AS88" s="6"/>
      <c r="AT88" s="39"/>
      <c r="AU88" s="59"/>
      <c r="AV88" s="59"/>
      <c r="AW88" s="59"/>
    </row>
    <row r="89" spans="1:49" ht="16" x14ac:dyDescent="0.6">
      <c r="A89" s="84" t="s">
        <v>60</v>
      </c>
      <c r="B89" s="74">
        <v>121822</v>
      </c>
      <c r="C89" s="74">
        <v>122463</v>
      </c>
      <c r="D89" s="74">
        <v>122951</v>
      </c>
      <c r="E89" s="74">
        <v>116110</v>
      </c>
      <c r="F89" s="45"/>
      <c r="G89" s="74">
        <v>111450</v>
      </c>
      <c r="H89" s="74">
        <v>104765</v>
      </c>
      <c r="I89" s="74">
        <v>92195</v>
      </c>
      <c r="J89" s="74">
        <v>90826</v>
      </c>
      <c r="K89" s="85"/>
      <c r="L89" s="86">
        <f>+J89</f>
        <v>90826</v>
      </c>
      <c r="M89" s="45"/>
      <c r="N89" s="74">
        <v>84378</v>
      </c>
      <c r="O89" s="74">
        <v>83862</v>
      </c>
      <c r="P89" s="74">
        <v>77865</v>
      </c>
      <c r="Q89" s="74">
        <v>76558</v>
      </c>
      <c r="R89" s="45"/>
      <c r="S89" s="86">
        <f>+Q89</f>
        <v>76558</v>
      </c>
      <c r="T89" s="45"/>
      <c r="U89" s="74">
        <v>63499</v>
      </c>
      <c r="V89" s="74">
        <v>63712</v>
      </c>
      <c r="W89" s="74">
        <v>60387</v>
      </c>
      <c r="X89" s="74">
        <v>57228</v>
      </c>
      <c r="Y89" s="45"/>
      <c r="Z89" s="45">
        <f>+X89</f>
        <v>57228</v>
      </c>
      <c r="AA89" s="45"/>
      <c r="AB89" s="74">
        <f>+Z89</f>
        <v>57228</v>
      </c>
      <c r="AC89" s="74">
        <v>54073</v>
      </c>
      <c r="AD89" s="74">
        <v>50790</v>
      </c>
      <c r="AE89" s="74">
        <f>64323</f>
        <v>64323</v>
      </c>
      <c r="AF89" s="45"/>
      <c r="AG89" s="45">
        <f>+AE89</f>
        <v>64323</v>
      </c>
      <c r="AH89" s="45"/>
      <c r="AI89" s="45">
        <f>AG89</f>
        <v>64323</v>
      </c>
      <c r="AJ89" s="45">
        <f>AI89</f>
        <v>64323</v>
      </c>
      <c r="AK89" s="45">
        <f t="shared" ref="AK89:AL89" si="59">AJ89</f>
        <v>64323</v>
      </c>
      <c r="AL89" s="45">
        <f t="shared" si="59"/>
        <v>64323</v>
      </c>
      <c r="AM89" s="45"/>
      <c r="AN89" s="45">
        <f>AL89</f>
        <v>64323</v>
      </c>
      <c r="AO89" s="45">
        <f>+AN89</f>
        <v>64323</v>
      </c>
      <c r="AP89" s="45">
        <f>+AO89</f>
        <v>64323</v>
      </c>
      <c r="AQ89" s="45"/>
      <c r="AR89" s="45"/>
      <c r="AS89" s="45"/>
      <c r="AT89" s="39"/>
      <c r="AU89" s="59"/>
      <c r="AV89" s="59"/>
      <c r="AW89" s="59"/>
    </row>
    <row r="90" spans="1:49" ht="13" x14ac:dyDescent="0.3">
      <c r="A90" s="1" t="s">
        <v>61</v>
      </c>
      <c r="B90" s="6">
        <f>+B89+B88</f>
        <v>133768</v>
      </c>
      <c r="C90" s="6">
        <f t="shared" ref="C90:E90" si="60">+C89+C88</f>
        <v>133819</v>
      </c>
      <c r="D90" s="6">
        <f t="shared" si="60"/>
        <v>136527</v>
      </c>
      <c r="E90" s="6">
        <f t="shared" si="60"/>
        <v>130334</v>
      </c>
      <c r="F90" s="1"/>
      <c r="G90" s="6">
        <f t="shared" ref="G90" si="61">+G89+G88</f>
        <v>130615</v>
      </c>
      <c r="H90" s="6">
        <f t="shared" ref="H90" si="62">+H89+H88</f>
        <v>125369</v>
      </c>
      <c r="I90" s="6">
        <f t="shared" ref="I90" si="63">+I89+I88</f>
        <v>104693</v>
      </c>
      <c r="J90" s="6">
        <f t="shared" ref="J90:L90" si="64">+J89+J88</f>
        <v>104757</v>
      </c>
      <c r="K90" s="1"/>
      <c r="L90" s="6">
        <f t="shared" si="64"/>
        <v>104757</v>
      </c>
      <c r="M90" s="1"/>
      <c r="N90" s="6">
        <f t="shared" ref="N90" si="65">+N89+N88</f>
        <v>107262</v>
      </c>
      <c r="O90" s="6">
        <f t="shared" ref="O90" si="66">+O89+O88</f>
        <v>99508</v>
      </c>
      <c r="P90" s="6">
        <f t="shared" ref="P90" si="67">+P89+P88</f>
        <v>104427</v>
      </c>
      <c r="Q90" s="6">
        <f t="shared" ref="Q90" si="68">+Q89+Q88</f>
        <v>111262</v>
      </c>
      <c r="R90" s="1"/>
      <c r="S90" s="6">
        <f t="shared" ref="S90" si="69">+S89+S88</f>
        <v>111262</v>
      </c>
      <c r="T90" s="1"/>
      <c r="U90" s="6">
        <f t="shared" ref="U90" si="70">+U89+U88</f>
        <v>143951</v>
      </c>
      <c r="V90" s="6">
        <f t="shared" ref="V90" si="71">+V89+V88</f>
        <v>81017</v>
      </c>
      <c r="W90" s="6">
        <f t="shared" ref="W90" si="72">+W89+W88</f>
        <v>80021</v>
      </c>
      <c r="X90" s="6">
        <f t="shared" ref="X90" si="73">+X89+X88</f>
        <v>75543</v>
      </c>
      <c r="Y90" s="1"/>
      <c r="Z90" s="6">
        <f t="shared" ref="Z90" si="74">+Z89+Z88</f>
        <v>75543</v>
      </c>
      <c r="AA90" s="1"/>
      <c r="AB90" s="6">
        <f t="shared" ref="AB90:AE90" si="75">+AB89+AB88</f>
        <v>78068</v>
      </c>
      <c r="AC90" s="6">
        <f t="shared" si="75"/>
        <v>71555</v>
      </c>
      <c r="AD90" s="6">
        <f t="shared" si="75"/>
        <v>79618</v>
      </c>
      <c r="AE90" s="6">
        <f t="shared" si="75"/>
        <v>94565</v>
      </c>
      <c r="AF90" s="1"/>
      <c r="AG90" s="6">
        <f t="shared" ref="AG90:AL90" si="76">+AG89+AG88</f>
        <v>94565</v>
      </c>
      <c r="AH90" s="6"/>
      <c r="AI90" s="6" t="e">
        <f t="shared" si="76"/>
        <v>#REF!</v>
      </c>
      <c r="AJ90" s="6" t="e">
        <f t="shared" si="76"/>
        <v>#REF!</v>
      </c>
      <c r="AK90" s="6" t="e">
        <f t="shared" si="76"/>
        <v>#REF!</v>
      </c>
      <c r="AL90" s="6" t="e">
        <f t="shared" si="76"/>
        <v>#REF!</v>
      </c>
      <c r="AM90" s="6"/>
      <c r="AN90" s="6" t="e">
        <f t="shared" ref="AN90" si="77">+AN89+AN88</f>
        <v>#REF!</v>
      </c>
      <c r="AO90" s="6" t="e">
        <f t="shared" ref="AO90:AP90" si="78">+AO89+AO88</f>
        <v>#REF!</v>
      </c>
      <c r="AP90" s="6" t="e">
        <f t="shared" si="78"/>
        <v>#REF!</v>
      </c>
      <c r="AQ90" s="6"/>
      <c r="AR90" s="6"/>
      <c r="AS90" s="6"/>
      <c r="AT90" s="20"/>
      <c r="AU90" s="59"/>
      <c r="AV90" s="59"/>
      <c r="AW90" s="59"/>
    </row>
    <row r="91" spans="1:49" ht="13" x14ac:dyDescent="0.3">
      <c r="A91" s="1"/>
      <c r="B91" s="6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20"/>
      <c r="AU91" s="59"/>
      <c r="AV91" s="59"/>
      <c r="AW91" s="59"/>
    </row>
    <row r="92" spans="1:49" ht="13" x14ac:dyDescent="0.3">
      <c r="A92" s="1"/>
      <c r="B92" s="6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20"/>
      <c r="AU92" s="59"/>
      <c r="AV92" s="59"/>
      <c r="AW92" s="59"/>
    </row>
    <row r="93" spans="1:49" s="54" customFormat="1" ht="13" x14ac:dyDescent="0.3">
      <c r="A93" s="2" t="s">
        <v>19</v>
      </c>
      <c r="B93" s="53">
        <f>+B52+B68+B69</f>
        <v>49259</v>
      </c>
      <c r="C93" s="53">
        <f t="shared" ref="C93:E93" si="79">+C52+C68+C69</f>
        <v>59293</v>
      </c>
      <c r="D93" s="53">
        <f t="shared" si="79"/>
        <v>71044</v>
      </c>
      <c r="E93" s="53">
        <f t="shared" si="79"/>
        <v>87720</v>
      </c>
      <c r="F93" s="53"/>
      <c r="G93" s="53">
        <f t="shared" ref="G93:J93" si="80">+G52+G68+G69</f>
        <v>25152</v>
      </c>
      <c r="H93" s="53">
        <f t="shared" si="80"/>
        <v>27640</v>
      </c>
      <c r="I93" s="53">
        <f t="shared" si="80"/>
        <v>26043</v>
      </c>
      <c r="J93" s="53">
        <f t="shared" si="80"/>
        <v>26510</v>
      </c>
      <c r="K93" s="2"/>
      <c r="L93" s="53">
        <f>+L52+L68+L69</f>
        <v>105345</v>
      </c>
      <c r="M93" s="53"/>
      <c r="N93" s="53">
        <f t="shared" ref="N93:P93" si="81">+N52+N68+N69</f>
        <v>26500</v>
      </c>
      <c r="O93" s="53">
        <f t="shared" si="81"/>
        <v>26585</v>
      </c>
      <c r="P93" s="53">
        <f t="shared" si="81"/>
        <v>28366</v>
      </c>
      <c r="Q93" s="53">
        <f>+Q52+Q68+Q69</f>
        <v>30544</v>
      </c>
      <c r="R93" s="53"/>
      <c r="S93" s="53">
        <f>+S52+S68+S69</f>
        <v>111995</v>
      </c>
      <c r="T93" s="53"/>
      <c r="U93" s="53">
        <f>+U52+U68+U69</f>
        <v>33323</v>
      </c>
      <c r="V93" s="53">
        <f>+V52+V68+V69</f>
        <v>35819</v>
      </c>
      <c r="W93" s="53">
        <f>+W52+W68+W69</f>
        <v>36311</v>
      </c>
      <c r="X93" s="53">
        <f>+X52+X68+X69</f>
        <v>37001</v>
      </c>
      <c r="Y93" s="53"/>
      <c r="Z93" s="53">
        <f>+Z52+Z68+Z69</f>
        <v>142454</v>
      </c>
      <c r="AA93" s="53"/>
      <c r="AB93" s="53">
        <f>+AB52+AB68+AB69</f>
        <v>40767</v>
      </c>
      <c r="AC93" s="53">
        <f>+AC52+AC68+AC69</f>
        <v>41569</v>
      </c>
      <c r="AD93" s="53">
        <f>+AD52+AD68+AD69</f>
        <v>43720</v>
      </c>
      <c r="AE93" s="53">
        <f>+AE52+AE68+AE69</f>
        <v>48599</v>
      </c>
      <c r="AF93" s="53"/>
      <c r="AG93" s="53">
        <f>+AG52+AG68+AG69</f>
        <v>174655</v>
      </c>
      <c r="AH93" s="53"/>
      <c r="AI93" s="53">
        <f>+AI52+AI68+AI69</f>
        <v>49926.046599999994</v>
      </c>
      <c r="AJ93" s="53">
        <f>+AJ52+AJ68+AJ69</f>
        <v>52133.198349999991</v>
      </c>
      <c r="AK93" s="53">
        <f>+AK52+AK68+AK69</f>
        <v>51860.665120000005</v>
      </c>
      <c r="AL93" s="53">
        <f>+AL52+AL68+AL69</f>
        <v>55753.623249999997</v>
      </c>
      <c r="AM93" s="53"/>
      <c r="AN93" s="53">
        <f>+AN52+AN68+AN69</f>
        <v>209673.53331999996</v>
      </c>
      <c r="AO93" s="53">
        <f>+AO52+AO68+AO69</f>
        <v>226967.63106459999</v>
      </c>
      <c r="AP93" s="53">
        <f>+AP52+AP68+AP69</f>
        <v>255598.37569304497</v>
      </c>
      <c r="AQ93" s="53"/>
      <c r="AR93" s="53"/>
      <c r="AS93" s="53"/>
      <c r="AT93" s="59"/>
      <c r="AU93" s="59"/>
      <c r="AV93" s="59"/>
      <c r="AW93" s="59"/>
    </row>
    <row r="94" spans="1:49" s="93" customFormat="1" ht="13" x14ac:dyDescent="0.3">
      <c r="A94" s="12" t="s">
        <v>5</v>
      </c>
      <c r="B94" s="15">
        <f>B93/B$41</f>
        <v>0.44634831460674157</v>
      </c>
      <c r="C94" s="15">
        <f>C93/C$41</f>
        <v>0.47116645343801405</v>
      </c>
      <c r="D94" s="15">
        <f>D93/D$41</f>
        <v>0.49675908121525714</v>
      </c>
      <c r="E94" s="15">
        <f>E93/E$41</f>
        <v>0.52186949693017948</v>
      </c>
      <c r="F94" s="15"/>
      <c r="G94" s="18">
        <f>G93/G$41</f>
        <v>0.55502350111437204</v>
      </c>
      <c r="H94" s="18">
        <f>H93/H$41</f>
        <v>0.53433343643674602</v>
      </c>
      <c r="I94" s="18">
        <f>I93/I$41</f>
        <v>0.52761345218800648</v>
      </c>
      <c r="J94" s="18">
        <f>J93/J$41</f>
        <v>0.5111346765641569</v>
      </c>
      <c r="K94" s="8"/>
      <c r="L94" s="15">
        <f>L93/L$41</f>
        <v>0.53132092600998637</v>
      </c>
      <c r="M94" s="15"/>
      <c r="N94" s="18">
        <f>N93/N$41</f>
        <v>0.52870994772754476</v>
      </c>
      <c r="O94" s="18">
        <f>O93/O$41</f>
        <v>0.50400970671317802</v>
      </c>
      <c r="P94" s="18">
        <f>P93/P$41</f>
        <v>0.53665550447433641</v>
      </c>
      <c r="Q94" s="18">
        <f>Q93/Q$41</f>
        <v>0.54359394187474419</v>
      </c>
      <c r="R94" s="15"/>
      <c r="S94" s="18">
        <f>S93/S$41</f>
        <v>0.52849019654106599</v>
      </c>
      <c r="T94" s="15"/>
      <c r="U94" s="18">
        <f>U93/U$41</f>
        <v>0.5896102057787922</v>
      </c>
      <c r="V94" s="18">
        <f>V93/V$41</f>
        <v>0.57753950338600446</v>
      </c>
      <c r="W94" s="18">
        <f>W93/W$41</f>
        <v>0.58700572278444174</v>
      </c>
      <c r="X94" s="18">
        <f>X93/X$41</f>
        <v>0.57164707154664973</v>
      </c>
      <c r="Y94" s="15"/>
      <c r="Z94" s="18">
        <f>Z93/Z$41</f>
        <v>0.58115550623771017</v>
      </c>
      <c r="AA94" s="15"/>
      <c r="AB94" s="18">
        <f>AB93/AB$41</f>
        <v>0.62159030266066939</v>
      </c>
      <c r="AC94" s="18">
        <f>AC93/AC$41</f>
        <v>0.59698127297794112</v>
      </c>
      <c r="AD94" s="18">
        <f>AD93/AD$41</f>
        <v>0.62398310164701853</v>
      </c>
      <c r="AE94" s="18">
        <f>AE93/AE$41</f>
        <v>0.63577137923365734</v>
      </c>
      <c r="AF94" s="15"/>
      <c r="AG94" s="18">
        <f>AG93/AG$41</f>
        <v>0.61995073192202299</v>
      </c>
      <c r="AH94" s="18"/>
      <c r="AI94" s="18">
        <f>AI93/AI$41</f>
        <v>0.66066459148891288</v>
      </c>
      <c r="AJ94" s="18">
        <f>AJ93/AJ$41</f>
        <v>0.65139668536521511</v>
      </c>
      <c r="AK94" s="18">
        <f>AK93/AK$41</f>
        <v>0.6420442883551547</v>
      </c>
      <c r="AL94" s="18">
        <f>AL93/AL$41</f>
        <v>0.63182458799497965</v>
      </c>
      <c r="AM94" s="18"/>
      <c r="AN94" s="18">
        <f>AN93/AN$41</f>
        <v>0.64590671356761065</v>
      </c>
      <c r="AO94" s="18">
        <f>AO93/AO$41</f>
        <v>0.63118331164840857</v>
      </c>
      <c r="AP94" s="18">
        <f>AP93/AP$41</f>
        <v>0.6324134405805113</v>
      </c>
      <c r="AQ94" s="18"/>
      <c r="AR94" s="18"/>
      <c r="AS94" s="18"/>
      <c r="AT94" s="70"/>
      <c r="AU94" s="92"/>
      <c r="AV94" s="92"/>
      <c r="AW94" s="92"/>
    </row>
    <row r="95" spans="1:49" s="93" customFormat="1" ht="13" x14ac:dyDescent="0.3">
      <c r="A95" s="12" t="s">
        <v>1</v>
      </c>
      <c r="B95" s="15"/>
      <c r="C95" s="15">
        <f>C93/B93-1</f>
        <v>0.20369881645993626</v>
      </c>
      <c r="D95" s="15">
        <f>D93/C93-1</f>
        <v>0.19818528325434714</v>
      </c>
      <c r="E95" s="15">
        <f>E93/D93-1</f>
        <v>0.23472777433703063</v>
      </c>
      <c r="F95" s="15"/>
      <c r="G95" s="18"/>
      <c r="H95" s="18"/>
      <c r="I95" s="18"/>
      <c r="J95" s="18"/>
      <c r="K95" s="8"/>
      <c r="L95" s="15">
        <f>L93/E93-1</f>
        <v>0.20092339261285908</v>
      </c>
      <c r="M95" s="15"/>
      <c r="N95" s="15">
        <f>N93/G93-1</f>
        <v>5.3594147582697094E-2</v>
      </c>
      <c r="O95" s="15">
        <f t="shared" ref="O95:P95" si="82">O93/H93-1</f>
        <v>-3.8169319826338644E-2</v>
      </c>
      <c r="P95" s="15">
        <f t="shared" si="82"/>
        <v>8.9198633029988761E-2</v>
      </c>
      <c r="Q95" s="15">
        <f>Q93/J93-1</f>
        <v>0.15216899283289331</v>
      </c>
      <c r="R95" s="15"/>
      <c r="S95" s="18">
        <f>S93/L93-1</f>
        <v>6.3125919597512903E-2</v>
      </c>
      <c r="T95" s="15"/>
      <c r="U95" s="18">
        <f>U93/N93-1</f>
        <v>0.25747169811320747</v>
      </c>
      <c r="V95" s="18">
        <f>V93/O93-1</f>
        <v>0.34733872484483741</v>
      </c>
      <c r="W95" s="18">
        <f>W93/P93-1</f>
        <v>0.28008883875061685</v>
      </c>
      <c r="X95" s="18">
        <f>X93/Q93-1</f>
        <v>0.21139994761655312</v>
      </c>
      <c r="Y95" s="15"/>
      <c r="Z95" s="18">
        <f>Z93/S93-1</f>
        <v>0.27196749854904234</v>
      </c>
      <c r="AA95" s="15"/>
      <c r="AB95" s="18">
        <f>AB93/U93-1</f>
        <v>0.2233892506677071</v>
      </c>
      <c r="AC95" s="18">
        <f>AC93/V93-1</f>
        <v>0.16052932801027398</v>
      </c>
      <c r="AD95" s="18">
        <f>AD93/W93-1</f>
        <v>0.20404285202831107</v>
      </c>
      <c r="AE95" s="18">
        <f>AE93/X93-1</f>
        <v>0.31345098781114022</v>
      </c>
      <c r="AF95" s="15"/>
      <c r="AG95" s="18">
        <f>AG93/Z93-1</f>
        <v>0.22604489870414302</v>
      </c>
      <c r="AH95" s="18"/>
      <c r="AI95" s="18">
        <f>AI93/AB93-1</f>
        <v>0.22466815316309741</v>
      </c>
      <c r="AJ95" s="18">
        <f>AJ93/AC93-1</f>
        <v>0.25413645625345782</v>
      </c>
      <c r="AK95" s="18">
        <f>AK93/AD93-1</f>
        <v>0.18620002561756643</v>
      </c>
      <c r="AL95" s="18">
        <f>AL93/AE93-1</f>
        <v>0.14721749933126183</v>
      </c>
      <c r="AM95" s="18"/>
      <c r="AN95" s="18">
        <f>AN93/AG93-1</f>
        <v>0.20050117843749082</v>
      </c>
      <c r="AO95" s="18">
        <f>AO93/AN93-1</f>
        <v>8.2481071744072265E-2</v>
      </c>
      <c r="AP95" s="18">
        <f>AP93/AO93-1</f>
        <v>0.12614461583861725</v>
      </c>
      <c r="AQ95" s="18"/>
      <c r="AR95" s="18"/>
      <c r="AS95" s="18"/>
      <c r="AT95" s="70"/>
      <c r="AU95" s="92"/>
      <c r="AV95" s="92"/>
      <c r="AW95" s="92"/>
    </row>
    <row r="96" spans="1:49" ht="13" x14ac:dyDescent="0.3">
      <c r="A96" s="12"/>
      <c r="B96" s="1"/>
      <c r="C96" s="1"/>
      <c r="D96" s="1"/>
      <c r="E96" s="1"/>
      <c r="F96" s="6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20"/>
      <c r="AU96" s="59"/>
      <c r="AV96" s="59"/>
      <c r="AW96" s="59"/>
    </row>
    <row r="97" spans="1:52" ht="13" x14ac:dyDescent="0.3">
      <c r="A97" s="1" t="s">
        <v>14</v>
      </c>
      <c r="B97" s="39">
        <v>4301</v>
      </c>
      <c r="C97" s="39">
        <v>6574</v>
      </c>
      <c r="D97" s="39">
        <v>9496</v>
      </c>
      <c r="E97" s="39">
        <v>12541</v>
      </c>
      <c r="F97" s="21"/>
      <c r="G97" s="1"/>
      <c r="H97" s="1"/>
      <c r="I97" s="1"/>
      <c r="J97" s="1"/>
      <c r="K97" s="1"/>
      <c r="L97" s="39">
        <v>14902</v>
      </c>
      <c r="M97" s="21"/>
      <c r="N97" s="21"/>
      <c r="O97" s="21"/>
      <c r="P97" s="21"/>
      <c r="Q97" s="21"/>
      <c r="R97" s="21"/>
      <c r="S97" s="76">
        <v>17067</v>
      </c>
      <c r="T97" s="21"/>
      <c r="U97" s="21"/>
      <c r="V97" s="21"/>
      <c r="W97" s="21"/>
      <c r="X97" s="21"/>
      <c r="Y97" s="21"/>
      <c r="Z97" s="76">
        <v>27145</v>
      </c>
      <c r="AA97" s="21"/>
      <c r="AB97" s="21"/>
      <c r="AC97" s="21"/>
      <c r="AD97" s="21"/>
      <c r="AE97" s="21"/>
      <c r="AF97" s="21"/>
      <c r="AG97" s="21" t="e">
        <f>#REF!</f>
        <v>#REF!</v>
      </c>
      <c r="AH97" s="21"/>
      <c r="AI97" s="21"/>
      <c r="AJ97" s="21"/>
      <c r="AK97" s="21"/>
      <c r="AL97" s="21"/>
      <c r="AM97" s="21"/>
      <c r="AN97" s="21" t="e">
        <f>#REF!</f>
        <v>#REF!</v>
      </c>
      <c r="AO97" s="21" t="e">
        <f>+AN97</f>
        <v>#REF!</v>
      </c>
      <c r="AP97" s="21" t="e">
        <f>+AO97</f>
        <v>#REF!</v>
      </c>
      <c r="AQ97" s="21"/>
      <c r="AR97" s="21"/>
      <c r="AS97" s="21"/>
      <c r="AT97" s="76"/>
      <c r="AU97" s="59"/>
      <c r="AV97" s="59"/>
      <c r="AW97" s="59"/>
      <c r="AZ97" s="67"/>
    </row>
    <row r="98" spans="1:52" ht="13" x14ac:dyDescent="0.3">
      <c r="A98" s="1" t="s">
        <v>15</v>
      </c>
      <c r="B98" s="39">
        <f>B97+76898</f>
        <v>81199</v>
      </c>
      <c r="C98" s="39">
        <f>72781+C97</f>
        <v>79355</v>
      </c>
      <c r="D98" s="39">
        <f>67407+D97</f>
        <v>76903</v>
      </c>
      <c r="E98" s="39">
        <f>63910+E97</f>
        <v>76451</v>
      </c>
      <c r="F98" s="21"/>
      <c r="G98" s="1"/>
      <c r="H98" s="1"/>
      <c r="I98" s="1"/>
      <c r="J98" s="1"/>
      <c r="K98" s="1"/>
      <c r="L98" s="39">
        <f>55511+L97</f>
        <v>70413</v>
      </c>
      <c r="M98" s="21"/>
      <c r="N98" s="21"/>
      <c r="O98" s="21"/>
      <c r="P98" s="21"/>
      <c r="Q98" s="21"/>
      <c r="R98" s="21"/>
      <c r="S98" s="76">
        <v>69932.97</v>
      </c>
      <c r="T98" s="21"/>
      <c r="U98" s="21"/>
      <c r="V98" s="21"/>
      <c r="W98" s="21"/>
      <c r="X98" s="21"/>
      <c r="Y98" s="21"/>
      <c r="Z98" s="76">
        <f>51221+Z97</f>
        <v>78366</v>
      </c>
      <c r="AA98" s="21"/>
      <c r="AB98" s="21"/>
      <c r="AC98" s="21"/>
      <c r="AD98" s="21"/>
      <c r="AE98" s="21"/>
      <c r="AF98" s="21"/>
      <c r="AG98" s="21" t="e">
        <f>#REF!+AG79+AG80</f>
        <v>#REF!</v>
      </c>
      <c r="AH98" s="21"/>
      <c r="AI98" s="21"/>
      <c r="AJ98" s="21"/>
      <c r="AK98" s="21"/>
      <c r="AL98" s="21"/>
      <c r="AM98" s="21"/>
      <c r="AN98" s="21" t="e">
        <f>#REF!+SUM(AI79:AL80)</f>
        <v>#REF!</v>
      </c>
      <c r="AO98" s="21" t="e">
        <f>+AN98+AO79+AO80</f>
        <v>#REF!</v>
      </c>
      <c r="AP98" s="21" t="e">
        <f>+AO98+AP79+AP80</f>
        <v>#REF!</v>
      </c>
      <c r="AQ98" s="21"/>
      <c r="AR98" s="21"/>
      <c r="AS98" s="21"/>
      <c r="AT98" s="76"/>
      <c r="AU98" s="59"/>
      <c r="AV98" s="59"/>
      <c r="AW98" s="59"/>
    </row>
    <row r="99" spans="1:52" ht="13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77"/>
      <c r="AU99" s="59"/>
      <c r="AV99" s="59"/>
      <c r="AW99" s="59"/>
    </row>
    <row r="100" spans="1:52" ht="13" x14ac:dyDescent="0.3">
      <c r="A100" s="35" t="s">
        <v>3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20"/>
      <c r="AU100" s="59"/>
      <c r="AV100" s="59"/>
      <c r="AW100" s="59"/>
    </row>
    <row r="101" spans="1:52" ht="13" x14ac:dyDescent="0.3">
      <c r="A101" s="1" t="s">
        <v>16</v>
      </c>
      <c r="B101" s="41" t="str">
        <f>+IF((B97-B90)/B93&gt;0,(B97-B90)/B93,"NM")</f>
        <v>NM</v>
      </c>
      <c r="C101" s="41" t="str">
        <f t="shared" ref="C101:E101" si="83">+IF((C97-C90)/C93&gt;0,(C97-C90)/C93,"NM")</f>
        <v>NM</v>
      </c>
      <c r="D101" s="41" t="str">
        <f t="shared" si="83"/>
        <v>NM</v>
      </c>
      <c r="E101" s="41" t="str">
        <f t="shared" si="83"/>
        <v>NM</v>
      </c>
      <c r="F101" s="7"/>
      <c r="G101" s="7"/>
      <c r="H101" s="7"/>
      <c r="I101" s="7"/>
      <c r="J101" s="7"/>
      <c r="K101" s="7"/>
      <c r="L101" s="41" t="str">
        <f>+IF((L97-L90)/L93&gt;0,(L97-L90)/L93,"NM")</f>
        <v>NM</v>
      </c>
      <c r="M101" s="41"/>
      <c r="N101" s="41"/>
      <c r="O101" s="41"/>
      <c r="P101" s="41"/>
      <c r="Q101" s="41"/>
      <c r="R101" s="41"/>
      <c r="S101" s="41" t="str">
        <f>+IF((S97-S90)/S93&gt;0,(S97-S90)/S93,"NM")</f>
        <v>NM</v>
      </c>
      <c r="T101" s="41"/>
      <c r="U101" s="41"/>
      <c r="V101" s="41"/>
      <c r="W101" s="41"/>
      <c r="X101" s="41"/>
      <c r="Y101" s="41"/>
      <c r="Z101" s="41" t="str">
        <f>+IF((Z97-Z90)/Z93&gt;0,(Z97-Z90)/Z93,"NM")</f>
        <v>NM</v>
      </c>
      <c r="AA101" s="41"/>
      <c r="AB101" s="41"/>
      <c r="AC101" s="41"/>
      <c r="AD101" s="41"/>
      <c r="AE101" s="41"/>
      <c r="AF101" s="41"/>
      <c r="AG101" s="41" t="e">
        <f>+IF((AG97-AG90)/AG93&gt;0,(AG97-AG90)/AG93,"NM")</f>
        <v>#REF!</v>
      </c>
      <c r="AH101" s="41"/>
      <c r="AI101" s="41"/>
      <c r="AJ101" s="41"/>
      <c r="AK101" s="41"/>
      <c r="AL101" s="41"/>
      <c r="AM101" s="41"/>
      <c r="AN101" s="41" t="e">
        <f>+IF((AN97-AN90)/AN93&gt;0,(AN97-AN90)/AN93,"NM")</f>
        <v>#REF!</v>
      </c>
      <c r="AO101" s="41" t="e">
        <f>+IF((AO97-AO90)/AO93&gt;0,(AO97-AO90)/AO93,"NM")</f>
        <v>#REF!</v>
      </c>
      <c r="AP101" s="41" t="e">
        <f>+IF((AP97-AP90)/AP93&gt;0,(AP97-AP90)/AP93,"NM")</f>
        <v>#REF!</v>
      </c>
      <c r="AQ101" s="41"/>
      <c r="AR101" s="41"/>
      <c r="AS101" s="41"/>
      <c r="AT101" s="78"/>
      <c r="AU101" s="59"/>
      <c r="AV101" s="59"/>
      <c r="AW101" s="59"/>
    </row>
    <row r="102" spans="1:52" ht="13" x14ac:dyDescent="0.3">
      <c r="A102" s="1" t="s">
        <v>6</v>
      </c>
      <c r="B102" s="41" t="str">
        <f>+IF((B98-B90)/B93&gt;0,(B98-B90)/B93,"NM")</f>
        <v>NM</v>
      </c>
      <c r="C102" s="41" t="str">
        <f t="shared" ref="C102:E102" si="84">+IF((C98-C90)/C93&gt;0,(C98-C90)/C93,"NM")</f>
        <v>NM</v>
      </c>
      <c r="D102" s="41" t="str">
        <f t="shared" si="84"/>
        <v>NM</v>
      </c>
      <c r="E102" s="41" t="str">
        <f t="shared" si="84"/>
        <v>NM</v>
      </c>
      <c r="F102" s="7"/>
      <c r="G102" s="7"/>
      <c r="H102" s="7"/>
      <c r="I102" s="7"/>
      <c r="J102" s="7"/>
      <c r="K102" s="7"/>
      <c r="L102" s="41" t="str">
        <f>+IF((L98-L90)/L93&gt;0,(L98-L90)/L93,"NM")</f>
        <v>NM</v>
      </c>
      <c r="M102" s="7"/>
      <c r="N102" s="7"/>
      <c r="O102" s="7"/>
      <c r="P102" s="7"/>
      <c r="Q102" s="7"/>
      <c r="R102" s="7"/>
      <c r="S102" s="41" t="str">
        <f>+IF((S98-S90)/S93&gt;0,(S98-S90)/S93,"NM")</f>
        <v>NM</v>
      </c>
      <c r="T102" s="7"/>
      <c r="U102" s="41"/>
      <c r="V102" s="41"/>
      <c r="W102" s="41"/>
      <c r="X102" s="41"/>
      <c r="Y102" s="7"/>
      <c r="Z102" s="41">
        <f>+IF((Z98-Z90)/Z93&gt;0,(Z98-Z90)/Z93,"NM")</f>
        <v>1.9816923357715472E-2</v>
      </c>
      <c r="AA102" s="7"/>
      <c r="AB102" s="41"/>
      <c r="AC102" s="41"/>
      <c r="AD102" s="41"/>
      <c r="AE102" s="41"/>
      <c r="AF102" s="7"/>
      <c r="AG102" s="41" t="e">
        <f>+IF((AG98-AG90)/AG93&gt;0,(AG98-AG90)/AG93,"NM")</f>
        <v>#REF!</v>
      </c>
      <c r="AH102" s="41"/>
      <c r="AI102" s="41"/>
      <c r="AJ102" s="41"/>
      <c r="AK102" s="41"/>
      <c r="AL102" s="41"/>
      <c r="AM102" s="41"/>
      <c r="AN102" s="41" t="e">
        <f>+IF((AN98-AN90)/AN93&gt;0,(AN98-AN90)/AN93,"NM")</f>
        <v>#REF!</v>
      </c>
      <c r="AO102" s="41" t="e">
        <f>+IF((AO98-AO90)/AO93&gt;0,(AO98-AO90)/AO93,"NM")</f>
        <v>#REF!</v>
      </c>
      <c r="AP102" s="41" t="e">
        <f>+IF((AP98-AP90)/AP93&gt;0,(AP98-AP90)/AP93,"NM")</f>
        <v>#REF!</v>
      </c>
      <c r="AQ102" s="41"/>
      <c r="AR102" s="41"/>
      <c r="AS102" s="41"/>
      <c r="AT102" s="78"/>
      <c r="AU102" s="59"/>
      <c r="AV102" s="59"/>
      <c r="AW102" s="59"/>
    </row>
    <row r="103" spans="1:52" x14ac:dyDescent="0.25">
      <c r="AT103" s="75"/>
      <c r="AU103" s="75"/>
      <c r="AV103" s="75"/>
      <c r="AW103" s="75"/>
    </row>
    <row r="104" spans="1:52" ht="13" x14ac:dyDescent="0.3">
      <c r="A104" s="1" t="s">
        <v>56</v>
      </c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41" t="e">
        <f>(S98-S88+#REF!)/S93</f>
        <v>#REF!</v>
      </c>
      <c r="T104" s="96"/>
      <c r="U104" s="41"/>
      <c r="V104" s="41"/>
      <c r="W104" s="41"/>
      <c r="X104" s="41"/>
      <c r="Y104" s="96"/>
      <c r="Z104" s="41" t="e">
        <f>(Z98-Z88+#REF!)/Z93</f>
        <v>#REF!</v>
      </c>
      <c r="AA104" s="96"/>
      <c r="AB104" s="41"/>
      <c r="AC104" s="41"/>
      <c r="AD104" s="7"/>
      <c r="AE104" s="7"/>
      <c r="AG104" s="41" t="e">
        <f>(AG98-AG88+#REF!)/AG93</f>
        <v>#REF!</v>
      </c>
      <c r="AH104" s="7"/>
      <c r="AI104" s="7"/>
      <c r="AJ104" s="7"/>
      <c r="AK104" s="7"/>
      <c r="AL104" s="7"/>
      <c r="AM104" s="7"/>
      <c r="AN104" s="41" t="e">
        <f>(AN98-AN88+#REF!)/AN93</f>
        <v>#REF!</v>
      </c>
      <c r="AO104" s="41" t="e">
        <f>(AO98-AO88+#REF!)/AO93</f>
        <v>#REF!</v>
      </c>
      <c r="AP104" s="41" t="e">
        <f>(AP98-AP88+#REF!)/AP93</f>
        <v>#REF!</v>
      </c>
      <c r="AQ104" s="7"/>
      <c r="AR104" s="7"/>
      <c r="AS104" s="7"/>
      <c r="AT104" s="79"/>
      <c r="AU104" s="75"/>
      <c r="AV104" s="75"/>
      <c r="AW104" s="75"/>
    </row>
    <row r="105" spans="1:52" ht="13" x14ac:dyDescent="0.3">
      <c r="A105" s="1" t="s">
        <v>57</v>
      </c>
      <c r="S105" s="68" t="e">
        <f>(S73+S75)/#REF!</f>
        <v>#REF!</v>
      </c>
      <c r="U105" s="68"/>
      <c r="V105" s="68"/>
      <c r="W105" s="68"/>
      <c r="X105" s="68"/>
      <c r="Z105" s="68" t="e">
        <f>(Z73+Z75)/#REF!</f>
        <v>#REF!</v>
      </c>
      <c r="AB105" s="68"/>
      <c r="AC105" s="68"/>
      <c r="AD105" s="68"/>
      <c r="AE105" s="68"/>
      <c r="AG105" s="68" t="e">
        <f>(AG73+AG75)/#REF!</f>
        <v>#REF!</v>
      </c>
      <c r="AH105" s="68"/>
      <c r="AI105" s="68"/>
      <c r="AJ105" s="68"/>
      <c r="AK105" s="68"/>
      <c r="AL105" s="68"/>
      <c r="AM105" s="68"/>
      <c r="AN105" s="97" t="e">
        <f>(AN73+AN75)/#REF!</f>
        <v>#REF!</v>
      </c>
      <c r="AO105" s="97" t="e">
        <f>(AO73+AO75)/#REF!</f>
        <v>#REF!</v>
      </c>
      <c r="AP105" s="97" t="e">
        <f>(AP73+AP75)/#REF!</f>
        <v>#REF!</v>
      </c>
      <c r="AQ105" s="68"/>
      <c r="AR105" s="68"/>
      <c r="AS105" s="68"/>
      <c r="AT105" s="80"/>
      <c r="AU105" s="75"/>
      <c r="AV105" s="75"/>
      <c r="AW105" s="75"/>
    </row>
  </sheetData>
  <pageMargins left="0.75" right="0.75" top="1" bottom="1" header="0.5" footer="0.5"/>
  <pageSetup scale="20" orientation="portrait" horizontalDpi="4294967292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5D897C85EAE84299403B79D587D95A" ma:contentTypeVersion="15" ma:contentTypeDescription="Create a new document." ma:contentTypeScope="" ma:versionID="f944517214357e1f160bba220dd458b9">
  <xsd:schema xmlns:xsd="http://www.w3.org/2001/XMLSchema" xmlns:xs="http://www.w3.org/2001/XMLSchema" xmlns:p="http://schemas.microsoft.com/office/2006/metadata/properties" xmlns:ns2="a105cff3-8e8b-4d47-9384-3cbee93f04fd" xmlns:ns3="5a1495c0-f88b-484b-85ed-438d02e123c7" targetNamespace="http://schemas.microsoft.com/office/2006/metadata/properties" ma:root="true" ma:fieldsID="f7d7591c7457f0be24fa5d51000473ec" ns2:_="" ns3:_="">
    <xsd:import namespace="a105cff3-8e8b-4d47-9384-3cbee93f04fd"/>
    <xsd:import namespace="5a1495c0-f88b-484b-85ed-438d02e123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5cff3-8e8b-4d47-9384-3cbee93f0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34906ce-3f41-481e-9243-6ba741723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1495c0-f88b-484b-85ed-438d02e123c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d0b1ad-01b8-4443-b7bf-50f7435d7af8}" ma:internalName="TaxCatchAll" ma:showField="CatchAllData" ma:web="5a1495c0-f88b-484b-85ed-438d02e123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05cff3-8e8b-4d47-9384-3cbee93f04fd">
      <Terms xmlns="http://schemas.microsoft.com/office/infopath/2007/PartnerControls"/>
    </lcf76f155ced4ddcb4097134ff3c332f>
    <TaxCatchAll xmlns="5a1495c0-f88b-484b-85ed-438d02e123c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60389E-29E0-451C-8A3E-6F34DE60AF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05cff3-8e8b-4d47-9384-3cbee93f04fd"/>
    <ds:schemaRef ds:uri="5a1495c0-f88b-484b-85ed-438d02e123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6C9F18-0ED5-40B8-9977-9E09ECFCDB76}">
  <ds:schemaRefs>
    <ds:schemaRef ds:uri="http://schemas.microsoft.com/office/2006/metadata/properties"/>
    <ds:schemaRef ds:uri="http://schemas.microsoft.com/office/infopath/2007/PartnerControls"/>
    <ds:schemaRef ds:uri="a105cff3-8e8b-4d47-9384-3cbee93f04fd"/>
    <ds:schemaRef ds:uri="5a1495c0-f88b-484b-85ed-438d02e123c7"/>
  </ds:schemaRefs>
</ds:datastoreItem>
</file>

<file path=customXml/itemProps3.xml><?xml version="1.0" encoding="utf-8"?>
<ds:datastoreItem xmlns:ds="http://schemas.openxmlformats.org/officeDocument/2006/customXml" ds:itemID="{FFAA3F3C-525B-49D7-B231-3F4EF0BEE8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Model</vt:lpstr>
      <vt:lpstr>Model!Print_Area</vt:lpstr>
    </vt:vector>
  </TitlesOfParts>
  <Company>Four Corners Capital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Srinivasan</dc:creator>
  <cp:lastModifiedBy>Nishit Wadhwani</cp:lastModifiedBy>
  <cp:lastPrinted>2023-10-26T11:32:16Z</cp:lastPrinted>
  <dcterms:created xsi:type="dcterms:W3CDTF">2004-09-07T20:41:44Z</dcterms:created>
  <dcterms:modified xsi:type="dcterms:W3CDTF">2025-09-03T17:44:59Z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{E79C2FC2-AF30-48D9-B0B1-CE66566DF9FC}</vt:lpwstr>
  </property>
  <property fmtid="{D5CDD505-2E9C-101B-9397-08002B2CF9AE}" pid="3" name="ContentTypeId">
    <vt:lpwstr>0x010100715D897C85EAE84299403B79D587D95A</vt:lpwstr>
  </property>
  <property fmtid="{D5CDD505-2E9C-101B-9397-08002B2CF9AE}" pid="4" name="MediaServiceImageTags">
    <vt:lpwstr/>
  </property>
</Properties>
</file>