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tion" sheetId="1" r:id="rId4"/>
    <sheet state="visible" name="Alberta Street" sheetId="2" r:id="rId5"/>
    <sheet state="visible" name="9887 Whalley Blvd" sheetId="3" r:id="rId6"/>
  </sheets>
  <definedNames/>
  <calcPr/>
</workbook>
</file>

<file path=xl/sharedStrings.xml><?xml version="1.0" encoding="utf-8"?>
<sst xmlns="http://schemas.openxmlformats.org/spreadsheetml/2006/main" count="271" uniqueCount="120">
  <si>
    <t>Acquisition Costs</t>
  </si>
  <si>
    <t>Value Base</t>
  </si>
  <si>
    <t>The resale value at purchase. This is used to calculate immediate equity and is used for all variable expense estimates.</t>
  </si>
  <si>
    <t>Purchase Price</t>
  </si>
  <si>
    <t>Flows through to mortgage payment calculations, CoC returns, and ROI.</t>
  </si>
  <si>
    <t>Down</t>
  </si>
  <si>
    <t>Down payment as a percentage of the purchase price.</t>
  </si>
  <si>
    <t>Closing Costs</t>
  </si>
  <si>
    <t>Fees, inspections, commission etc.</t>
  </si>
  <si>
    <t>Renovation and Holding Costs</t>
  </si>
  <si>
    <t>$-</t>
  </si>
  <si>
    <t xml:space="preserve">Repairs made before the property is rented out. </t>
  </si>
  <si>
    <t>Total Acquisition Cost</t>
  </si>
  <si>
    <t>The sum of all costs to attain and get the property ready for renting.</t>
  </si>
  <si>
    <t>Loan</t>
  </si>
  <si>
    <t>Financed portion of the purchase that drive the mortgage payment on the property.</t>
  </si>
  <si>
    <t>Rent</t>
  </si>
  <si>
    <t>Annual Growth</t>
  </si>
  <si>
    <t>Annual</t>
  </si>
  <si>
    <t>Monthly</t>
  </si>
  <si>
    <t>Rent/Unit</t>
  </si>
  <si>
    <t># of Units</t>
  </si>
  <si>
    <t>Total Rent</t>
  </si>
  <si>
    <t>Max Rent</t>
  </si>
  <si>
    <t>Theoretical max rent. Inputs are Unit Rent, # of Units, annual growth rate.</t>
  </si>
  <si>
    <t>Expenses and Reserves</t>
  </si>
  <si>
    <t>Insurance</t>
  </si>
  <si>
    <t>Calculated as a % of the Value Base. Obviosuly see an agent to get a better quote. The growth rate is the same as the pricing increase.</t>
  </si>
  <si>
    <t>Utilities</t>
  </si>
  <si>
    <t>per unit</t>
  </si>
  <si>
    <t>Flat rate per unit. The growth rate is the same as the housing price.</t>
  </si>
  <si>
    <t>Maintenance</t>
  </si>
  <si>
    <t>Calculated as a % of the value base. Used for routine maintenance after tenants move out.</t>
  </si>
  <si>
    <t>CapEx</t>
  </si>
  <si>
    <t>Calculated as a % of the value base. Used for large expenses like replacing the roof, repainting the hose house, re-carpenting.</t>
  </si>
  <si>
    <t>Tax</t>
  </si>
  <si>
    <t>Calculated as a % of the value base. Tax rates are public information available on city website usually.</t>
  </si>
  <si>
    <t>Vacancy</t>
  </si>
  <si>
    <t>8% to account for tenants leaving and finding new tenants. Inputs are Starting, Transition Years, Ending.Important for any value add deals</t>
  </si>
  <si>
    <t>Management</t>
  </si>
  <si>
    <t>Usually 10%, some charge flat rates for limited services, some charge for finding tenants.</t>
  </si>
  <si>
    <t>Operating Expenses</t>
  </si>
  <si>
    <t>Total of the above expenses.</t>
  </si>
  <si>
    <t>Net Operating Income</t>
  </si>
  <si>
    <t>Max Rent - Operating Expeses</t>
  </si>
  <si>
    <t>Expense Ratio</t>
  </si>
  <si>
    <t>Operating Expses/Max Rent. Really important for value-add investments.</t>
  </si>
  <si>
    <t>Cap Rate</t>
  </si>
  <si>
    <t>NOI/value base. Commonly reported in commerical property investments.</t>
  </si>
  <si>
    <t>Mortgage</t>
  </si>
  <si>
    <t>Financing cost for taking out a mortgage against the property. Inputs are interest rate and duration. ARMs are too complicated to model int he long term.</t>
  </si>
  <si>
    <t>PMI</t>
  </si>
  <si>
    <t>If you buy residential for less than 20% down then you'll pay PMI up to around 10% of the mortgage.</t>
  </si>
  <si>
    <t>Net Income</t>
  </si>
  <si>
    <t>NOI-Financing Costs=What you should actually get back out.</t>
  </si>
  <si>
    <t>Cash of Cash Return</t>
  </si>
  <si>
    <t>NOI/Total Acquisition Cost. This is your total return if you are holding it forever.</t>
  </si>
  <si>
    <t>Debt Service Coverage</t>
  </si>
  <si>
    <t>NOI/Finacing Cost. It's used by commerical lenders to evaluate the safety margin of their loan.</t>
  </si>
  <si>
    <t>Operating Expense %</t>
  </si>
  <si>
    <t>Operating Expenses inclduing Vacancy and Management/Max Rent. Usualy ~40%, important for value add deals and mental math.</t>
  </si>
  <si>
    <t>Break Even Vacancy Rate</t>
  </si>
  <si>
    <t>How much vacancy the deal will support before you lose money on average. Good to know as a margin of safety number.</t>
  </si>
  <si>
    <t>Equity</t>
  </si>
  <si>
    <t>The value of the property-loan value. Good to know for portfolio loans and refinancing options.</t>
  </si>
  <si>
    <t>ROE</t>
  </si>
  <si>
    <t>Return on Equity: Net Income/Equity. A great measure for looking at the opportunity cost of holding vs. selling and reinvesting equity.</t>
  </si>
  <si>
    <t>ROA</t>
  </si>
  <si>
    <t>Return on Assets: Operations meaure similar to the cap rate but uses Net Income instead of NOI.</t>
  </si>
  <si>
    <t>ROI</t>
  </si>
  <si>
    <t>Return on Investment: Financial performance measure similar to ROE except it only looks at what you put into the deal.</t>
  </si>
  <si>
    <t>4780 Alberta Street</t>
  </si>
  <si>
    <t>Basic information is on the second tab.</t>
  </si>
  <si>
    <t>Adjust Year</t>
  </si>
  <si>
    <t xml:space="preserve">End of 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</si>
  <si>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</si>
  <si>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</si>
  <si>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</si>
  <si>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</si>
  <si>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</si>
  <si>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</si>
  <si>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</si>
  <si>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</si>
  <si>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</si>
  <si>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</si>
  <si>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</si>
  <si>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</si>
  <si>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</si>
  <si>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</si>
  <si>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</si>
  <si>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</si>
  <si>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</si>
  <si>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</si>
  <si>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</si>
  <si>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</si>
  <si>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</si>
  <si>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</si>
  <si>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</si>
  <si>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</si>
  <si>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</si>
  <si>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</si>
  <si>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</si>
  <si>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</si>
  <si>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</si>
  <si>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</si>
  <si>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Effective Rent</t>
  </si>
  <si>
    <t>Renovation</t>
  </si>
  <si>
    <t>HOA</t>
  </si>
  <si>
    <t>Total OPEX</t>
  </si>
  <si>
    <t>Total Financing</t>
  </si>
  <si>
    <t>Cash on Cash Return</t>
  </si>
  <si>
    <t>NOI Growth</t>
  </si>
  <si>
    <t>Net Income Growth</t>
  </si>
  <si>
    <t>Value at Appraisal</t>
  </si>
  <si>
    <t>Value at Cap Rate</t>
  </si>
  <si>
    <t>Loan Remaining</t>
  </si>
  <si>
    <t>Return on Equity</t>
  </si>
  <si>
    <t>Return on Assets</t>
  </si>
  <si>
    <t>Return on Investment</t>
  </si>
  <si>
    <t>9887 Whalley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</si>
</sst>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%"/>
  </numFmts>
  <fonts count="9">
    <font>
      <sz val="10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11.0"/>
      <color rgb="FFC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rgb="FF980000"/>
      <name val="Calibri"/>
    </font>
    <font>
      <b/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double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2" fillId="3" fontId="3" numFmtId="164" xfId="0" applyAlignment="1" applyBorder="1" applyFill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3" fillId="3" fontId="3" numFmtId="164" xfId="0" applyAlignment="1" applyBorder="1" applyFont="1" applyNumberFormat="1">
      <alignment horizontal="right" shrinkToFit="0" vertical="bottom" wrapText="0"/>
    </xf>
    <xf borderId="0" fillId="0" fontId="3" numFmtId="9" xfId="0" applyAlignment="1" applyFont="1" applyNumberFormat="1">
      <alignment horizontal="right" shrinkToFit="0" vertical="bottom" wrapText="0"/>
    </xf>
    <xf borderId="0" fillId="4" fontId="3" numFmtId="9" xfId="0" applyAlignment="1" applyFill="1" applyFont="1" applyNumberForma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3" fontId="3" numFmtId="10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4" fillId="2" fontId="1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5" numFmtId="0" xfId="0" applyFont="1"/>
    <xf borderId="1" fillId="5" fontId="1" numFmtId="0" xfId="0" applyAlignment="1" applyBorder="1" applyFill="1" applyFont="1">
      <alignment horizontal="center" shrinkToFit="0" vertical="bottom" wrapText="0"/>
    </xf>
    <xf borderId="0" fillId="5" fontId="1" numFmtId="0" xfId="0" applyAlignment="1" applyFont="1">
      <alignment shrinkToFit="0" vertical="bottom" wrapText="0"/>
    </xf>
    <xf borderId="0" fillId="0" fontId="6" numFmtId="0" xfId="0" applyFont="1"/>
    <xf borderId="6" fillId="0" fontId="3" numFmtId="0" xfId="0" applyAlignment="1" applyBorder="1" applyFont="1">
      <alignment shrinkToFit="0" vertical="bottom" wrapText="0"/>
    </xf>
    <xf borderId="0" fillId="3" fontId="3" numFmtId="164" xfId="0" applyAlignment="1" applyFont="1" applyNumberFormat="1">
      <alignment horizontal="right" shrinkToFit="0" vertical="bottom" wrapText="0"/>
    </xf>
    <xf borderId="0" fillId="3" fontId="3" numFmtId="0" xfId="0" applyAlignment="1" applyFont="1">
      <alignment horizontal="right" shrinkToFit="0" vertical="bottom" wrapText="0"/>
    </xf>
    <xf borderId="7" fillId="2" fontId="1" numFmtId="0" xfId="0" applyAlignment="1" applyBorder="1" applyFont="1">
      <alignment shrinkToFit="0" vertical="bottom" wrapText="0"/>
    </xf>
    <xf borderId="3" fillId="0" fontId="4" numFmtId="164" xfId="0" applyAlignment="1" applyBorder="1" applyFont="1" applyNumberFormat="1">
      <alignment horizontal="right" shrinkToFit="0" vertical="bottom" wrapText="0"/>
    </xf>
    <xf borderId="3" fillId="3" fontId="3" numFmtId="10" xfId="0" applyAlignment="1" applyBorder="1" applyFont="1" applyNumberForma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8" fillId="3" fontId="3" numFmtId="10" xfId="0" applyAlignment="1" applyBorder="1" applyFont="1" applyNumberFormat="1">
      <alignment horizontal="right" shrinkToFit="0" vertical="bottom" wrapText="0"/>
    </xf>
    <xf borderId="9" fillId="2" fontId="1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7" numFmtId="164" xfId="0" applyAlignment="1" applyFont="1" applyNumberFormat="1">
      <alignment horizontal="right" shrinkToFit="0" vertical="bottom" wrapText="0"/>
    </xf>
    <xf borderId="10" fillId="3" fontId="3" numFmtId="10" xfId="0" applyAlignment="1" applyBorder="1" applyFont="1" applyNumberFormat="1">
      <alignment horizontal="right" shrinkToFit="0" vertical="bottom" wrapText="0"/>
    </xf>
    <xf borderId="11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2" fillId="0" fontId="3" numFmtId="164" xfId="0" applyAlignment="1" applyBorder="1" applyFont="1" applyNumberFormat="1">
      <alignment horizontal="right" shrinkToFit="0" vertical="bottom" wrapText="0"/>
    </xf>
    <xf borderId="12" fillId="0" fontId="3" numFmtId="0" xfId="0" applyAlignment="1" applyBorder="1" applyFont="1">
      <alignment shrinkToFit="0" vertical="bottom" wrapText="0"/>
    </xf>
    <xf borderId="4" fillId="0" fontId="4" numFmtId="164" xfId="0" applyAlignment="1" applyBorder="1" applyFont="1" applyNumberFormat="1">
      <alignment horizontal="right" shrinkToFit="0" vertical="bottom" wrapText="0"/>
    </xf>
    <xf borderId="4" fillId="0" fontId="3" numFmtId="10" xfId="0" applyAlignment="1" applyBorder="1" applyFont="1" applyNumberFormat="1">
      <alignment horizontal="right" shrinkToFit="0" vertical="bottom" wrapText="0"/>
    </xf>
    <xf borderId="4" fillId="3" fontId="3" numFmtId="10" xfId="0" applyAlignment="1" applyBorder="1" applyFont="1" applyNumberFormat="1">
      <alignment horizontal="right" shrinkToFit="0" vertical="bottom" wrapText="0"/>
    </xf>
    <xf borderId="0" fillId="0" fontId="1" numFmtId="9" xfId="0" applyAlignment="1" applyFont="1" applyNumberFormat="1">
      <alignment horizontal="right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7" fontId="3" numFmtId="9" xfId="0" applyAlignment="1" applyFill="1" applyFont="1" applyNumberFormat="1">
      <alignment shrinkToFit="0" vertical="bottom" wrapText="0"/>
    </xf>
    <xf borderId="3" fillId="3" fontId="3" numFmtId="164" xfId="0" applyAlignment="1" applyBorder="1" applyFont="1" applyNumberFormat="1">
      <alignment horizontal="right" readingOrder="0" shrinkToFit="0" vertical="bottom" wrapText="0"/>
    </xf>
    <xf borderId="0" fillId="0" fontId="3" numFmtId="9" xfId="0" applyAlignment="1" applyFont="1" applyNumberFormat="1">
      <alignment shrinkToFit="0" vertical="bottom" wrapText="0"/>
    </xf>
    <xf borderId="0" fillId="3" fontId="3" numFmtId="10" xfId="0" applyAlignment="1" applyFont="1" applyNumberForma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5" fillId="3" fontId="3" numFmtId="0" xfId="0" applyAlignment="1" applyBorder="1" applyFont="1">
      <alignment horizontal="right"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3" fontId="3" numFmtId="164" xfId="0" applyAlignment="1" applyFont="1" applyNumberFormat="1">
      <alignment horizontal="right" readingOrder="0" shrinkToFit="0" vertical="bottom" wrapText="0"/>
    </xf>
    <xf borderId="0" fillId="4" fontId="4" numFmtId="164" xfId="0" applyAlignment="1" applyFont="1" applyNumberFormat="1">
      <alignment horizontal="right" shrinkToFit="0" vertical="bottom" wrapText="0"/>
    </xf>
    <xf borderId="0" fillId="0" fontId="3" numFmtId="10" xfId="0" applyAlignment="1" applyFont="1" applyNumberFormat="1">
      <alignment horizontal="right" shrinkToFit="0" vertical="bottom" wrapText="0"/>
    </xf>
    <xf borderId="10" fillId="0" fontId="3" numFmtId="10" xfId="0" applyAlignment="1" applyBorder="1" applyFont="1" applyNumberFormat="1">
      <alignment horizontal="right" shrinkToFit="0" vertical="bottom" wrapText="0"/>
    </xf>
    <xf borderId="0" fillId="2" fontId="6" numFmtId="0" xfId="0" applyFont="1"/>
    <xf borderId="0" fillId="0" fontId="5" numFmtId="164" xfId="0" applyFont="1" applyNumberFormat="1"/>
    <xf borderId="0" fillId="0" fontId="1" numFmtId="164" xfId="0" applyAlignment="1" applyFont="1" applyNumberFormat="1">
      <alignment horizontal="right" shrinkToFit="0" vertical="bottom" wrapText="0"/>
    </xf>
    <xf borderId="0" fillId="0" fontId="1" numFmtId="10" xfId="0" applyAlignment="1" applyFont="1" applyNumberFormat="1">
      <alignment horizontal="right" shrinkToFit="0" vertical="bottom" wrapText="0"/>
    </xf>
    <xf borderId="0" fillId="4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6" fontId="5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57"/>
    <col customWidth="1" min="2" max="6" width="14.43"/>
    <col customWidth="1" min="8" max="8" width="26.57"/>
  </cols>
  <sheetData>
    <row r="1" ht="15.75" customHeight="1"/>
    <row r="2" ht="15.75" customHeight="1">
      <c r="A2" s="1" t="s">
        <v>0</v>
      </c>
      <c r="B2" s="2"/>
      <c r="C2" s="2"/>
      <c r="D2" s="3"/>
      <c r="E2" s="3"/>
      <c r="F2" s="3"/>
    </row>
    <row r="3" ht="15.75" customHeight="1">
      <c r="A3" s="4" t="s">
        <v>1</v>
      </c>
      <c r="B3" s="5">
        <v>1720000.0</v>
      </c>
      <c r="C3" s="6"/>
      <c r="D3" s="3"/>
      <c r="E3" s="3"/>
      <c r="F3" s="3"/>
      <c r="H3" s="4" t="s">
        <v>1</v>
      </c>
      <c r="I3" s="7" t="s">
        <v>2</v>
      </c>
    </row>
    <row r="4" ht="15.75" customHeight="1">
      <c r="A4" s="4" t="s">
        <v>3</v>
      </c>
      <c r="B4" s="8">
        <v>64500.0</v>
      </c>
      <c r="C4" s="9">
        <v>1.088235294117647</v>
      </c>
      <c r="D4" s="10">
        <v>0.01</v>
      </c>
      <c r="E4" s="3"/>
      <c r="H4" s="4" t="str">
        <f t="shared" ref="H4:H10" si="1">A4</f>
        <v>Purchase Price</v>
      </c>
      <c r="I4" s="7" t="s">
        <v>4</v>
      </c>
    </row>
    <row r="5" ht="15.75" customHeight="1">
      <c r="A5" s="4" t="s">
        <v>5</v>
      </c>
      <c r="B5" s="11">
        <v>400000.0</v>
      </c>
      <c r="C5" s="12">
        <v>0.01</v>
      </c>
      <c r="D5" s="3"/>
      <c r="E5" s="3"/>
      <c r="F5" s="3"/>
      <c r="H5" s="4" t="str">
        <f t="shared" si="1"/>
        <v>Down</v>
      </c>
      <c r="I5" s="7" t="s">
        <v>6</v>
      </c>
    </row>
    <row r="6" ht="15.75" customHeight="1">
      <c r="A6" s="4" t="s">
        <v>7</v>
      </c>
      <c r="B6" s="13">
        <v>2500.0</v>
      </c>
      <c r="C6" s="12">
        <v>0.01</v>
      </c>
      <c r="D6" s="3"/>
      <c r="E6" s="3"/>
      <c r="F6" s="3"/>
      <c r="H6" s="4" t="str">
        <f t="shared" si="1"/>
        <v>Closing Costs</v>
      </c>
      <c r="I6" s="7" t="s">
        <v>8</v>
      </c>
    </row>
    <row r="7" ht="15.75" customHeight="1">
      <c r="A7" s="14" t="s">
        <v>9</v>
      </c>
      <c r="B7" s="15" t="s">
        <v>10</v>
      </c>
      <c r="C7" s="16"/>
      <c r="D7" s="3"/>
      <c r="E7" s="3"/>
      <c r="F7" s="3"/>
      <c r="H7" s="14" t="str">
        <f t="shared" si="1"/>
        <v>Renovation and Holding Costs</v>
      </c>
      <c r="I7" s="7" t="s">
        <v>11</v>
      </c>
    </row>
    <row r="8" ht="15.75" customHeight="1">
      <c r="A8" s="4" t="s">
        <v>12</v>
      </c>
      <c r="B8" s="13">
        <v>48750.0</v>
      </c>
      <c r="C8" s="6"/>
      <c r="D8" s="3"/>
      <c r="E8" s="3"/>
      <c r="F8" s="3"/>
      <c r="H8" s="4" t="str">
        <f t="shared" si="1"/>
        <v>Total Acquisition Cost</v>
      </c>
      <c r="I8" s="7" t="s">
        <v>13</v>
      </c>
    </row>
    <row r="9" ht="15.75" customHeight="1">
      <c r="A9" s="4" t="s">
        <v>14</v>
      </c>
      <c r="B9" s="13">
        <v>138750.0</v>
      </c>
      <c r="C9" s="6"/>
      <c r="D9" s="3"/>
      <c r="E9" s="3"/>
      <c r="F9" s="3"/>
      <c r="H9" s="4" t="str">
        <f t="shared" si="1"/>
        <v>Loan</v>
      </c>
      <c r="I9" s="7" t="s">
        <v>15</v>
      </c>
    </row>
    <row r="10" ht="15.75" customHeight="1">
      <c r="A10" s="3"/>
      <c r="B10" s="3"/>
      <c r="C10" s="3"/>
      <c r="D10" s="3"/>
      <c r="E10" s="3"/>
      <c r="F10" s="3"/>
      <c r="H10" s="17" t="str">
        <f t="shared" si="1"/>
        <v/>
      </c>
    </row>
    <row r="11" ht="15.75" customHeight="1">
      <c r="A11" s="18" t="s">
        <v>16</v>
      </c>
      <c r="B11" s="2"/>
      <c r="C11" s="2"/>
      <c r="D11" s="2"/>
      <c r="E11" s="2"/>
      <c r="F11" s="19" t="s">
        <v>17</v>
      </c>
      <c r="H11" s="20"/>
    </row>
    <row r="12" ht="15.75" customHeight="1">
      <c r="A12" s="21"/>
      <c r="B12" s="21" t="s">
        <v>18</v>
      </c>
      <c r="C12" s="21" t="s">
        <v>19</v>
      </c>
      <c r="D12" s="21" t="s">
        <v>20</v>
      </c>
      <c r="E12" s="21" t="s">
        <v>21</v>
      </c>
      <c r="F12" s="21" t="s">
        <v>22</v>
      </c>
      <c r="H12" s="17" t="str">
        <f t="shared" ref="H12:H20" si="2">A12</f>
        <v/>
      </c>
    </row>
    <row r="13" ht="15.75" customHeight="1">
      <c r="A13" s="4" t="s">
        <v>23</v>
      </c>
      <c r="B13" s="13">
        <v>23400.0</v>
      </c>
      <c r="C13" s="13">
        <v>1950.0</v>
      </c>
      <c r="D13" s="22">
        <v>650.0</v>
      </c>
      <c r="E13" s="23">
        <v>3.0</v>
      </c>
      <c r="F13" s="12">
        <v>0.01</v>
      </c>
      <c r="H13" s="4" t="str">
        <f t="shared" si="2"/>
        <v>Max Rent</v>
      </c>
      <c r="I13" s="7" t="s">
        <v>24</v>
      </c>
    </row>
    <row r="14" ht="15.75" customHeight="1">
      <c r="A14" s="3"/>
      <c r="B14" s="3"/>
      <c r="C14" s="3"/>
      <c r="D14" s="3"/>
      <c r="E14" s="3"/>
      <c r="F14" s="3"/>
      <c r="H14" s="3" t="str">
        <f t="shared" si="2"/>
        <v/>
      </c>
    </row>
    <row r="15" ht="15.75" customHeight="1">
      <c r="A15" s="18" t="s">
        <v>25</v>
      </c>
      <c r="B15" s="2"/>
      <c r="C15" s="2"/>
      <c r="D15" s="2"/>
      <c r="E15" s="2"/>
      <c r="F15" s="19" t="s">
        <v>17</v>
      </c>
      <c r="H15" s="3" t="str">
        <f t="shared" si="2"/>
        <v>Expenses and Reserves</v>
      </c>
    </row>
    <row r="16" ht="15.75" customHeight="1">
      <c r="A16" s="24" t="s">
        <v>26</v>
      </c>
      <c r="B16" s="25">
        <v>-850.0</v>
      </c>
      <c r="C16" s="25">
        <v>-70.83333333333333</v>
      </c>
      <c r="D16" s="26">
        <v>0.005</v>
      </c>
      <c r="E16" s="27"/>
      <c r="F16" s="28">
        <v>0.01</v>
      </c>
      <c r="H16" s="24" t="str">
        <f t="shared" si="2"/>
        <v>Insurance</v>
      </c>
      <c r="I16" s="7" t="s">
        <v>27</v>
      </c>
    </row>
    <row r="17" ht="15.75" customHeight="1">
      <c r="A17" s="29" t="s">
        <v>28</v>
      </c>
      <c r="B17" s="30">
        <v>0.0</v>
      </c>
      <c r="C17" s="31">
        <v>0.0</v>
      </c>
      <c r="D17" s="22">
        <v>0.0</v>
      </c>
      <c r="E17" s="3" t="s">
        <v>29</v>
      </c>
      <c r="F17" s="32">
        <v>0.01</v>
      </c>
      <c r="H17" s="29" t="str">
        <f t="shared" si="2"/>
        <v>Utilities</v>
      </c>
      <c r="I17" s="7" t="s">
        <v>30</v>
      </c>
    </row>
    <row r="18" ht="15.75" customHeight="1">
      <c r="A18" s="29" t="s">
        <v>31</v>
      </c>
      <c r="B18" s="30">
        <v>-1275.0</v>
      </c>
      <c r="C18" s="30">
        <v>-106.25</v>
      </c>
      <c r="D18" s="12">
        <v>0.0075</v>
      </c>
      <c r="E18" s="3"/>
      <c r="F18" s="32">
        <v>0.01</v>
      </c>
      <c r="H18" s="29" t="str">
        <f t="shared" si="2"/>
        <v>Maintenance</v>
      </c>
      <c r="I18" s="7" t="s">
        <v>32</v>
      </c>
    </row>
    <row r="19" ht="15.75" customHeight="1">
      <c r="A19" s="29" t="s">
        <v>33</v>
      </c>
      <c r="B19" s="30">
        <v>-1275.0</v>
      </c>
      <c r="C19" s="30">
        <v>-106.25</v>
      </c>
      <c r="D19" s="12">
        <v>0.0075</v>
      </c>
      <c r="E19" s="3"/>
      <c r="F19" s="32">
        <v>0.01</v>
      </c>
      <c r="H19" s="29" t="str">
        <f t="shared" si="2"/>
        <v>CapEx</v>
      </c>
      <c r="I19" s="7" t="s">
        <v>34</v>
      </c>
    </row>
    <row r="20" ht="15.75" customHeight="1">
      <c r="A20" s="4" t="s">
        <v>35</v>
      </c>
      <c r="B20" s="30">
        <v>-1275.0</v>
      </c>
      <c r="C20" s="30">
        <v>-106.25</v>
      </c>
      <c r="D20" s="12">
        <v>0.0075</v>
      </c>
      <c r="E20" s="3"/>
      <c r="F20" s="32">
        <v>0.01</v>
      </c>
      <c r="H20" s="29" t="str">
        <f t="shared" si="2"/>
        <v>Tax</v>
      </c>
      <c r="I20" s="7" t="s">
        <v>36</v>
      </c>
    </row>
    <row r="21" ht="15.75" customHeight="1">
      <c r="A21" s="29" t="s">
        <v>37</v>
      </c>
      <c r="B21" s="30">
        <v>-1872.0</v>
      </c>
      <c r="C21" s="30">
        <v>-156.0</v>
      </c>
      <c r="D21" s="12">
        <v>0.08</v>
      </c>
      <c r="E21" s="3">
        <v>5.0</v>
      </c>
      <c r="F21" s="32">
        <v>0.08</v>
      </c>
      <c r="H21" s="29" t="s">
        <v>37</v>
      </c>
      <c r="I21" s="7" t="s">
        <v>38</v>
      </c>
    </row>
    <row r="22" ht="15.75" customHeight="1">
      <c r="A22" s="29" t="s">
        <v>39</v>
      </c>
      <c r="B22" s="30">
        <v>-2340.0</v>
      </c>
      <c r="C22" s="30">
        <v>-195.0</v>
      </c>
      <c r="D22" s="12">
        <v>0.1</v>
      </c>
      <c r="E22" s="3"/>
      <c r="F22" s="32">
        <v>0.0</v>
      </c>
      <c r="H22" s="33" t="s">
        <v>39</v>
      </c>
      <c r="I22" s="7" t="s">
        <v>40</v>
      </c>
    </row>
    <row r="23" ht="15.75" customHeight="1">
      <c r="A23" s="34" t="s">
        <v>41</v>
      </c>
      <c r="B23" s="35">
        <v>-8887.0</v>
      </c>
      <c r="C23" s="35">
        <v>-740.5833333333333</v>
      </c>
      <c r="D23" s="36"/>
      <c r="E23" s="36"/>
      <c r="F23" s="36"/>
      <c r="H23" s="34" t="str">
        <f t="shared" ref="H23:H31" si="3">A23</f>
        <v>Operating Expenses</v>
      </c>
      <c r="I23" s="7" t="s">
        <v>42</v>
      </c>
    </row>
    <row r="24" ht="15.75" customHeight="1">
      <c r="A24" s="4" t="s">
        <v>43</v>
      </c>
      <c r="B24" s="13">
        <v>14513.0</v>
      </c>
      <c r="C24" s="13">
        <v>1209.4166666666667</v>
      </c>
      <c r="D24" s="3"/>
      <c r="E24" s="3"/>
      <c r="F24" s="3"/>
      <c r="H24" s="4" t="str">
        <f t="shared" si="3"/>
        <v>Net Operating Income</v>
      </c>
      <c r="I24" s="7" t="s">
        <v>44</v>
      </c>
    </row>
    <row r="25" ht="15.75" customHeight="1">
      <c r="A25" s="4" t="s">
        <v>45</v>
      </c>
      <c r="B25" s="9">
        <v>-0.3797863247863248</v>
      </c>
      <c r="C25" s="3"/>
      <c r="D25" s="3"/>
      <c r="E25" s="3"/>
      <c r="F25" s="3"/>
      <c r="H25" s="4" t="str">
        <f t="shared" si="3"/>
        <v>Expense Ratio</v>
      </c>
      <c r="I25" s="7" t="s">
        <v>46</v>
      </c>
    </row>
    <row r="26" ht="15.75" customHeight="1">
      <c r="A26" s="4" t="s">
        <v>47</v>
      </c>
      <c r="B26" s="9">
        <v>0.08537058823529411</v>
      </c>
      <c r="C26" s="3"/>
      <c r="D26" s="3"/>
      <c r="E26" s="3"/>
      <c r="F26" s="3"/>
      <c r="H26" s="4" t="str">
        <f t="shared" si="3"/>
        <v>Cap Rate</v>
      </c>
      <c r="I26" s="7" t="s">
        <v>48</v>
      </c>
    </row>
    <row r="27" ht="15.75" customHeight="1">
      <c r="A27" s="3"/>
      <c r="B27" s="3"/>
      <c r="C27" s="3"/>
      <c r="D27" s="3"/>
      <c r="E27" s="3"/>
      <c r="F27" s="3"/>
      <c r="H27" s="3" t="str">
        <f t="shared" si="3"/>
        <v/>
      </c>
    </row>
    <row r="28" ht="15.75" customHeight="1">
      <c r="A28" s="4" t="s">
        <v>49</v>
      </c>
      <c r="B28" s="30">
        <v>-8436.310408600995</v>
      </c>
      <c r="C28" s="30">
        <v>-703.0258673834163</v>
      </c>
      <c r="D28" s="12">
        <v>0.045</v>
      </c>
      <c r="E28" s="23">
        <v>30.0</v>
      </c>
      <c r="F28" s="3"/>
      <c r="H28" s="4" t="str">
        <f t="shared" si="3"/>
        <v>Mortgage</v>
      </c>
      <c r="I28" s="7" t="s">
        <v>50</v>
      </c>
    </row>
    <row r="29" ht="15.75" customHeight="1">
      <c r="A29" s="14" t="s">
        <v>51</v>
      </c>
      <c r="B29" s="37">
        <v>971.25</v>
      </c>
      <c r="C29" s="37">
        <v>80.9375</v>
      </c>
      <c r="D29" s="38">
        <v>0.007</v>
      </c>
      <c r="E29" s="39">
        <v>0.007</v>
      </c>
      <c r="F29" s="16"/>
      <c r="H29" s="14" t="str">
        <f t="shared" si="3"/>
        <v>PMI</v>
      </c>
      <c r="I29" s="7" t="s">
        <v>52</v>
      </c>
    </row>
    <row r="30" ht="15.75" customHeight="1">
      <c r="A30" s="4" t="s">
        <v>53</v>
      </c>
      <c r="B30" s="13">
        <v>7047.939591399005</v>
      </c>
      <c r="C30" s="13">
        <v>587.3282992832504</v>
      </c>
      <c r="D30" s="3"/>
      <c r="E30" s="3"/>
      <c r="F30" s="3"/>
      <c r="H30" s="4" t="str">
        <f t="shared" si="3"/>
        <v>Net Income</v>
      </c>
      <c r="I30" s="7" t="s">
        <v>54</v>
      </c>
    </row>
    <row r="31" ht="15.75" customHeight="1">
      <c r="A31" s="4" t="s">
        <v>55</v>
      </c>
      <c r="B31" s="40">
        <v>0.14457311982356932</v>
      </c>
      <c r="C31" s="3"/>
      <c r="D31" s="3"/>
      <c r="E31" s="3"/>
      <c r="F31" s="3"/>
      <c r="H31" s="4" t="str">
        <f t="shared" si="3"/>
        <v>Cash of Cash Return</v>
      </c>
      <c r="I31" s="7" t="s">
        <v>56</v>
      </c>
    </row>
    <row r="32" ht="15.75" customHeight="1"/>
    <row r="33" ht="15.75" customHeight="1"/>
    <row r="34" ht="15.75" customHeight="1">
      <c r="H34" s="4" t="s">
        <v>57</v>
      </c>
      <c r="I34" s="7" t="s">
        <v>58</v>
      </c>
    </row>
    <row r="35" ht="15.75" customHeight="1">
      <c r="H35" s="4" t="s">
        <v>59</v>
      </c>
      <c r="I35" s="7" t="s">
        <v>60</v>
      </c>
    </row>
    <row r="36" ht="15.75" customHeight="1">
      <c r="H36" s="4" t="s">
        <v>61</v>
      </c>
      <c r="I36" s="7" t="s">
        <v>62</v>
      </c>
    </row>
    <row r="37" ht="15.75" customHeight="1">
      <c r="H37" s="4" t="s">
        <v>63</v>
      </c>
      <c r="I37" s="7" t="s">
        <v>64</v>
      </c>
    </row>
    <row r="38" ht="15.75" customHeight="1">
      <c r="H38" s="4" t="s">
        <v>65</v>
      </c>
      <c r="I38" s="7" t="s">
        <v>66</v>
      </c>
    </row>
    <row r="39" ht="15.75" customHeight="1">
      <c r="H39" s="4" t="s">
        <v>67</v>
      </c>
      <c r="I39" s="7" t="s">
        <v>68</v>
      </c>
    </row>
    <row r="40" ht="15.75" customHeight="1">
      <c r="H40" s="4" t="s">
        <v>69</v>
      </c>
      <c r="I40" s="7" t="s">
        <v>70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11:E11"/>
    <mergeCell ref="A15:E15"/>
  </mergeCells>
  <conditionalFormatting sqref="B31">
    <cfRule type="colorScale" priority="1">
      <colorScale>
        <cfvo type="formula" val="0"/>
        <cfvo type="formula" val="0.1"/>
        <cfvo type="formula" val="0.2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2.29"/>
    <col customWidth="1" min="3" max="3" width="10.86"/>
    <col customWidth="1" min="4" max="4" width="11.14"/>
    <col customWidth="1" min="5" max="5" width="9.14"/>
    <col customWidth="1" min="6" max="6" width="15.57"/>
    <col customWidth="1" min="7" max="7" width="1.86"/>
    <col customWidth="1" min="8" max="8" width="0.43"/>
    <col customWidth="1" min="9" max="9" width="1.86"/>
    <col customWidth="1" min="10" max="10" width="21.71"/>
  </cols>
  <sheetData>
    <row r="1" ht="15.75" customHeight="1">
      <c r="A1" s="41" t="s">
        <v>71</v>
      </c>
      <c r="B1" s="42" t="s">
        <v>72</v>
      </c>
      <c r="C1" s="3"/>
      <c r="D1" s="3"/>
      <c r="E1" s="3"/>
      <c r="F1" s="3"/>
      <c r="G1" s="3"/>
      <c r="H1" s="43"/>
      <c r="I1" s="3"/>
      <c r="J1" s="4" t="s">
        <v>73</v>
      </c>
      <c r="K1" s="44">
        <v>0.0</v>
      </c>
      <c r="L1" s="44">
        <v>1.0</v>
      </c>
      <c r="M1" s="44">
        <v>2.0</v>
      </c>
      <c r="N1" s="44">
        <v>3.0</v>
      </c>
      <c r="O1" s="44">
        <v>4.0</v>
      </c>
      <c r="P1" s="44">
        <v>5.0</v>
      </c>
      <c r="Q1" s="44">
        <v>6.0</v>
      </c>
      <c r="R1" s="44">
        <v>7.0</v>
      </c>
      <c r="S1" s="44">
        <v>8.0</v>
      </c>
      <c r="T1" s="44">
        <v>9.0</v>
      </c>
      <c r="U1" s="44">
        <v>10.0</v>
      </c>
      <c r="V1" s="44">
        <v>11.0</v>
      </c>
      <c r="W1" s="44">
        <v>12.0</v>
      </c>
      <c r="X1" s="44">
        <v>13.0</v>
      </c>
      <c r="Y1" s="44">
        <v>14.0</v>
      </c>
      <c r="Z1" s="44">
        <v>15.0</v>
      </c>
      <c r="AA1" s="44">
        <v>16.0</v>
      </c>
      <c r="AB1" s="44">
        <v>17.0</v>
      </c>
      <c r="AC1" s="44">
        <v>18.0</v>
      </c>
      <c r="AD1" s="44">
        <v>19.0</v>
      </c>
      <c r="AE1" s="44">
        <v>20.0</v>
      </c>
      <c r="AF1" s="44">
        <v>21.0</v>
      </c>
      <c r="AG1" s="44">
        <v>22.0</v>
      </c>
      <c r="AH1" s="44">
        <v>23.0</v>
      </c>
      <c r="AI1" s="44">
        <v>24.0</v>
      </c>
      <c r="AJ1" s="44">
        <v>25.0</v>
      </c>
      <c r="AK1" s="44">
        <v>26.0</v>
      </c>
      <c r="AL1" s="44">
        <v>27.0</v>
      </c>
      <c r="AM1" s="44">
        <v>28.0</v>
      </c>
      <c r="AN1" s="44">
        <v>29.0</v>
      </c>
      <c r="AO1" s="3"/>
      <c r="AP1" s="3"/>
      <c r="AQ1" s="3"/>
      <c r="AR1" s="3"/>
      <c r="AS1" s="3"/>
      <c r="AT1" s="3"/>
      <c r="AU1" s="3"/>
      <c r="AV1" s="3"/>
    </row>
    <row r="2" ht="15.75" customHeight="1">
      <c r="A2" s="3"/>
      <c r="B2" s="3"/>
      <c r="C2" s="3"/>
      <c r="D2" s="3"/>
      <c r="E2" s="3"/>
      <c r="F2" s="3"/>
      <c r="G2" s="3"/>
      <c r="H2" s="4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75" customHeight="1">
      <c r="A3" s="1" t="s">
        <v>0</v>
      </c>
      <c r="B3" s="2"/>
      <c r="C3" s="2"/>
      <c r="D3" s="3"/>
      <c r="E3" s="3"/>
      <c r="F3" s="3"/>
      <c r="G3" s="3"/>
      <c r="H3" s="43"/>
      <c r="I3" s="3"/>
      <c r="J3" s="4" t="s">
        <v>74</v>
      </c>
      <c r="K3" s="3" t="s">
        <v>75</v>
      </c>
      <c r="L3" s="3" t="s">
        <v>76</v>
      </c>
      <c r="M3" s="3" t="s">
        <v>77</v>
      </c>
      <c r="N3" s="3" t="s">
        <v>78</v>
      </c>
      <c r="O3" s="3" t="s">
        <v>79</v>
      </c>
      <c r="P3" s="3" t="s">
        <v>80</v>
      </c>
      <c r="Q3" s="3" t="s">
        <v>81</v>
      </c>
      <c r="R3" s="3" t="s">
        <v>82</v>
      </c>
      <c r="S3" s="3" t="s">
        <v>83</v>
      </c>
      <c r="T3" s="3" t="s">
        <v>84</v>
      </c>
      <c r="U3" s="3" t="s">
        <v>85</v>
      </c>
      <c r="V3" s="3" t="s">
        <v>86</v>
      </c>
      <c r="W3" s="3" t="s">
        <v>87</v>
      </c>
      <c r="X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D3" s="3" t="s">
        <v>94</v>
      </c>
      <c r="AE3" s="3" t="s">
        <v>95</v>
      </c>
      <c r="AF3" s="3" t="s">
        <v>96</v>
      </c>
      <c r="AG3" s="3" t="s">
        <v>97</v>
      </c>
      <c r="AH3" s="3" t="s">
        <v>98</v>
      </c>
      <c r="AI3" s="3" t="s">
        <v>99</v>
      </c>
      <c r="AJ3" s="3" t="s">
        <v>100</v>
      </c>
      <c r="AK3" s="3" t="s">
        <v>101</v>
      </c>
      <c r="AL3" s="3" t="s">
        <v>102</v>
      </c>
      <c r="AM3" s="3" t="s">
        <v>103</v>
      </c>
      <c r="AN3" s="3" t="s">
        <v>104</v>
      </c>
      <c r="AO3" s="3"/>
      <c r="AP3" s="3"/>
      <c r="AQ3" s="3"/>
      <c r="AR3" s="3"/>
      <c r="AS3" s="3"/>
      <c r="AT3" s="3"/>
      <c r="AU3" s="3"/>
      <c r="AV3" s="3"/>
    </row>
    <row r="4" ht="15.75" customHeight="1">
      <c r="A4" s="4" t="s">
        <v>1</v>
      </c>
      <c r="B4" s="5">
        <v>1800000.0</v>
      </c>
      <c r="C4" s="6"/>
      <c r="D4" s="45">
        <v>0.0</v>
      </c>
      <c r="E4" s="3"/>
      <c r="F4" s="3"/>
      <c r="G4" s="3"/>
      <c r="H4" s="43"/>
      <c r="I4" s="3"/>
      <c r="J4" s="4" t="s">
        <v>23</v>
      </c>
      <c r="K4" s="13">
        <f t="shared" ref="K4:AN4" si="1">$B$15*(1+$F$15)^K$1</f>
        <v>57600</v>
      </c>
      <c r="L4" s="13">
        <f t="shared" si="1"/>
        <v>58752</v>
      </c>
      <c r="M4" s="13">
        <f t="shared" si="1"/>
        <v>59927.04</v>
      </c>
      <c r="N4" s="13">
        <f t="shared" si="1"/>
        <v>61125.5808</v>
      </c>
      <c r="O4" s="13">
        <f t="shared" si="1"/>
        <v>62348.09242</v>
      </c>
      <c r="P4" s="13">
        <f t="shared" si="1"/>
        <v>63595.05426</v>
      </c>
      <c r="Q4" s="13">
        <f t="shared" si="1"/>
        <v>64866.95535</v>
      </c>
      <c r="R4" s="13">
        <f t="shared" si="1"/>
        <v>66164.29446</v>
      </c>
      <c r="S4" s="13">
        <f t="shared" si="1"/>
        <v>67487.58035</v>
      </c>
      <c r="T4" s="13">
        <f t="shared" si="1"/>
        <v>68837.33195</v>
      </c>
      <c r="U4" s="13">
        <f t="shared" si="1"/>
        <v>70214.07859</v>
      </c>
      <c r="V4" s="13">
        <f t="shared" si="1"/>
        <v>71618.36016</v>
      </c>
      <c r="W4" s="13">
        <f t="shared" si="1"/>
        <v>73050.72737</v>
      </c>
      <c r="X4" s="13">
        <f t="shared" si="1"/>
        <v>74511.74191</v>
      </c>
      <c r="Y4" s="13">
        <f t="shared" si="1"/>
        <v>76001.97675</v>
      </c>
      <c r="Z4" s="13">
        <f t="shared" si="1"/>
        <v>77522.01629</v>
      </c>
      <c r="AA4" s="13">
        <f t="shared" si="1"/>
        <v>79072.45661</v>
      </c>
      <c r="AB4" s="13">
        <f t="shared" si="1"/>
        <v>80653.90575</v>
      </c>
      <c r="AC4" s="13">
        <f t="shared" si="1"/>
        <v>82266.98386</v>
      </c>
      <c r="AD4" s="13">
        <f t="shared" si="1"/>
        <v>83912.32354</v>
      </c>
      <c r="AE4" s="13">
        <f t="shared" si="1"/>
        <v>85590.57001</v>
      </c>
      <c r="AF4" s="13">
        <f t="shared" si="1"/>
        <v>87302.38141</v>
      </c>
      <c r="AG4" s="13">
        <f t="shared" si="1"/>
        <v>89048.42904</v>
      </c>
      <c r="AH4" s="13">
        <f t="shared" si="1"/>
        <v>90829.39762</v>
      </c>
      <c r="AI4" s="13">
        <f t="shared" si="1"/>
        <v>92645.98557</v>
      </c>
      <c r="AJ4" s="13">
        <f t="shared" si="1"/>
        <v>94498.90528</v>
      </c>
      <c r="AK4" s="13">
        <f t="shared" si="1"/>
        <v>96388.88339</v>
      </c>
      <c r="AL4" s="13">
        <f t="shared" si="1"/>
        <v>98316.66105</v>
      </c>
      <c r="AM4" s="13">
        <f t="shared" si="1"/>
        <v>100282.9943</v>
      </c>
      <c r="AN4" s="13">
        <f t="shared" si="1"/>
        <v>102288.6542</v>
      </c>
      <c r="AO4" s="3"/>
      <c r="AP4" s="3"/>
      <c r="AQ4" s="3"/>
      <c r="AR4" s="3"/>
      <c r="AS4" s="3"/>
      <c r="AT4" s="3"/>
      <c r="AU4" s="3"/>
      <c r="AV4" s="3"/>
    </row>
    <row r="5" ht="15.75" customHeight="1">
      <c r="A5" s="4" t="s">
        <v>3</v>
      </c>
      <c r="B5" s="46">
        <v>1739200.0</v>
      </c>
      <c r="C5" s="9">
        <f>B5/B4</f>
        <v>0.9662222222</v>
      </c>
      <c r="D5" s="47"/>
      <c r="E5" s="3"/>
      <c r="G5" s="3"/>
      <c r="H5" s="43"/>
      <c r="I5" s="3"/>
      <c r="J5" s="4" t="s">
        <v>37</v>
      </c>
      <c r="K5" s="13">
        <f t="shared" ref="K5:AN5" si="2">-max($F$24,($D$24-K1*($D$24-$F$24)/$E$24))*K4</f>
        <v>-4608</v>
      </c>
      <c r="L5" s="13">
        <f t="shared" si="2"/>
        <v>-4700.16</v>
      </c>
      <c r="M5" s="13">
        <f t="shared" si="2"/>
        <v>-4794.1632</v>
      </c>
      <c r="N5" s="13">
        <f t="shared" si="2"/>
        <v>-4890.046464</v>
      </c>
      <c r="O5" s="13">
        <f t="shared" si="2"/>
        <v>-4987.847393</v>
      </c>
      <c r="P5" s="13">
        <f t="shared" si="2"/>
        <v>-5087.604341</v>
      </c>
      <c r="Q5" s="13">
        <f t="shared" si="2"/>
        <v>-6227.227714</v>
      </c>
      <c r="R5" s="13">
        <f t="shared" si="2"/>
        <v>-7410.400979</v>
      </c>
      <c r="S5" s="13">
        <f t="shared" si="2"/>
        <v>-8638.410284</v>
      </c>
      <c r="T5" s="13">
        <f t="shared" si="2"/>
        <v>-9912.575801</v>
      </c>
      <c r="U5" s="13">
        <f t="shared" si="2"/>
        <v>-11234.25257</v>
      </c>
      <c r="V5" s="13">
        <f t="shared" si="2"/>
        <v>-12604.83139</v>
      </c>
      <c r="W5" s="13">
        <f t="shared" si="2"/>
        <v>-14025.73965</v>
      </c>
      <c r="X5" s="13">
        <f t="shared" si="2"/>
        <v>-15498.44232</v>
      </c>
      <c r="Y5" s="13">
        <f t="shared" si="2"/>
        <v>-17024.44279</v>
      </c>
      <c r="Z5" s="13">
        <f t="shared" si="2"/>
        <v>-18605.28391</v>
      </c>
      <c r="AA5" s="13">
        <f t="shared" si="2"/>
        <v>-20242.54889</v>
      </c>
      <c r="AB5" s="13">
        <f t="shared" si="2"/>
        <v>-21937.86236</v>
      </c>
      <c r="AC5" s="13">
        <f t="shared" si="2"/>
        <v>-23692.89135</v>
      </c>
      <c r="AD5" s="13">
        <f t="shared" si="2"/>
        <v>-25509.34636</v>
      </c>
      <c r="AE5" s="13">
        <f t="shared" si="2"/>
        <v>-27388.9824</v>
      </c>
      <c r="AF5" s="13">
        <f t="shared" si="2"/>
        <v>-29333.60015</v>
      </c>
      <c r="AG5" s="13">
        <f t="shared" si="2"/>
        <v>-31345.04702</v>
      </c>
      <c r="AH5" s="13">
        <f t="shared" si="2"/>
        <v>-33425.21832</v>
      </c>
      <c r="AI5" s="13">
        <f t="shared" si="2"/>
        <v>-35576.05846</v>
      </c>
      <c r="AJ5" s="13">
        <f t="shared" si="2"/>
        <v>-37799.56211</v>
      </c>
      <c r="AK5" s="13">
        <f t="shared" si="2"/>
        <v>-40097.77549</v>
      </c>
      <c r="AL5" s="13">
        <f t="shared" si="2"/>
        <v>-42472.79758</v>
      </c>
      <c r="AM5" s="13">
        <f t="shared" si="2"/>
        <v>-44926.78144</v>
      </c>
      <c r="AN5" s="13">
        <f t="shared" si="2"/>
        <v>-47461.93553</v>
      </c>
      <c r="AO5" s="3"/>
      <c r="AP5" s="3"/>
      <c r="AQ5" s="3"/>
      <c r="AR5" s="3"/>
      <c r="AS5" s="3"/>
      <c r="AT5" s="3"/>
      <c r="AU5" s="3"/>
      <c r="AV5" s="3"/>
    </row>
    <row r="6" ht="15.75" customHeight="1">
      <c r="A6" s="4" t="s">
        <v>5</v>
      </c>
      <c r="B6" s="11">
        <f>B5*C6</f>
        <v>434800</v>
      </c>
      <c r="C6" s="48">
        <v>0.25</v>
      </c>
      <c r="D6" s="3"/>
      <c r="E6" s="3"/>
      <c r="F6" s="3"/>
      <c r="G6" s="3"/>
      <c r="H6" s="43"/>
      <c r="I6" s="3"/>
      <c r="J6" s="34" t="s">
        <v>39</v>
      </c>
      <c r="K6" s="35">
        <f t="shared" ref="K6:AN6" si="3">$B$25*(1+$F$25)^K$1</f>
        <v>0</v>
      </c>
      <c r="L6" s="35">
        <f t="shared" si="3"/>
        <v>0</v>
      </c>
      <c r="M6" s="35">
        <f t="shared" si="3"/>
        <v>0</v>
      </c>
      <c r="N6" s="35">
        <f t="shared" si="3"/>
        <v>0</v>
      </c>
      <c r="O6" s="35">
        <f t="shared" si="3"/>
        <v>0</v>
      </c>
      <c r="P6" s="35">
        <f t="shared" si="3"/>
        <v>0</v>
      </c>
      <c r="Q6" s="35">
        <f t="shared" si="3"/>
        <v>0</v>
      </c>
      <c r="R6" s="35">
        <f t="shared" si="3"/>
        <v>0</v>
      </c>
      <c r="S6" s="35">
        <f t="shared" si="3"/>
        <v>0</v>
      </c>
      <c r="T6" s="35">
        <f t="shared" si="3"/>
        <v>0</v>
      </c>
      <c r="U6" s="35">
        <f t="shared" si="3"/>
        <v>0</v>
      </c>
      <c r="V6" s="35">
        <f t="shared" si="3"/>
        <v>0</v>
      </c>
      <c r="W6" s="35">
        <f t="shared" si="3"/>
        <v>0</v>
      </c>
      <c r="X6" s="35">
        <f t="shared" si="3"/>
        <v>0</v>
      </c>
      <c r="Y6" s="35">
        <f t="shared" si="3"/>
        <v>0</v>
      </c>
      <c r="Z6" s="35">
        <f t="shared" si="3"/>
        <v>0</v>
      </c>
      <c r="AA6" s="35">
        <f t="shared" si="3"/>
        <v>0</v>
      </c>
      <c r="AB6" s="35">
        <f t="shared" si="3"/>
        <v>0</v>
      </c>
      <c r="AC6" s="35">
        <f t="shared" si="3"/>
        <v>0</v>
      </c>
      <c r="AD6" s="35">
        <f t="shared" si="3"/>
        <v>0</v>
      </c>
      <c r="AE6" s="35">
        <f t="shared" si="3"/>
        <v>0</v>
      </c>
      <c r="AF6" s="35">
        <f t="shared" si="3"/>
        <v>0</v>
      </c>
      <c r="AG6" s="35">
        <f t="shared" si="3"/>
        <v>0</v>
      </c>
      <c r="AH6" s="35">
        <f t="shared" si="3"/>
        <v>0</v>
      </c>
      <c r="AI6" s="35">
        <f t="shared" si="3"/>
        <v>0</v>
      </c>
      <c r="AJ6" s="35">
        <f t="shared" si="3"/>
        <v>0</v>
      </c>
      <c r="AK6" s="35">
        <f t="shared" si="3"/>
        <v>0</v>
      </c>
      <c r="AL6" s="35">
        <f t="shared" si="3"/>
        <v>0</v>
      </c>
      <c r="AM6" s="35">
        <f t="shared" si="3"/>
        <v>0</v>
      </c>
      <c r="AN6" s="35">
        <f t="shared" si="3"/>
        <v>0</v>
      </c>
      <c r="AO6" s="3"/>
      <c r="AP6" s="3"/>
      <c r="AQ6" s="3"/>
      <c r="AR6" s="3"/>
      <c r="AS6" s="3"/>
      <c r="AT6" s="3"/>
      <c r="AU6" s="3"/>
      <c r="AV6" s="3"/>
    </row>
    <row r="7" ht="15.75" customHeight="1">
      <c r="A7" s="4" t="s">
        <v>7</v>
      </c>
      <c r="B7" s="13">
        <f>MAX(2500,C7*B5)</f>
        <v>34784</v>
      </c>
      <c r="C7" s="49">
        <v>0.02</v>
      </c>
      <c r="D7" s="3"/>
      <c r="E7" s="3"/>
      <c r="F7" s="3"/>
      <c r="G7" s="3"/>
      <c r="H7" s="43"/>
      <c r="I7" s="3"/>
      <c r="J7" s="4" t="s">
        <v>105</v>
      </c>
      <c r="K7" s="13">
        <f t="shared" ref="K7:AN7" si="4">SUM(K4:K6)</f>
        <v>52992</v>
      </c>
      <c r="L7" s="13">
        <f t="shared" si="4"/>
        <v>54051.84</v>
      </c>
      <c r="M7" s="13">
        <f t="shared" si="4"/>
        <v>55132.8768</v>
      </c>
      <c r="N7" s="13">
        <f t="shared" si="4"/>
        <v>56235.53434</v>
      </c>
      <c r="O7" s="13">
        <f t="shared" si="4"/>
        <v>57360.24502</v>
      </c>
      <c r="P7" s="13">
        <f t="shared" si="4"/>
        <v>58507.44992</v>
      </c>
      <c r="Q7" s="13">
        <f t="shared" si="4"/>
        <v>58639.72764</v>
      </c>
      <c r="R7" s="13">
        <f t="shared" si="4"/>
        <v>58753.89348</v>
      </c>
      <c r="S7" s="13">
        <f t="shared" si="4"/>
        <v>58849.17006</v>
      </c>
      <c r="T7" s="13">
        <f t="shared" si="4"/>
        <v>58924.75615</v>
      </c>
      <c r="U7" s="13">
        <f t="shared" si="4"/>
        <v>58979.82602</v>
      </c>
      <c r="V7" s="13">
        <f t="shared" si="4"/>
        <v>59013.52877</v>
      </c>
      <c r="W7" s="13">
        <f t="shared" si="4"/>
        <v>59024.98771</v>
      </c>
      <c r="X7" s="13">
        <f t="shared" si="4"/>
        <v>59013.2996</v>
      </c>
      <c r="Y7" s="13">
        <f t="shared" si="4"/>
        <v>58977.53396</v>
      </c>
      <c r="Z7" s="13">
        <f t="shared" si="4"/>
        <v>58916.73238</v>
      </c>
      <c r="AA7" s="13">
        <f t="shared" si="4"/>
        <v>58829.90772</v>
      </c>
      <c r="AB7" s="13">
        <f t="shared" si="4"/>
        <v>58716.04338</v>
      </c>
      <c r="AC7" s="13">
        <f t="shared" si="4"/>
        <v>58574.09251</v>
      </c>
      <c r="AD7" s="13">
        <f t="shared" si="4"/>
        <v>58402.97718</v>
      </c>
      <c r="AE7" s="13">
        <f t="shared" si="4"/>
        <v>58201.58761</v>
      </c>
      <c r="AF7" s="13">
        <f t="shared" si="4"/>
        <v>57968.78126</v>
      </c>
      <c r="AG7" s="13">
        <f t="shared" si="4"/>
        <v>57703.38202</v>
      </c>
      <c r="AH7" s="13">
        <f t="shared" si="4"/>
        <v>57404.17929</v>
      </c>
      <c r="AI7" s="13">
        <f t="shared" si="4"/>
        <v>57069.92711</v>
      </c>
      <c r="AJ7" s="13">
        <f t="shared" si="4"/>
        <v>56699.34317</v>
      </c>
      <c r="AK7" s="13">
        <f t="shared" si="4"/>
        <v>56291.1079</v>
      </c>
      <c r="AL7" s="13">
        <f t="shared" si="4"/>
        <v>55843.86348</v>
      </c>
      <c r="AM7" s="13">
        <f t="shared" si="4"/>
        <v>55356.21284</v>
      </c>
      <c r="AN7" s="13">
        <f t="shared" si="4"/>
        <v>54826.71863</v>
      </c>
      <c r="AO7" s="3"/>
      <c r="AP7" s="3"/>
      <c r="AQ7" s="3"/>
      <c r="AR7" s="3"/>
      <c r="AS7" s="3"/>
      <c r="AT7" s="3"/>
      <c r="AU7" s="3"/>
      <c r="AV7" s="3"/>
    </row>
    <row r="8" ht="15.75" customHeight="1">
      <c r="A8" s="4"/>
      <c r="B8" s="23"/>
      <c r="C8" s="3"/>
      <c r="D8" s="3"/>
      <c r="E8" s="3"/>
      <c r="F8" s="3"/>
      <c r="G8" s="3"/>
      <c r="H8" s="4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ht="15.75" customHeight="1">
      <c r="A9" s="14" t="s">
        <v>106</v>
      </c>
      <c r="B9" s="50">
        <v>0.0</v>
      </c>
      <c r="C9" s="16"/>
      <c r="D9" s="3"/>
      <c r="E9" s="3"/>
      <c r="F9" s="3"/>
      <c r="G9" s="3"/>
      <c r="H9" s="43"/>
      <c r="I9" s="3"/>
      <c r="J9" s="4" t="s">
        <v>107</v>
      </c>
      <c r="K9" s="51">
        <f t="shared" ref="K9:AN9" si="5">$B$18</f>
        <v>0</v>
      </c>
      <c r="L9" s="51">
        <f t="shared" si="5"/>
        <v>0</v>
      </c>
      <c r="M9" s="51">
        <f t="shared" si="5"/>
        <v>0</v>
      </c>
      <c r="N9" s="51">
        <f t="shared" si="5"/>
        <v>0</v>
      </c>
      <c r="O9" s="51">
        <f t="shared" si="5"/>
        <v>0</v>
      </c>
      <c r="P9" s="51">
        <f t="shared" si="5"/>
        <v>0</v>
      </c>
      <c r="Q9" s="51">
        <f t="shared" si="5"/>
        <v>0</v>
      </c>
      <c r="R9" s="51">
        <f t="shared" si="5"/>
        <v>0</v>
      </c>
      <c r="S9" s="51">
        <f t="shared" si="5"/>
        <v>0</v>
      </c>
      <c r="T9" s="51">
        <f t="shared" si="5"/>
        <v>0</v>
      </c>
      <c r="U9" s="51">
        <f t="shared" si="5"/>
        <v>0</v>
      </c>
      <c r="V9" s="51">
        <f t="shared" si="5"/>
        <v>0</v>
      </c>
      <c r="W9" s="51">
        <f t="shared" si="5"/>
        <v>0</v>
      </c>
      <c r="X9" s="51">
        <f t="shared" si="5"/>
        <v>0</v>
      </c>
      <c r="Y9" s="51">
        <f t="shared" si="5"/>
        <v>0</v>
      </c>
      <c r="Z9" s="51">
        <f t="shared" si="5"/>
        <v>0</v>
      </c>
      <c r="AA9" s="51">
        <f t="shared" si="5"/>
        <v>0</v>
      </c>
      <c r="AB9" s="51">
        <f t="shared" si="5"/>
        <v>0</v>
      </c>
      <c r="AC9" s="51">
        <f t="shared" si="5"/>
        <v>0</v>
      </c>
      <c r="AD9" s="51">
        <f t="shared" si="5"/>
        <v>0</v>
      </c>
      <c r="AE9" s="51">
        <f t="shared" si="5"/>
        <v>0</v>
      </c>
      <c r="AF9" s="51">
        <f t="shared" si="5"/>
        <v>0</v>
      </c>
      <c r="AG9" s="51">
        <f t="shared" si="5"/>
        <v>0</v>
      </c>
      <c r="AH9" s="51">
        <f t="shared" si="5"/>
        <v>0</v>
      </c>
      <c r="AI9" s="51">
        <f t="shared" si="5"/>
        <v>0</v>
      </c>
      <c r="AJ9" s="51">
        <f t="shared" si="5"/>
        <v>0</v>
      </c>
      <c r="AK9" s="51">
        <f t="shared" si="5"/>
        <v>0</v>
      </c>
      <c r="AL9" s="51">
        <f t="shared" si="5"/>
        <v>0</v>
      </c>
      <c r="AM9" s="51">
        <f t="shared" si="5"/>
        <v>0</v>
      </c>
      <c r="AN9" s="51">
        <f t="shared" si="5"/>
        <v>0</v>
      </c>
      <c r="AO9" s="3"/>
      <c r="AP9" s="3"/>
      <c r="AQ9" s="3"/>
      <c r="AR9" s="3"/>
      <c r="AS9" s="3"/>
      <c r="AT9" s="3"/>
      <c r="AU9" s="3"/>
      <c r="AV9" s="3"/>
    </row>
    <row r="10" ht="15.75" customHeight="1">
      <c r="A10" s="4" t="s">
        <v>12</v>
      </c>
      <c r="B10" s="13">
        <f>SUM(B6:B9)</f>
        <v>469584</v>
      </c>
      <c r="C10" s="6"/>
      <c r="D10" s="3"/>
      <c r="E10" s="3"/>
      <c r="F10" s="3"/>
      <c r="G10" s="3"/>
      <c r="H10" s="43"/>
      <c r="I10" s="3"/>
      <c r="J10" s="4" t="s">
        <v>26</v>
      </c>
      <c r="K10" s="13">
        <f t="shared" ref="K10:AN10" si="6">$B$19*(1+$F$19)^K$1</f>
        <v>-1800</v>
      </c>
      <c r="L10" s="13">
        <f t="shared" si="6"/>
        <v>-1800</v>
      </c>
      <c r="M10" s="13">
        <f t="shared" si="6"/>
        <v>-1800</v>
      </c>
      <c r="N10" s="13">
        <f t="shared" si="6"/>
        <v>-1800</v>
      </c>
      <c r="O10" s="13">
        <f t="shared" si="6"/>
        <v>-1800</v>
      </c>
      <c r="P10" s="13">
        <f t="shared" si="6"/>
        <v>-1800</v>
      </c>
      <c r="Q10" s="13">
        <f t="shared" si="6"/>
        <v>-1800</v>
      </c>
      <c r="R10" s="13">
        <f t="shared" si="6"/>
        <v>-1800</v>
      </c>
      <c r="S10" s="13">
        <f t="shared" si="6"/>
        <v>-1800</v>
      </c>
      <c r="T10" s="13">
        <f t="shared" si="6"/>
        <v>-1800</v>
      </c>
      <c r="U10" s="13">
        <f t="shared" si="6"/>
        <v>-1800</v>
      </c>
      <c r="V10" s="13">
        <f t="shared" si="6"/>
        <v>-1800</v>
      </c>
      <c r="W10" s="13">
        <f t="shared" si="6"/>
        <v>-1800</v>
      </c>
      <c r="X10" s="13">
        <f t="shared" si="6"/>
        <v>-1800</v>
      </c>
      <c r="Y10" s="13">
        <f t="shared" si="6"/>
        <v>-1800</v>
      </c>
      <c r="Z10" s="13">
        <f t="shared" si="6"/>
        <v>-1800</v>
      </c>
      <c r="AA10" s="13">
        <f t="shared" si="6"/>
        <v>-1800</v>
      </c>
      <c r="AB10" s="13">
        <f t="shared" si="6"/>
        <v>-1800</v>
      </c>
      <c r="AC10" s="13">
        <f t="shared" si="6"/>
        <v>-1800</v>
      </c>
      <c r="AD10" s="13">
        <f t="shared" si="6"/>
        <v>-1800</v>
      </c>
      <c r="AE10" s="13">
        <f t="shared" si="6"/>
        <v>-1800</v>
      </c>
      <c r="AF10" s="13">
        <f t="shared" si="6"/>
        <v>-1800</v>
      </c>
      <c r="AG10" s="13">
        <f t="shared" si="6"/>
        <v>-1800</v>
      </c>
      <c r="AH10" s="13">
        <f t="shared" si="6"/>
        <v>-1800</v>
      </c>
      <c r="AI10" s="13">
        <f t="shared" si="6"/>
        <v>-1800</v>
      </c>
      <c r="AJ10" s="13">
        <f t="shared" si="6"/>
        <v>-1800</v>
      </c>
      <c r="AK10" s="13">
        <f t="shared" si="6"/>
        <v>-1800</v>
      </c>
      <c r="AL10" s="13">
        <f t="shared" si="6"/>
        <v>-1800</v>
      </c>
      <c r="AM10" s="13">
        <f t="shared" si="6"/>
        <v>-1800</v>
      </c>
      <c r="AN10" s="13">
        <f t="shared" si="6"/>
        <v>-1800</v>
      </c>
      <c r="AO10" s="3"/>
      <c r="AP10" s="3"/>
      <c r="AQ10" s="3"/>
      <c r="AR10" s="3"/>
      <c r="AS10" s="3"/>
      <c r="AT10" s="3"/>
      <c r="AU10" s="3"/>
      <c r="AV10" s="3"/>
    </row>
    <row r="11" ht="15.75" customHeight="1">
      <c r="A11" s="4" t="s">
        <v>14</v>
      </c>
      <c r="B11" s="13">
        <f>B5-B6+B7+B9</f>
        <v>1339184</v>
      </c>
      <c r="C11" s="6"/>
      <c r="D11" s="3"/>
      <c r="E11" s="3"/>
      <c r="F11" s="3"/>
      <c r="G11" s="3"/>
      <c r="H11" s="43"/>
      <c r="I11" s="3"/>
      <c r="J11" s="4" t="s">
        <v>35</v>
      </c>
      <c r="K11" s="13">
        <f t="shared" ref="K11:AN11" si="7">$B$23*(1+$F$23)^K$1</f>
        <v>-5220</v>
      </c>
      <c r="L11" s="13">
        <f t="shared" si="7"/>
        <v>-5220</v>
      </c>
      <c r="M11" s="13">
        <f t="shared" si="7"/>
        <v>-5220</v>
      </c>
      <c r="N11" s="13">
        <f t="shared" si="7"/>
        <v>-5220</v>
      </c>
      <c r="O11" s="13">
        <f t="shared" si="7"/>
        <v>-5220</v>
      </c>
      <c r="P11" s="13">
        <f t="shared" si="7"/>
        <v>-5220</v>
      </c>
      <c r="Q11" s="13">
        <f t="shared" si="7"/>
        <v>-5220</v>
      </c>
      <c r="R11" s="13">
        <f t="shared" si="7"/>
        <v>-5220</v>
      </c>
      <c r="S11" s="13">
        <f t="shared" si="7"/>
        <v>-5220</v>
      </c>
      <c r="T11" s="13">
        <f t="shared" si="7"/>
        <v>-5220</v>
      </c>
      <c r="U11" s="13">
        <f t="shared" si="7"/>
        <v>-5220</v>
      </c>
      <c r="V11" s="13">
        <f t="shared" si="7"/>
        <v>-5220</v>
      </c>
      <c r="W11" s="13">
        <f t="shared" si="7"/>
        <v>-5220</v>
      </c>
      <c r="X11" s="13">
        <f t="shared" si="7"/>
        <v>-5220</v>
      </c>
      <c r="Y11" s="13">
        <f t="shared" si="7"/>
        <v>-5220</v>
      </c>
      <c r="Z11" s="13">
        <f t="shared" si="7"/>
        <v>-5220</v>
      </c>
      <c r="AA11" s="13">
        <f t="shared" si="7"/>
        <v>-5220</v>
      </c>
      <c r="AB11" s="13">
        <f t="shared" si="7"/>
        <v>-5220</v>
      </c>
      <c r="AC11" s="13">
        <f t="shared" si="7"/>
        <v>-5220</v>
      </c>
      <c r="AD11" s="13">
        <f t="shared" si="7"/>
        <v>-5220</v>
      </c>
      <c r="AE11" s="13">
        <f t="shared" si="7"/>
        <v>-5220</v>
      </c>
      <c r="AF11" s="13">
        <f t="shared" si="7"/>
        <v>-5220</v>
      </c>
      <c r="AG11" s="13">
        <f t="shared" si="7"/>
        <v>-5220</v>
      </c>
      <c r="AH11" s="13">
        <f t="shared" si="7"/>
        <v>-5220</v>
      </c>
      <c r="AI11" s="13">
        <f t="shared" si="7"/>
        <v>-5220</v>
      </c>
      <c r="AJ11" s="13">
        <f t="shared" si="7"/>
        <v>-5220</v>
      </c>
      <c r="AK11" s="13">
        <f t="shared" si="7"/>
        <v>-5220</v>
      </c>
      <c r="AL11" s="13">
        <f t="shared" si="7"/>
        <v>-5220</v>
      </c>
      <c r="AM11" s="13">
        <f t="shared" si="7"/>
        <v>-5220</v>
      </c>
      <c r="AN11" s="13">
        <f t="shared" si="7"/>
        <v>-5220</v>
      </c>
      <c r="AO11" s="3"/>
      <c r="AP11" s="3"/>
      <c r="AQ11" s="3"/>
      <c r="AR11" s="3"/>
      <c r="AS11" s="3"/>
      <c r="AT11" s="3"/>
      <c r="AU11" s="3"/>
      <c r="AV11" s="3"/>
    </row>
    <row r="12" ht="15.75" customHeight="1">
      <c r="A12" s="3"/>
      <c r="B12" s="3"/>
      <c r="C12" s="3"/>
      <c r="D12" s="3"/>
      <c r="E12" s="3"/>
      <c r="F12" s="3"/>
      <c r="G12" s="3"/>
      <c r="H12" s="43"/>
      <c r="I12" s="3"/>
      <c r="J12" s="4" t="s">
        <v>28</v>
      </c>
      <c r="K12" s="13">
        <f t="shared" ref="K12:AN12" si="8">$B$20*(1+$F$20)^K$1</f>
        <v>0</v>
      </c>
      <c r="L12" s="13">
        <f t="shared" si="8"/>
        <v>0</v>
      </c>
      <c r="M12" s="13">
        <f t="shared" si="8"/>
        <v>0</v>
      </c>
      <c r="N12" s="13">
        <f t="shared" si="8"/>
        <v>0</v>
      </c>
      <c r="O12" s="13">
        <f t="shared" si="8"/>
        <v>0</v>
      </c>
      <c r="P12" s="13">
        <f t="shared" si="8"/>
        <v>0</v>
      </c>
      <c r="Q12" s="13">
        <f t="shared" si="8"/>
        <v>0</v>
      </c>
      <c r="R12" s="13">
        <f t="shared" si="8"/>
        <v>0</v>
      </c>
      <c r="S12" s="13">
        <f t="shared" si="8"/>
        <v>0</v>
      </c>
      <c r="T12" s="13">
        <f t="shared" si="8"/>
        <v>0</v>
      </c>
      <c r="U12" s="13">
        <f t="shared" si="8"/>
        <v>0</v>
      </c>
      <c r="V12" s="13">
        <f t="shared" si="8"/>
        <v>0</v>
      </c>
      <c r="W12" s="13">
        <f t="shared" si="8"/>
        <v>0</v>
      </c>
      <c r="X12" s="13">
        <f t="shared" si="8"/>
        <v>0</v>
      </c>
      <c r="Y12" s="13">
        <f t="shared" si="8"/>
        <v>0</v>
      </c>
      <c r="Z12" s="13">
        <f t="shared" si="8"/>
        <v>0</v>
      </c>
      <c r="AA12" s="13">
        <f t="shared" si="8"/>
        <v>0</v>
      </c>
      <c r="AB12" s="13">
        <f t="shared" si="8"/>
        <v>0</v>
      </c>
      <c r="AC12" s="13">
        <f t="shared" si="8"/>
        <v>0</v>
      </c>
      <c r="AD12" s="13">
        <f t="shared" si="8"/>
        <v>0</v>
      </c>
      <c r="AE12" s="13">
        <f t="shared" si="8"/>
        <v>0</v>
      </c>
      <c r="AF12" s="13">
        <f t="shared" si="8"/>
        <v>0</v>
      </c>
      <c r="AG12" s="13">
        <f t="shared" si="8"/>
        <v>0</v>
      </c>
      <c r="AH12" s="13">
        <f t="shared" si="8"/>
        <v>0</v>
      </c>
      <c r="AI12" s="13">
        <f t="shared" si="8"/>
        <v>0</v>
      </c>
      <c r="AJ12" s="13">
        <f t="shared" si="8"/>
        <v>0</v>
      </c>
      <c r="AK12" s="13">
        <f t="shared" si="8"/>
        <v>0</v>
      </c>
      <c r="AL12" s="13">
        <f t="shared" si="8"/>
        <v>0</v>
      </c>
      <c r="AM12" s="13">
        <f t="shared" si="8"/>
        <v>0</v>
      </c>
      <c r="AN12" s="13">
        <f t="shared" si="8"/>
        <v>0</v>
      </c>
      <c r="AO12" s="3"/>
      <c r="AP12" s="3"/>
      <c r="AQ12" s="3"/>
      <c r="AR12" s="3"/>
      <c r="AS12" s="3"/>
      <c r="AT12" s="3"/>
      <c r="AU12" s="3"/>
      <c r="AV12" s="3"/>
    </row>
    <row r="13" ht="15.75" customHeight="1">
      <c r="A13" s="18" t="s">
        <v>16</v>
      </c>
      <c r="B13" s="2"/>
      <c r="C13" s="2"/>
      <c r="D13" s="2"/>
      <c r="E13" s="2"/>
      <c r="F13" s="19" t="s">
        <v>17</v>
      </c>
      <c r="G13" s="3"/>
      <c r="H13" s="43"/>
      <c r="I13" s="3"/>
      <c r="J13" s="4" t="s">
        <v>31</v>
      </c>
      <c r="K13" s="13">
        <f t="shared" ref="K13:AN13" si="9">$B$21*(1+$F$21)^K$1</f>
        <v>-4500</v>
      </c>
      <c r="L13" s="13">
        <f t="shared" si="9"/>
        <v>-4500</v>
      </c>
      <c r="M13" s="13">
        <f t="shared" si="9"/>
        <v>-4500</v>
      </c>
      <c r="N13" s="13">
        <f t="shared" si="9"/>
        <v>-4500</v>
      </c>
      <c r="O13" s="13">
        <f t="shared" si="9"/>
        <v>-4500</v>
      </c>
      <c r="P13" s="13">
        <f t="shared" si="9"/>
        <v>-4500</v>
      </c>
      <c r="Q13" s="13">
        <f t="shared" si="9"/>
        <v>-4500</v>
      </c>
      <c r="R13" s="13">
        <f t="shared" si="9"/>
        <v>-4500</v>
      </c>
      <c r="S13" s="13">
        <f t="shared" si="9"/>
        <v>-4500</v>
      </c>
      <c r="T13" s="13">
        <f t="shared" si="9"/>
        <v>-4500</v>
      </c>
      <c r="U13" s="13">
        <f t="shared" si="9"/>
        <v>-4500</v>
      </c>
      <c r="V13" s="13">
        <f t="shared" si="9"/>
        <v>-4500</v>
      </c>
      <c r="W13" s="13">
        <f t="shared" si="9"/>
        <v>-4500</v>
      </c>
      <c r="X13" s="13">
        <f t="shared" si="9"/>
        <v>-4500</v>
      </c>
      <c r="Y13" s="13">
        <f t="shared" si="9"/>
        <v>-4500</v>
      </c>
      <c r="Z13" s="13">
        <f t="shared" si="9"/>
        <v>-4500</v>
      </c>
      <c r="AA13" s="13">
        <f t="shared" si="9"/>
        <v>-4500</v>
      </c>
      <c r="AB13" s="13">
        <f t="shared" si="9"/>
        <v>-4500</v>
      </c>
      <c r="AC13" s="13">
        <f t="shared" si="9"/>
        <v>-4500</v>
      </c>
      <c r="AD13" s="13">
        <f t="shared" si="9"/>
        <v>-4500</v>
      </c>
      <c r="AE13" s="13">
        <f t="shared" si="9"/>
        <v>-4500</v>
      </c>
      <c r="AF13" s="13">
        <f t="shared" si="9"/>
        <v>-4500</v>
      </c>
      <c r="AG13" s="13">
        <f t="shared" si="9"/>
        <v>-4500</v>
      </c>
      <c r="AH13" s="13">
        <f t="shared" si="9"/>
        <v>-4500</v>
      </c>
      <c r="AI13" s="13">
        <f t="shared" si="9"/>
        <v>-4500</v>
      </c>
      <c r="AJ13" s="13">
        <f t="shared" si="9"/>
        <v>-4500</v>
      </c>
      <c r="AK13" s="13">
        <f t="shared" si="9"/>
        <v>-4500</v>
      </c>
      <c r="AL13" s="13">
        <f t="shared" si="9"/>
        <v>-4500</v>
      </c>
      <c r="AM13" s="13">
        <f t="shared" si="9"/>
        <v>-4500</v>
      </c>
      <c r="AN13" s="13">
        <f t="shared" si="9"/>
        <v>-4500</v>
      </c>
      <c r="AO13" s="3"/>
      <c r="AP13" s="3"/>
      <c r="AQ13" s="3"/>
      <c r="AR13" s="3"/>
      <c r="AS13" s="3"/>
      <c r="AT13" s="3"/>
      <c r="AU13" s="3"/>
      <c r="AV13" s="3"/>
    </row>
    <row r="14" ht="15.75" customHeight="1">
      <c r="A14" s="21"/>
      <c r="B14" s="21" t="s">
        <v>18</v>
      </c>
      <c r="C14" s="21" t="s">
        <v>19</v>
      </c>
      <c r="D14" s="21" t="s">
        <v>20</v>
      </c>
      <c r="E14" s="21" t="s">
        <v>21</v>
      </c>
      <c r="F14" s="21"/>
      <c r="G14" s="3"/>
      <c r="H14" s="43"/>
      <c r="I14" s="3"/>
      <c r="J14" s="4" t="s">
        <v>33</v>
      </c>
      <c r="K14" s="13">
        <f t="shared" ref="K14:AN14" si="10">$B$22*(1+$F$22)^K$1</f>
        <v>0</v>
      </c>
      <c r="L14" s="13">
        <f t="shared" si="10"/>
        <v>0</v>
      </c>
      <c r="M14" s="13">
        <f t="shared" si="10"/>
        <v>0</v>
      </c>
      <c r="N14" s="13">
        <f t="shared" si="10"/>
        <v>0</v>
      </c>
      <c r="O14" s="13">
        <f t="shared" si="10"/>
        <v>0</v>
      </c>
      <c r="P14" s="13">
        <f t="shared" si="10"/>
        <v>0</v>
      </c>
      <c r="Q14" s="13">
        <f t="shared" si="10"/>
        <v>0</v>
      </c>
      <c r="R14" s="13">
        <f t="shared" si="10"/>
        <v>0</v>
      </c>
      <c r="S14" s="13">
        <f t="shared" si="10"/>
        <v>0</v>
      </c>
      <c r="T14" s="13">
        <f t="shared" si="10"/>
        <v>0</v>
      </c>
      <c r="U14" s="13">
        <f t="shared" si="10"/>
        <v>0</v>
      </c>
      <c r="V14" s="13">
        <f t="shared" si="10"/>
        <v>0</v>
      </c>
      <c r="W14" s="13">
        <f t="shared" si="10"/>
        <v>0</v>
      </c>
      <c r="X14" s="13">
        <f t="shared" si="10"/>
        <v>0</v>
      </c>
      <c r="Y14" s="13">
        <f t="shared" si="10"/>
        <v>0</v>
      </c>
      <c r="Z14" s="13">
        <f t="shared" si="10"/>
        <v>0</v>
      </c>
      <c r="AA14" s="13">
        <f t="shared" si="10"/>
        <v>0</v>
      </c>
      <c r="AB14" s="13">
        <f t="shared" si="10"/>
        <v>0</v>
      </c>
      <c r="AC14" s="13">
        <f t="shared" si="10"/>
        <v>0</v>
      </c>
      <c r="AD14" s="13">
        <f t="shared" si="10"/>
        <v>0</v>
      </c>
      <c r="AE14" s="13">
        <f t="shared" si="10"/>
        <v>0</v>
      </c>
      <c r="AF14" s="13">
        <f t="shared" si="10"/>
        <v>0</v>
      </c>
      <c r="AG14" s="13">
        <f t="shared" si="10"/>
        <v>0</v>
      </c>
      <c r="AH14" s="13">
        <f t="shared" si="10"/>
        <v>0</v>
      </c>
      <c r="AI14" s="13">
        <f t="shared" si="10"/>
        <v>0</v>
      </c>
      <c r="AJ14" s="13">
        <f t="shared" si="10"/>
        <v>0</v>
      </c>
      <c r="AK14" s="13">
        <f t="shared" si="10"/>
        <v>0</v>
      </c>
      <c r="AL14" s="13">
        <f t="shared" si="10"/>
        <v>0</v>
      </c>
      <c r="AM14" s="13">
        <f t="shared" si="10"/>
        <v>0</v>
      </c>
      <c r="AN14" s="13">
        <f t="shared" si="10"/>
        <v>0</v>
      </c>
      <c r="AO14" s="3"/>
      <c r="AP14" s="3"/>
      <c r="AQ14" s="3"/>
      <c r="AR14" s="3"/>
      <c r="AS14" s="3"/>
      <c r="AT14" s="3"/>
      <c r="AU14" s="3"/>
      <c r="AV14" s="3"/>
    </row>
    <row r="15" ht="15.75" customHeight="1">
      <c r="A15" s="4" t="s">
        <v>23</v>
      </c>
      <c r="B15" s="13">
        <f>C15*12</f>
        <v>57600</v>
      </c>
      <c r="C15" s="13">
        <f>PRODUCT(D15:E15)</f>
        <v>4800</v>
      </c>
      <c r="D15" s="52">
        <v>600.0</v>
      </c>
      <c r="E15" s="49">
        <v>8.0</v>
      </c>
      <c r="F15" s="48">
        <v>0.02</v>
      </c>
      <c r="G15" s="3"/>
      <c r="H15" s="43"/>
      <c r="I15" s="3"/>
      <c r="J15" s="34" t="s">
        <v>108</v>
      </c>
      <c r="K15" s="35">
        <f t="shared" ref="K15:AN15" si="11">SUM(K9:K14)</f>
        <v>-11520</v>
      </c>
      <c r="L15" s="35">
        <f t="shared" si="11"/>
        <v>-11520</v>
      </c>
      <c r="M15" s="35">
        <f t="shared" si="11"/>
        <v>-11520</v>
      </c>
      <c r="N15" s="35">
        <f t="shared" si="11"/>
        <v>-11520</v>
      </c>
      <c r="O15" s="35">
        <f t="shared" si="11"/>
        <v>-11520</v>
      </c>
      <c r="P15" s="35">
        <f t="shared" si="11"/>
        <v>-11520</v>
      </c>
      <c r="Q15" s="35">
        <f t="shared" si="11"/>
        <v>-11520</v>
      </c>
      <c r="R15" s="35">
        <f t="shared" si="11"/>
        <v>-11520</v>
      </c>
      <c r="S15" s="35">
        <f t="shared" si="11"/>
        <v>-11520</v>
      </c>
      <c r="T15" s="35">
        <f t="shared" si="11"/>
        <v>-11520</v>
      </c>
      <c r="U15" s="35">
        <f t="shared" si="11"/>
        <v>-11520</v>
      </c>
      <c r="V15" s="35">
        <f t="shared" si="11"/>
        <v>-11520</v>
      </c>
      <c r="W15" s="35">
        <f t="shared" si="11"/>
        <v>-11520</v>
      </c>
      <c r="X15" s="35">
        <f t="shared" si="11"/>
        <v>-11520</v>
      </c>
      <c r="Y15" s="35">
        <f t="shared" si="11"/>
        <v>-11520</v>
      </c>
      <c r="Z15" s="35">
        <f t="shared" si="11"/>
        <v>-11520</v>
      </c>
      <c r="AA15" s="35">
        <f t="shared" si="11"/>
        <v>-11520</v>
      </c>
      <c r="AB15" s="35">
        <f t="shared" si="11"/>
        <v>-11520</v>
      </c>
      <c r="AC15" s="35">
        <f t="shared" si="11"/>
        <v>-11520</v>
      </c>
      <c r="AD15" s="35">
        <f t="shared" si="11"/>
        <v>-11520</v>
      </c>
      <c r="AE15" s="35">
        <f t="shared" si="11"/>
        <v>-11520</v>
      </c>
      <c r="AF15" s="35">
        <f t="shared" si="11"/>
        <v>-11520</v>
      </c>
      <c r="AG15" s="35">
        <f t="shared" si="11"/>
        <v>-11520</v>
      </c>
      <c r="AH15" s="35">
        <f t="shared" si="11"/>
        <v>-11520</v>
      </c>
      <c r="AI15" s="35">
        <f t="shared" si="11"/>
        <v>-11520</v>
      </c>
      <c r="AJ15" s="35">
        <f t="shared" si="11"/>
        <v>-11520</v>
      </c>
      <c r="AK15" s="35">
        <f t="shared" si="11"/>
        <v>-11520</v>
      </c>
      <c r="AL15" s="35">
        <f t="shared" si="11"/>
        <v>-11520</v>
      </c>
      <c r="AM15" s="35">
        <f t="shared" si="11"/>
        <v>-11520</v>
      </c>
      <c r="AN15" s="35">
        <f t="shared" si="11"/>
        <v>-11520</v>
      </c>
      <c r="AO15" s="3"/>
      <c r="AP15" s="3"/>
      <c r="AQ15" s="3"/>
      <c r="AR15" s="3"/>
      <c r="AS15" s="3"/>
      <c r="AT15" s="3"/>
      <c r="AU15" s="3"/>
      <c r="AV15" s="3"/>
    </row>
    <row r="16" ht="15.75" customHeight="1">
      <c r="A16" s="3"/>
      <c r="B16" s="3"/>
      <c r="C16" s="3"/>
      <c r="D16" s="3"/>
      <c r="E16" s="3"/>
      <c r="F16" s="3"/>
      <c r="G16" s="3"/>
      <c r="H16" s="43"/>
      <c r="I16" s="3"/>
      <c r="J16" s="4" t="s">
        <v>43</v>
      </c>
      <c r="K16" s="13">
        <f t="shared" ref="K16:AN16" si="12">K15+K7</f>
        <v>41472</v>
      </c>
      <c r="L16" s="13">
        <f t="shared" si="12"/>
        <v>42531.84</v>
      </c>
      <c r="M16" s="13">
        <f t="shared" si="12"/>
        <v>43612.8768</v>
      </c>
      <c r="N16" s="13">
        <f t="shared" si="12"/>
        <v>44715.53434</v>
      </c>
      <c r="O16" s="13">
        <f t="shared" si="12"/>
        <v>45840.24502</v>
      </c>
      <c r="P16" s="13">
        <f t="shared" si="12"/>
        <v>46987.44992</v>
      </c>
      <c r="Q16" s="13">
        <f t="shared" si="12"/>
        <v>47119.72764</v>
      </c>
      <c r="R16" s="13">
        <f t="shared" si="12"/>
        <v>47233.89348</v>
      </c>
      <c r="S16" s="13">
        <f t="shared" si="12"/>
        <v>47329.17006</v>
      </c>
      <c r="T16" s="13">
        <f t="shared" si="12"/>
        <v>47404.75615</v>
      </c>
      <c r="U16" s="13">
        <f t="shared" si="12"/>
        <v>47459.82602</v>
      </c>
      <c r="V16" s="13">
        <f t="shared" si="12"/>
        <v>47493.52877</v>
      </c>
      <c r="W16" s="13">
        <f t="shared" si="12"/>
        <v>47504.98771</v>
      </c>
      <c r="X16" s="13">
        <f t="shared" si="12"/>
        <v>47493.2996</v>
      </c>
      <c r="Y16" s="13">
        <f t="shared" si="12"/>
        <v>47457.53396</v>
      </c>
      <c r="Z16" s="13">
        <f t="shared" si="12"/>
        <v>47396.73238</v>
      </c>
      <c r="AA16" s="13">
        <f t="shared" si="12"/>
        <v>47309.90772</v>
      </c>
      <c r="AB16" s="13">
        <f t="shared" si="12"/>
        <v>47196.04338</v>
      </c>
      <c r="AC16" s="13">
        <f t="shared" si="12"/>
        <v>47054.09251</v>
      </c>
      <c r="AD16" s="13">
        <f t="shared" si="12"/>
        <v>46882.97718</v>
      </c>
      <c r="AE16" s="13">
        <f t="shared" si="12"/>
        <v>46681.58761</v>
      </c>
      <c r="AF16" s="13">
        <f t="shared" si="12"/>
        <v>46448.78126</v>
      </c>
      <c r="AG16" s="13">
        <f t="shared" si="12"/>
        <v>46183.38202</v>
      </c>
      <c r="AH16" s="13">
        <f t="shared" si="12"/>
        <v>45884.17929</v>
      </c>
      <c r="AI16" s="13">
        <f t="shared" si="12"/>
        <v>45549.92711</v>
      </c>
      <c r="AJ16" s="13">
        <f t="shared" si="12"/>
        <v>45179.34317</v>
      </c>
      <c r="AK16" s="13">
        <f t="shared" si="12"/>
        <v>44771.1079</v>
      </c>
      <c r="AL16" s="13">
        <f t="shared" si="12"/>
        <v>44323.86348</v>
      </c>
      <c r="AM16" s="13">
        <f t="shared" si="12"/>
        <v>43836.21284</v>
      </c>
      <c r="AN16" s="13">
        <f t="shared" si="12"/>
        <v>43306.71863</v>
      </c>
      <c r="AO16" s="3"/>
      <c r="AP16" s="3"/>
      <c r="AQ16" s="3"/>
      <c r="AR16" s="3"/>
      <c r="AS16" s="3"/>
      <c r="AT16" s="3"/>
      <c r="AU16" s="3"/>
      <c r="AV16" s="3"/>
    </row>
    <row r="17" ht="15.75" customHeight="1">
      <c r="A17" s="18" t="s">
        <v>25</v>
      </c>
      <c r="B17" s="2"/>
      <c r="C17" s="2"/>
      <c r="D17" s="2"/>
      <c r="E17" s="2"/>
      <c r="F17" s="19" t="s">
        <v>17</v>
      </c>
      <c r="G17" s="3"/>
      <c r="H17" s="4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ht="15.75" customHeight="1">
      <c r="A18" s="4" t="s">
        <v>107</v>
      </c>
      <c r="B18" s="30">
        <f>12*C18</f>
        <v>0</v>
      </c>
      <c r="C18" s="53">
        <v>0.0</v>
      </c>
      <c r="D18" s="54"/>
      <c r="E18" s="3"/>
      <c r="F18" s="54"/>
      <c r="G18" s="3"/>
      <c r="H18" s="43"/>
      <c r="I18" s="3"/>
      <c r="J18" s="4" t="s">
        <v>49</v>
      </c>
      <c r="K18" s="13">
        <f t="shared" ref="K18:AN18" si="13">$B$31</f>
        <v>-67752.64516</v>
      </c>
      <c r="L18" s="13">
        <f t="shared" si="13"/>
        <v>-67752.64516</v>
      </c>
      <c r="M18" s="13">
        <f t="shared" si="13"/>
        <v>-67752.64516</v>
      </c>
      <c r="N18" s="13">
        <f t="shared" si="13"/>
        <v>-67752.64516</v>
      </c>
      <c r="O18" s="13">
        <f t="shared" si="13"/>
        <v>-67752.64516</v>
      </c>
      <c r="P18" s="13">
        <f t="shared" si="13"/>
        <v>-67752.64516</v>
      </c>
      <c r="Q18" s="13">
        <f t="shared" si="13"/>
        <v>-67752.64516</v>
      </c>
      <c r="R18" s="13">
        <f t="shared" si="13"/>
        <v>-67752.64516</v>
      </c>
      <c r="S18" s="13">
        <f t="shared" si="13"/>
        <v>-67752.64516</v>
      </c>
      <c r="T18" s="13">
        <f t="shared" si="13"/>
        <v>-67752.64516</v>
      </c>
      <c r="U18" s="13">
        <f t="shared" si="13"/>
        <v>-67752.64516</v>
      </c>
      <c r="V18" s="13">
        <f t="shared" si="13"/>
        <v>-67752.64516</v>
      </c>
      <c r="W18" s="13">
        <f t="shared" si="13"/>
        <v>-67752.64516</v>
      </c>
      <c r="X18" s="13">
        <f t="shared" si="13"/>
        <v>-67752.64516</v>
      </c>
      <c r="Y18" s="13">
        <f t="shared" si="13"/>
        <v>-67752.64516</v>
      </c>
      <c r="Z18" s="13">
        <f t="shared" si="13"/>
        <v>-67752.64516</v>
      </c>
      <c r="AA18" s="13">
        <f t="shared" si="13"/>
        <v>-67752.64516</v>
      </c>
      <c r="AB18" s="13">
        <f t="shared" si="13"/>
        <v>-67752.64516</v>
      </c>
      <c r="AC18" s="13">
        <f t="shared" si="13"/>
        <v>-67752.64516</v>
      </c>
      <c r="AD18" s="13">
        <f t="shared" si="13"/>
        <v>-67752.64516</v>
      </c>
      <c r="AE18" s="13">
        <f t="shared" si="13"/>
        <v>-67752.64516</v>
      </c>
      <c r="AF18" s="13">
        <f t="shared" si="13"/>
        <v>-67752.64516</v>
      </c>
      <c r="AG18" s="13">
        <f t="shared" si="13"/>
        <v>-67752.64516</v>
      </c>
      <c r="AH18" s="13">
        <f t="shared" si="13"/>
        <v>-67752.64516</v>
      </c>
      <c r="AI18" s="13">
        <f t="shared" si="13"/>
        <v>-67752.64516</v>
      </c>
      <c r="AJ18" s="13">
        <f t="shared" si="13"/>
        <v>-67752.64516</v>
      </c>
      <c r="AK18" s="13">
        <f t="shared" si="13"/>
        <v>-67752.64516</v>
      </c>
      <c r="AL18" s="13">
        <f t="shared" si="13"/>
        <v>-67752.64516</v>
      </c>
      <c r="AM18" s="13">
        <f t="shared" si="13"/>
        <v>-67752.64516</v>
      </c>
      <c r="AN18" s="13">
        <f t="shared" si="13"/>
        <v>-67752.64516</v>
      </c>
      <c r="AO18" s="3"/>
      <c r="AP18" s="3"/>
      <c r="AQ18" s="3"/>
      <c r="AR18" s="3"/>
      <c r="AS18" s="3"/>
      <c r="AT18" s="3"/>
      <c r="AU18" s="3"/>
      <c r="AV18" s="3"/>
    </row>
    <row r="19" ht="15.75" customHeight="1">
      <c r="A19" s="29" t="s">
        <v>26</v>
      </c>
      <c r="B19" s="30">
        <f>-D19*B4</f>
        <v>-1800</v>
      </c>
      <c r="C19" s="30">
        <f t="shared" ref="C19:C25" si="15">B19/12</f>
        <v>-150</v>
      </c>
      <c r="D19" s="48">
        <v>0.001</v>
      </c>
      <c r="E19" s="3"/>
      <c r="F19" s="55">
        <f t="shared" ref="F19:F23" si="16">$D$4</f>
        <v>0</v>
      </c>
      <c r="G19" s="3"/>
      <c r="H19" s="43"/>
      <c r="I19" s="3"/>
      <c r="J19" s="56" t="s">
        <v>51</v>
      </c>
      <c r="K19" s="57">
        <f t="shared" ref="K19:AN19" si="14">-IF(K34/K31&gt;=0.2,0,$D$32*$B$11)</f>
        <v>0</v>
      </c>
      <c r="L19" s="57">
        <f t="shared" si="14"/>
        <v>0</v>
      </c>
      <c r="M19" s="57">
        <f t="shared" si="14"/>
        <v>0</v>
      </c>
      <c r="N19" s="57">
        <f t="shared" si="14"/>
        <v>0</v>
      </c>
      <c r="O19" s="57">
        <f t="shared" si="14"/>
        <v>0</v>
      </c>
      <c r="P19" s="57">
        <f t="shared" si="14"/>
        <v>0</v>
      </c>
      <c r="Q19" s="57">
        <f t="shared" si="14"/>
        <v>0</v>
      </c>
      <c r="R19" s="57">
        <f t="shared" si="14"/>
        <v>0</v>
      </c>
      <c r="S19" s="57">
        <f t="shared" si="14"/>
        <v>0</v>
      </c>
      <c r="T19" s="57">
        <f t="shared" si="14"/>
        <v>0</v>
      </c>
      <c r="U19" s="57">
        <f t="shared" si="14"/>
        <v>0</v>
      </c>
      <c r="V19" s="57">
        <f t="shared" si="14"/>
        <v>0</v>
      </c>
      <c r="W19" s="57">
        <f t="shared" si="14"/>
        <v>0</v>
      </c>
      <c r="X19" s="57">
        <f t="shared" si="14"/>
        <v>0</v>
      </c>
      <c r="Y19" s="57">
        <f t="shared" si="14"/>
        <v>0</v>
      </c>
      <c r="Z19" s="57">
        <f t="shared" si="14"/>
        <v>0</v>
      </c>
      <c r="AA19" s="57">
        <f t="shared" si="14"/>
        <v>0</v>
      </c>
      <c r="AB19" s="57">
        <f t="shared" si="14"/>
        <v>0</v>
      </c>
      <c r="AC19" s="57">
        <f t="shared" si="14"/>
        <v>0</v>
      </c>
      <c r="AD19" s="57">
        <f t="shared" si="14"/>
        <v>0</v>
      </c>
      <c r="AE19" s="57">
        <f t="shared" si="14"/>
        <v>0</v>
      </c>
      <c r="AF19" s="57">
        <f t="shared" si="14"/>
        <v>0</v>
      </c>
      <c r="AG19" s="57">
        <f t="shared" si="14"/>
        <v>0</v>
      </c>
      <c r="AH19" s="57">
        <f t="shared" si="14"/>
        <v>0</v>
      </c>
      <c r="AI19" s="57">
        <f t="shared" si="14"/>
        <v>0</v>
      </c>
      <c r="AJ19" s="57">
        <f t="shared" si="14"/>
        <v>0</v>
      </c>
      <c r="AK19" s="17">
        <f t="shared" si="14"/>
        <v>0</v>
      </c>
      <c r="AL19" s="17">
        <f t="shared" si="14"/>
        <v>0</v>
      </c>
      <c r="AM19" s="17">
        <f t="shared" si="14"/>
        <v>0</v>
      </c>
      <c r="AN19" s="17">
        <f t="shared" si="14"/>
        <v>0</v>
      </c>
      <c r="AO19" s="3"/>
      <c r="AP19" s="3"/>
      <c r="AQ19" s="3"/>
      <c r="AR19" s="3"/>
      <c r="AS19" s="3"/>
      <c r="AT19" s="3"/>
      <c r="AU19" s="3"/>
      <c r="AV19" s="3"/>
    </row>
    <row r="20" ht="15.75" customHeight="1">
      <c r="A20" s="29" t="s">
        <v>28</v>
      </c>
      <c r="B20" s="30">
        <f>-D20*E15*12</f>
        <v>0</v>
      </c>
      <c r="C20" s="31">
        <f t="shared" si="15"/>
        <v>0</v>
      </c>
      <c r="D20" s="22">
        <v>0.0</v>
      </c>
      <c r="E20" s="3" t="s">
        <v>29</v>
      </c>
      <c r="F20" s="55">
        <f t="shared" si="16"/>
        <v>0</v>
      </c>
      <c r="G20" s="3"/>
      <c r="H20" s="43"/>
      <c r="I20" s="3"/>
      <c r="J20" s="34" t="s">
        <v>109</v>
      </c>
      <c r="K20" s="35">
        <f t="shared" ref="K20:AN20" si="17">SUM(K18:K19)</f>
        <v>-67752.64516</v>
      </c>
      <c r="L20" s="35">
        <f t="shared" si="17"/>
        <v>-67752.64516</v>
      </c>
      <c r="M20" s="35">
        <f t="shared" si="17"/>
        <v>-67752.64516</v>
      </c>
      <c r="N20" s="35">
        <f t="shared" si="17"/>
        <v>-67752.64516</v>
      </c>
      <c r="O20" s="35">
        <f t="shared" si="17"/>
        <v>-67752.64516</v>
      </c>
      <c r="P20" s="35">
        <f t="shared" si="17"/>
        <v>-67752.64516</v>
      </c>
      <c r="Q20" s="35">
        <f t="shared" si="17"/>
        <v>-67752.64516</v>
      </c>
      <c r="R20" s="35">
        <f t="shared" si="17"/>
        <v>-67752.64516</v>
      </c>
      <c r="S20" s="35">
        <f t="shared" si="17"/>
        <v>-67752.64516</v>
      </c>
      <c r="T20" s="35">
        <f t="shared" si="17"/>
        <v>-67752.64516</v>
      </c>
      <c r="U20" s="35">
        <f t="shared" si="17"/>
        <v>-67752.64516</v>
      </c>
      <c r="V20" s="35">
        <f t="shared" si="17"/>
        <v>-67752.64516</v>
      </c>
      <c r="W20" s="35">
        <f t="shared" si="17"/>
        <v>-67752.64516</v>
      </c>
      <c r="X20" s="35">
        <f t="shared" si="17"/>
        <v>-67752.64516</v>
      </c>
      <c r="Y20" s="35">
        <f t="shared" si="17"/>
        <v>-67752.64516</v>
      </c>
      <c r="Z20" s="35">
        <f t="shared" si="17"/>
        <v>-67752.64516</v>
      </c>
      <c r="AA20" s="35">
        <f t="shared" si="17"/>
        <v>-67752.64516</v>
      </c>
      <c r="AB20" s="35">
        <f t="shared" si="17"/>
        <v>-67752.64516</v>
      </c>
      <c r="AC20" s="35">
        <f t="shared" si="17"/>
        <v>-67752.64516</v>
      </c>
      <c r="AD20" s="35">
        <f t="shared" si="17"/>
        <v>-67752.64516</v>
      </c>
      <c r="AE20" s="35">
        <f t="shared" si="17"/>
        <v>-67752.64516</v>
      </c>
      <c r="AF20" s="35">
        <f t="shared" si="17"/>
        <v>-67752.64516</v>
      </c>
      <c r="AG20" s="35">
        <f t="shared" si="17"/>
        <v>-67752.64516</v>
      </c>
      <c r="AH20" s="35">
        <f t="shared" si="17"/>
        <v>-67752.64516</v>
      </c>
      <c r="AI20" s="35">
        <f t="shared" si="17"/>
        <v>-67752.64516</v>
      </c>
      <c r="AJ20" s="35">
        <f t="shared" si="17"/>
        <v>-67752.64516</v>
      </c>
      <c r="AK20" s="35">
        <f t="shared" si="17"/>
        <v>-67752.64516</v>
      </c>
      <c r="AL20" s="35">
        <f t="shared" si="17"/>
        <v>-67752.64516</v>
      </c>
      <c r="AM20" s="35">
        <f t="shared" si="17"/>
        <v>-67752.64516</v>
      </c>
      <c r="AN20" s="35">
        <f t="shared" si="17"/>
        <v>-67752.64516</v>
      </c>
      <c r="AO20" s="3"/>
      <c r="AP20" s="3"/>
      <c r="AQ20" s="3"/>
      <c r="AR20" s="3"/>
      <c r="AS20" s="3"/>
      <c r="AT20" s="3"/>
      <c r="AU20" s="3"/>
      <c r="AV20" s="3"/>
    </row>
    <row r="21" ht="15.75" customHeight="1">
      <c r="A21" s="29" t="s">
        <v>31</v>
      </c>
      <c r="B21" s="30">
        <f>-D21*B4</f>
        <v>-4500</v>
      </c>
      <c r="C21" s="30">
        <f t="shared" si="15"/>
        <v>-375</v>
      </c>
      <c r="D21" s="12">
        <v>0.0025</v>
      </c>
      <c r="E21" s="3"/>
      <c r="F21" s="55">
        <f t="shared" si="16"/>
        <v>0</v>
      </c>
      <c r="G21" s="3"/>
      <c r="H21" s="43"/>
      <c r="I21" s="3"/>
      <c r="J21" s="4" t="s">
        <v>53</v>
      </c>
      <c r="K21" s="58">
        <f t="shared" ref="K21:AN21" si="18">SUM(K20,K16)</f>
        <v>-26280.64516</v>
      </c>
      <c r="L21" s="58">
        <f t="shared" si="18"/>
        <v>-25220.80516</v>
      </c>
      <c r="M21" s="58">
        <f t="shared" si="18"/>
        <v>-24139.76836</v>
      </c>
      <c r="N21" s="58">
        <f t="shared" si="18"/>
        <v>-23037.11082</v>
      </c>
      <c r="O21" s="58">
        <f t="shared" si="18"/>
        <v>-21912.40013</v>
      </c>
      <c r="P21" s="58">
        <f t="shared" si="18"/>
        <v>-20765.19523</v>
      </c>
      <c r="Q21" s="58">
        <f t="shared" si="18"/>
        <v>-20632.91752</v>
      </c>
      <c r="R21" s="58">
        <f t="shared" si="18"/>
        <v>-20518.75168</v>
      </c>
      <c r="S21" s="58">
        <f t="shared" si="18"/>
        <v>-20423.4751</v>
      </c>
      <c r="T21" s="58">
        <f t="shared" si="18"/>
        <v>-20347.88901</v>
      </c>
      <c r="U21" s="58">
        <f t="shared" si="18"/>
        <v>-20292.81914</v>
      </c>
      <c r="V21" s="58">
        <f t="shared" si="18"/>
        <v>-20259.11638</v>
      </c>
      <c r="W21" s="58">
        <f t="shared" si="18"/>
        <v>-20247.65744</v>
      </c>
      <c r="X21" s="58">
        <f t="shared" si="18"/>
        <v>-20259.34556</v>
      </c>
      <c r="Y21" s="58">
        <f t="shared" si="18"/>
        <v>-20295.1112</v>
      </c>
      <c r="Z21" s="58">
        <f t="shared" si="18"/>
        <v>-20355.91278</v>
      </c>
      <c r="AA21" s="58">
        <f t="shared" si="18"/>
        <v>-20442.73744</v>
      </c>
      <c r="AB21" s="58">
        <f t="shared" si="18"/>
        <v>-20556.60177</v>
      </c>
      <c r="AC21" s="58">
        <f t="shared" si="18"/>
        <v>-20698.55265</v>
      </c>
      <c r="AD21" s="58">
        <f t="shared" si="18"/>
        <v>-20869.66797</v>
      </c>
      <c r="AE21" s="58">
        <f t="shared" si="18"/>
        <v>-21071.05755</v>
      </c>
      <c r="AF21" s="58">
        <f t="shared" si="18"/>
        <v>-21303.8639</v>
      </c>
      <c r="AG21" s="58">
        <f t="shared" si="18"/>
        <v>-21569.26314</v>
      </c>
      <c r="AH21" s="58">
        <f t="shared" si="18"/>
        <v>-21868.46586</v>
      </c>
      <c r="AI21" s="58">
        <f t="shared" si="18"/>
        <v>-22202.71805</v>
      </c>
      <c r="AJ21" s="58">
        <f t="shared" si="18"/>
        <v>-22573.30199</v>
      </c>
      <c r="AK21" s="58">
        <f t="shared" si="18"/>
        <v>-22981.53726</v>
      </c>
      <c r="AL21" s="58">
        <f t="shared" si="18"/>
        <v>-23428.78168</v>
      </c>
      <c r="AM21" s="58">
        <f t="shared" si="18"/>
        <v>-23916.43232</v>
      </c>
      <c r="AN21" s="58">
        <f t="shared" si="18"/>
        <v>-24445.92653</v>
      </c>
      <c r="AO21" s="3"/>
      <c r="AP21" s="3"/>
      <c r="AQ21" s="3"/>
      <c r="AR21" s="3"/>
      <c r="AS21" s="3"/>
      <c r="AT21" s="3"/>
      <c r="AU21" s="3"/>
      <c r="AV21" s="3"/>
    </row>
    <row r="22" ht="15.75" customHeight="1">
      <c r="A22" s="29" t="s">
        <v>33</v>
      </c>
      <c r="B22" s="30">
        <f>-D22*B4</f>
        <v>0</v>
      </c>
      <c r="C22" s="30">
        <f t="shared" si="15"/>
        <v>0</v>
      </c>
      <c r="D22" s="12">
        <v>0.0</v>
      </c>
      <c r="E22" s="3"/>
      <c r="F22" s="55">
        <f t="shared" si="16"/>
        <v>0</v>
      </c>
      <c r="G22" s="3"/>
      <c r="H22" s="4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ht="15.75" customHeight="1">
      <c r="A23" s="4" t="s">
        <v>35</v>
      </c>
      <c r="B23" s="30">
        <f>-$D$23*B4</f>
        <v>-5220</v>
      </c>
      <c r="C23" s="30">
        <f t="shared" si="15"/>
        <v>-435</v>
      </c>
      <c r="D23" s="48">
        <v>0.0029</v>
      </c>
      <c r="E23" s="3"/>
      <c r="F23" s="55">
        <f t="shared" si="16"/>
        <v>0</v>
      </c>
      <c r="G23" s="3"/>
      <c r="H23" s="43"/>
      <c r="I23" s="3"/>
      <c r="J23" s="4" t="s">
        <v>110</v>
      </c>
      <c r="K23" s="59">
        <f t="shared" ref="K23:AN23" si="19">K21/$B$10</f>
        <v>-0.05596580198</v>
      </c>
      <c r="L23" s="59">
        <f t="shared" si="19"/>
        <v>-0.05370882559</v>
      </c>
      <c r="M23" s="59">
        <f t="shared" si="19"/>
        <v>-0.05140670968</v>
      </c>
      <c r="N23" s="59">
        <f t="shared" si="19"/>
        <v>-0.04905855144</v>
      </c>
      <c r="O23" s="59">
        <f t="shared" si="19"/>
        <v>-0.04666343004</v>
      </c>
      <c r="P23" s="59">
        <f t="shared" si="19"/>
        <v>-0.04422040622</v>
      </c>
      <c r="Q23" s="59">
        <f t="shared" si="19"/>
        <v>-0.04393871495</v>
      </c>
      <c r="R23" s="59">
        <f t="shared" si="19"/>
        <v>-0.04369559372</v>
      </c>
      <c r="S23" s="59">
        <f t="shared" si="19"/>
        <v>-0.04349269799</v>
      </c>
      <c r="T23" s="59">
        <f t="shared" si="19"/>
        <v>-0.04333173406</v>
      </c>
      <c r="U23" s="59">
        <f t="shared" si="19"/>
        <v>-0.04321446033</v>
      </c>
      <c r="V23" s="59">
        <f t="shared" si="19"/>
        <v>-0.04314268881</v>
      </c>
      <c r="W23" s="59">
        <f t="shared" si="19"/>
        <v>-0.04311828649</v>
      </c>
      <c r="X23" s="59">
        <f t="shared" si="19"/>
        <v>-0.04314317686</v>
      </c>
      <c r="Y23" s="59">
        <f t="shared" si="19"/>
        <v>-0.04321934137</v>
      </c>
      <c r="Z23" s="59">
        <f t="shared" si="19"/>
        <v>-0.04334882104</v>
      </c>
      <c r="AA23" s="59">
        <f t="shared" si="19"/>
        <v>-0.04353371801</v>
      </c>
      <c r="AB23" s="59">
        <f t="shared" si="19"/>
        <v>-0.04377619717</v>
      </c>
      <c r="AC23" s="59">
        <f t="shared" si="19"/>
        <v>-0.04407848787</v>
      </c>
      <c r="AD23" s="59">
        <f t="shared" si="19"/>
        <v>-0.04444288556</v>
      </c>
      <c r="AE23" s="59">
        <f t="shared" si="19"/>
        <v>-0.04487175362</v>
      </c>
      <c r="AF23" s="59">
        <f t="shared" si="19"/>
        <v>-0.04536752509</v>
      </c>
      <c r="AG23" s="59">
        <f t="shared" si="19"/>
        <v>-0.04593270457</v>
      </c>
      <c r="AH23" s="59">
        <f t="shared" si="19"/>
        <v>-0.04656987006</v>
      </c>
      <c r="AI23" s="59">
        <f t="shared" si="19"/>
        <v>-0.04728167494</v>
      </c>
      <c r="AJ23" s="59">
        <f t="shared" si="19"/>
        <v>-0.04807084992</v>
      </c>
      <c r="AK23" s="59">
        <f t="shared" si="19"/>
        <v>-0.04894020507</v>
      </c>
      <c r="AL23" s="59">
        <f t="shared" si="19"/>
        <v>-0.04989263194</v>
      </c>
      <c r="AM23" s="59">
        <f t="shared" si="19"/>
        <v>-0.05093110565</v>
      </c>
      <c r="AN23" s="59">
        <f t="shared" si="19"/>
        <v>-0.05205868711</v>
      </c>
      <c r="AO23" s="3"/>
      <c r="AP23" s="3"/>
      <c r="AQ23" s="3"/>
      <c r="AR23" s="3"/>
      <c r="AS23" s="3"/>
      <c r="AT23" s="3"/>
      <c r="AU23" s="3"/>
      <c r="AV23" s="3"/>
    </row>
    <row r="24" ht="15.75" customHeight="1">
      <c r="A24" s="29" t="s">
        <v>37</v>
      </c>
      <c r="B24" s="30">
        <f>-$D$24*B15</f>
        <v>0</v>
      </c>
      <c r="C24" s="30">
        <f t="shared" si="15"/>
        <v>0</v>
      </c>
      <c r="D24" s="12">
        <v>0.0</v>
      </c>
      <c r="E24" s="60">
        <v>5.0</v>
      </c>
      <c r="F24" s="32">
        <v>0.08</v>
      </c>
      <c r="G24" s="3"/>
      <c r="H24" s="43"/>
      <c r="I24" s="3"/>
      <c r="AO24" s="3"/>
      <c r="AP24" s="3"/>
      <c r="AQ24" s="3"/>
      <c r="AR24" s="3"/>
      <c r="AS24" s="3"/>
      <c r="AT24" s="3"/>
      <c r="AU24" s="3"/>
      <c r="AV24" s="3"/>
    </row>
    <row r="25" ht="15.75" customHeight="1">
      <c r="A25" s="29" t="s">
        <v>39</v>
      </c>
      <c r="B25" s="30">
        <f>-$D$25*B15</f>
        <v>0</v>
      </c>
      <c r="C25" s="30">
        <f t="shared" si="15"/>
        <v>0</v>
      </c>
      <c r="D25" s="12">
        <v>0.0</v>
      </c>
      <c r="E25" s="3"/>
      <c r="F25" s="32">
        <v>0.0</v>
      </c>
      <c r="G25" s="3"/>
      <c r="H25" s="43"/>
      <c r="I25" s="3"/>
      <c r="J25" s="4" t="s">
        <v>57</v>
      </c>
      <c r="K25" s="61">
        <f t="shared" ref="K25:AN25" si="20">-K16/K20</f>
        <v>0.6121089428</v>
      </c>
      <c r="L25" s="61">
        <f t="shared" si="20"/>
        <v>0.6277517269</v>
      </c>
      <c r="M25" s="61">
        <f t="shared" si="20"/>
        <v>0.6437073667</v>
      </c>
      <c r="N25" s="61">
        <f t="shared" si="20"/>
        <v>0.6599821193</v>
      </c>
      <c r="O25" s="61">
        <f t="shared" si="20"/>
        <v>0.6765823669</v>
      </c>
      <c r="P25" s="61">
        <f t="shared" si="20"/>
        <v>0.6935146195</v>
      </c>
      <c r="Q25" s="61">
        <f t="shared" si="20"/>
        <v>0.6954669818</v>
      </c>
      <c r="R25" s="61">
        <f t="shared" si="20"/>
        <v>0.6971520207</v>
      </c>
      <c r="S25" s="61">
        <f t="shared" si="20"/>
        <v>0.6985582622</v>
      </c>
      <c r="T25" s="61">
        <f t="shared" si="20"/>
        <v>0.6996738805</v>
      </c>
      <c r="U25" s="61">
        <f t="shared" si="20"/>
        <v>0.7004866881</v>
      </c>
      <c r="V25" s="61">
        <f t="shared" si="20"/>
        <v>0.7009841264</v>
      </c>
      <c r="W25" s="61">
        <f t="shared" si="20"/>
        <v>0.7011532554</v>
      </c>
      <c r="X25" s="61">
        <f t="shared" si="20"/>
        <v>0.7009807438</v>
      </c>
      <c r="Y25" s="61">
        <f t="shared" si="20"/>
        <v>0.7004528583</v>
      </c>
      <c r="Z25" s="61">
        <f t="shared" si="20"/>
        <v>0.6995554531</v>
      </c>
      <c r="AA25" s="61">
        <f t="shared" si="20"/>
        <v>0.6982739583</v>
      </c>
      <c r="AB25" s="61">
        <f t="shared" si="20"/>
        <v>0.6965933695</v>
      </c>
      <c r="AC25" s="61">
        <f t="shared" si="20"/>
        <v>0.6944982355</v>
      </c>
      <c r="AD25" s="61">
        <f t="shared" si="20"/>
        <v>0.6919726466</v>
      </c>
      <c r="AE25" s="61">
        <f t="shared" si="20"/>
        <v>0.6890002228</v>
      </c>
      <c r="AF25" s="61">
        <f t="shared" si="20"/>
        <v>0.6855641008</v>
      </c>
      <c r="AG25" s="61">
        <f t="shared" si="20"/>
        <v>0.6816469218</v>
      </c>
      <c r="AH25" s="61">
        <f t="shared" si="20"/>
        <v>0.6772308179</v>
      </c>
      <c r="AI25" s="61">
        <f t="shared" si="20"/>
        <v>0.672297399</v>
      </c>
      <c r="AJ25" s="61">
        <f t="shared" si="20"/>
        <v>0.6668277388</v>
      </c>
      <c r="AK25" s="61">
        <f t="shared" si="20"/>
        <v>0.6608023612</v>
      </c>
      <c r="AL25" s="61">
        <f t="shared" si="20"/>
        <v>0.6542012253</v>
      </c>
      <c r="AM25" s="61">
        <f t="shared" si="20"/>
        <v>0.6470037109</v>
      </c>
      <c r="AN25" s="61">
        <f t="shared" si="20"/>
        <v>0.6391886033</v>
      </c>
      <c r="AO25" s="3"/>
      <c r="AP25" s="3"/>
      <c r="AQ25" s="3"/>
      <c r="AR25" s="3"/>
      <c r="AS25" s="3"/>
      <c r="AT25" s="3"/>
      <c r="AU25" s="3"/>
      <c r="AV25" s="3"/>
    </row>
    <row r="26" ht="15.75" customHeight="1">
      <c r="A26" s="34" t="s">
        <v>41</v>
      </c>
      <c r="B26" s="35">
        <f t="shared" ref="B26:C26" si="21">SUM(B19:B25)</f>
        <v>-11520</v>
      </c>
      <c r="C26" s="35">
        <f t="shared" si="21"/>
        <v>-960</v>
      </c>
      <c r="D26" s="36"/>
      <c r="E26" s="36"/>
      <c r="F26" s="36"/>
      <c r="G26" s="3"/>
      <c r="H26" s="43"/>
      <c r="I26" s="3"/>
      <c r="J26" s="4" t="s">
        <v>59</v>
      </c>
      <c r="K26" s="54">
        <f t="shared" ref="K26:AN26" si="22">-(K15+K5+K6)/K4</f>
        <v>0.28</v>
      </c>
      <c r="L26" s="54">
        <f t="shared" si="22"/>
        <v>0.2760784314</v>
      </c>
      <c r="M26" s="54">
        <f t="shared" si="22"/>
        <v>0.2722337562</v>
      </c>
      <c r="N26" s="54">
        <f t="shared" si="22"/>
        <v>0.2684644669</v>
      </c>
      <c r="O26" s="54">
        <f t="shared" si="22"/>
        <v>0.2647690852</v>
      </c>
      <c r="P26" s="54">
        <f t="shared" si="22"/>
        <v>0.261146162</v>
      </c>
      <c r="Q26" s="54">
        <f t="shared" si="22"/>
        <v>0.2735942764</v>
      </c>
      <c r="R26" s="54">
        <f t="shared" si="22"/>
        <v>0.2861120357</v>
      </c>
      <c r="S26" s="54">
        <f t="shared" si="22"/>
        <v>0.2986980742</v>
      </c>
      <c r="T26" s="54">
        <f t="shared" si="22"/>
        <v>0.3113510532</v>
      </c>
      <c r="U26" s="54">
        <f t="shared" si="22"/>
        <v>0.32406966</v>
      </c>
      <c r="V26" s="54">
        <f t="shared" si="22"/>
        <v>0.3368526078</v>
      </c>
      <c r="W26" s="54">
        <f t="shared" si="22"/>
        <v>0.3496986351</v>
      </c>
      <c r="X26" s="54">
        <f t="shared" si="22"/>
        <v>0.362606505</v>
      </c>
      <c r="Y26" s="54">
        <f t="shared" si="22"/>
        <v>0.3755750049</v>
      </c>
      <c r="Z26" s="54">
        <f t="shared" si="22"/>
        <v>0.388602946</v>
      </c>
      <c r="AA26" s="54">
        <f t="shared" si="22"/>
        <v>0.4016891627</v>
      </c>
      <c r="AB26" s="54">
        <f t="shared" si="22"/>
        <v>0.4148325125</v>
      </c>
      <c r="AC26" s="54">
        <f t="shared" si="22"/>
        <v>0.428031875</v>
      </c>
      <c r="AD26" s="54">
        <f t="shared" si="22"/>
        <v>0.441286152</v>
      </c>
      <c r="AE26" s="54">
        <f t="shared" si="22"/>
        <v>0.4545942666</v>
      </c>
      <c r="AF26" s="54">
        <f t="shared" si="22"/>
        <v>0.4679551634</v>
      </c>
      <c r="AG26" s="54">
        <f t="shared" si="22"/>
        <v>0.4813678072</v>
      </c>
      <c r="AH26" s="54">
        <f t="shared" si="22"/>
        <v>0.4948311835</v>
      </c>
      <c r="AI26" s="54">
        <f t="shared" si="22"/>
        <v>0.5083442976</v>
      </c>
      <c r="AJ26" s="54">
        <f t="shared" si="22"/>
        <v>0.5219061741</v>
      </c>
      <c r="AK26" s="54">
        <f t="shared" si="22"/>
        <v>0.535515857</v>
      </c>
      <c r="AL26" s="54">
        <f t="shared" si="22"/>
        <v>0.5491724088</v>
      </c>
      <c r="AM26" s="54">
        <f t="shared" si="22"/>
        <v>0.5628749106</v>
      </c>
      <c r="AN26" s="54">
        <f t="shared" si="22"/>
        <v>0.5766224614</v>
      </c>
      <c r="AO26" s="3"/>
      <c r="AP26" s="3"/>
      <c r="AQ26" s="3"/>
      <c r="AR26" s="3"/>
      <c r="AS26" s="3"/>
      <c r="AT26" s="3"/>
      <c r="AU26" s="3"/>
      <c r="AV26" s="3"/>
    </row>
    <row r="27" ht="15.75" customHeight="1">
      <c r="A27" s="4" t="s">
        <v>43</v>
      </c>
      <c r="B27" s="13">
        <f t="shared" ref="B27:C27" si="23">B26+B15</f>
        <v>46080</v>
      </c>
      <c r="C27" s="13">
        <f t="shared" si="23"/>
        <v>3840</v>
      </c>
      <c r="D27" s="3"/>
      <c r="E27" s="3"/>
      <c r="F27" s="3"/>
      <c r="G27" s="3"/>
      <c r="H27" s="43"/>
      <c r="I27" s="3"/>
      <c r="J27" s="4" t="s">
        <v>61</v>
      </c>
      <c r="K27" s="62">
        <f t="shared" ref="K27:AN27" si="24">1+(K15+K18+K6)/(K4)</f>
        <v>-0.3762612006</v>
      </c>
      <c r="L27" s="62">
        <f t="shared" si="24"/>
        <v>-0.3492756869</v>
      </c>
      <c r="M27" s="62">
        <f t="shared" si="24"/>
        <v>-0.3228193009</v>
      </c>
      <c r="N27" s="62">
        <f t="shared" si="24"/>
        <v>-0.2968816675</v>
      </c>
      <c r="O27" s="62">
        <f t="shared" si="24"/>
        <v>-0.2714526152</v>
      </c>
      <c r="P27" s="62">
        <f t="shared" si="24"/>
        <v>-0.2465221718</v>
      </c>
      <c r="Q27" s="62">
        <f t="shared" si="24"/>
        <v>-0.2220805606</v>
      </c>
      <c r="R27" s="62">
        <f t="shared" si="24"/>
        <v>-0.1981181966</v>
      </c>
      <c r="S27" s="62">
        <f t="shared" si="24"/>
        <v>-0.174625683</v>
      </c>
      <c r="T27" s="62">
        <f t="shared" si="24"/>
        <v>-0.1515938068</v>
      </c>
      <c r="U27" s="62">
        <f t="shared" si="24"/>
        <v>-0.1290135361</v>
      </c>
      <c r="V27" s="62">
        <f t="shared" si="24"/>
        <v>-0.1068760158</v>
      </c>
      <c r="W27" s="62">
        <f t="shared" si="24"/>
        <v>-0.08517256452</v>
      </c>
      <c r="X27" s="62">
        <f t="shared" si="24"/>
        <v>-0.0638946711</v>
      </c>
      <c r="Y27" s="62">
        <f t="shared" si="24"/>
        <v>-0.04303399127</v>
      </c>
      <c r="Z27" s="62">
        <f t="shared" si="24"/>
        <v>-0.02258234439</v>
      </c>
      <c r="AA27" s="62">
        <f t="shared" si="24"/>
        <v>-0.002531710182</v>
      </c>
      <c r="AB27" s="62">
        <f t="shared" si="24"/>
        <v>0.01712577433</v>
      </c>
      <c r="AC27" s="62">
        <f t="shared" si="24"/>
        <v>0.03639781797</v>
      </c>
      <c r="AD27" s="62">
        <f t="shared" si="24"/>
        <v>0.0552919784</v>
      </c>
      <c r="AE27" s="62">
        <f t="shared" si="24"/>
        <v>0.0738156651</v>
      </c>
      <c r="AF27" s="62">
        <f t="shared" si="24"/>
        <v>0.09197614226</v>
      </c>
      <c r="AG27" s="62">
        <f t="shared" si="24"/>
        <v>0.1097805316</v>
      </c>
      <c r="AH27" s="62">
        <f t="shared" si="24"/>
        <v>0.1272358153</v>
      </c>
      <c r="AI27" s="62">
        <f t="shared" si="24"/>
        <v>0.1443488385</v>
      </c>
      <c r="AJ27" s="62">
        <f t="shared" si="24"/>
        <v>0.1611263123</v>
      </c>
      <c r="AK27" s="62">
        <f t="shared" si="24"/>
        <v>0.177574816</v>
      </c>
      <c r="AL27" s="62">
        <f t="shared" si="24"/>
        <v>0.1937008</v>
      </c>
      <c r="AM27" s="62">
        <f t="shared" si="24"/>
        <v>0.2095105882</v>
      </c>
      <c r="AN27" s="62">
        <f t="shared" si="24"/>
        <v>0.2250103806</v>
      </c>
      <c r="AO27" s="3"/>
      <c r="AP27" s="3"/>
      <c r="AQ27" s="3"/>
      <c r="AR27" s="3"/>
      <c r="AS27" s="3"/>
      <c r="AT27" s="3"/>
      <c r="AU27" s="3"/>
      <c r="AV27" s="3"/>
    </row>
    <row r="28" ht="15.75" customHeight="1">
      <c r="A28" s="4" t="s">
        <v>45</v>
      </c>
      <c r="B28" s="9">
        <f>B26/B15</f>
        <v>-0.2</v>
      </c>
      <c r="C28" s="3"/>
      <c r="D28" s="3"/>
      <c r="E28" s="3"/>
      <c r="F28" s="3"/>
      <c r="G28" s="3"/>
      <c r="H28" s="43"/>
      <c r="I28" s="3"/>
      <c r="J28" s="4" t="s">
        <v>111</v>
      </c>
      <c r="K28" s="3"/>
      <c r="L28" s="54">
        <f t="shared" ref="L28:AN28" si="25">IF(K$16&gt;0,(L$16-K$16)/K$16,"No Value")</f>
        <v>0.02555555556</v>
      </c>
      <c r="M28" s="54">
        <f t="shared" si="25"/>
        <v>0.02541711809</v>
      </c>
      <c r="N28" s="54">
        <f t="shared" si="25"/>
        <v>0.02528284344</v>
      </c>
      <c r="O28" s="54">
        <f t="shared" si="25"/>
        <v>0.02515257177</v>
      </c>
      <c r="P28" s="54">
        <f t="shared" si="25"/>
        <v>0.02502615114</v>
      </c>
      <c r="Q28" s="54">
        <f t="shared" si="25"/>
        <v>0.002815171138</v>
      </c>
      <c r="R28" s="54">
        <f t="shared" si="25"/>
        <v>0.002422888398</v>
      </c>
      <c r="S28" s="54">
        <f t="shared" si="25"/>
        <v>0.002017123235</v>
      </c>
      <c r="T28" s="54">
        <f t="shared" si="25"/>
        <v>0.001597029694</v>
      </c>
      <c r="U28" s="54">
        <f t="shared" si="25"/>
        <v>0.001161694944</v>
      </c>
      <c r="V28" s="54">
        <f t="shared" si="25"/>
        <v>0.0007101323488</v>
      </c>
      <c r="W28" s="54">
        <f t="shared" si="25"/>
        <v>0.0002412736624</v>
      </c>
      <c r="X28" s="54">
        <f t="shared" si="25"/>
        <v>-0.0002460397727</v>
      </c>
      <c r="Y28" s="54">
        <f t="shared" si="25"/>
        <v>-0.0007530669889</v>
      </c>
      <c r="Z28" s="54">
        <f t="shared" si="25"/>
        <v>-0.001281178694</v>
      </c>
      <c r="AA28" s="54">
        <f t="shared" si="25"/>
        <v>-0.001831870129</v>
      </c>
      <c r="AB28" s="54">
        <f t="shared" si="25"/>
        <v>-0.002406775726</v>
      </c>
      <c r="AC28" s="54">
        <f t="shared" si="25"/>
        <v>-0.003007685898</v>
      </c>
      <c r="AD28" s="54">
        <f t="shared" si="25"/>
        <v>-0.003636566286</v>
      </c>
      <c r="AE28" s="54">
        <f t="shared" si="25"/>
        <v>-0.004295579944</v>
      </c>
      <c r="AF28" s="54">
        <f t="shared" si="25"/>
        <v>-0.004987112957</v>
      </c>
      <c r="AG28" s="54">
        <f t="shared" si="25"/>
        <v>-0.005713804158</v>
      </c>
      <c r="AH28" s="54">
        <f t="shared" si="25"/>
        <v>-0.006478579708</v>
      </c>
      <c r="AI28" s="54">
        <f t="shared" si="25"/>
        <v>-0.007284693513</v>
      </c>
      <c r="AJ28" s="54">
        <f t="shared" si="25"/>
        <v>-0.00813577465</v>
      </c>
      <c r="AK28" s="54">
        <f t="shared" si="25"/>
        <v>-0.009035883264</v>
      </c>
      <c r="AL28" s="54">
        <f t="shared" si="25"/>
        <v>-0.009989576759</v>
      </c>
      <c r="AM28" s="54">
        <f t="shared" si="25"/>
        <v>-0.01100198856</v>
      </c>
      <c r="AN28" s="54">
        <f t="shared" si="25"/>
        <v>-0.01207892232</v>
      </c>
      <c r="AO28" s="3"/>
      <c r="AP28" s="3"/>
      <c r="AQ28" s="3"/>
      <c r="AR28" s="3"/>
      <c r="AS28" s="3"/>
      <c r="AT28" s="3"/>
      <c r="AU28" s="3"/>
      <c r="AV28" s="3"/>
    </row>
    <row r="29" ht="15.75" customHeight="1">
      <c r="A29" s="4" t="s">
        <v>47</v>
      </c>
      <c r="B29" s="9">
        <f>B27/$B$4</f>
        <v>0.0256</v>
      </c>
      <c r="C29" s="3"/>
      <c r="D29" s="3"/>
      <c r="E29" s="3"/>
      <c r="F29" s="3"/>
      <c r="G29" s="3"/>
      <c r="H29" s="43"/>
      <c r="I29" s="3"/>
      <c r="J29" s="4" t="s">
        <v>112</v>
      </c>
      <c r="K29" s="3"/>
      <c r="L29" s="54" t="str">
        <f t="shared" ref="L29:AN29" si="26">IF(K$21&gt;0,(L$21-K$21)/K$21,"No Value")</f>
        <v>No Value</v>
      </c>
      <c r="M29" s="54" t="str">
        <f t="shared" si="26"/>
        <v>No Value</v>
      </c>
      <c r="N29" s="54" t="str">
        <f t="shared" si="26"/>
        <v>No Value</v>
      </c>
      <c r="O29" s="54" t="str">
        <f t="shared" si="26"/>
        <v>No Value</v>
      </c>
      <c r="P29" s="54" t="str">
        <f t="shared" si="26"/>
        <v>No Value</v>
      </c>
      <c r="Q29" s="54" t="str">
        <f t="shared" si="26"/>
        <v>No Value</v>
      </c>
      <c r="R29" s="54" t="str">
        <f t="shared" si="26"/>
        <v>No Value</v>
      </c>
      <c r="S29" s="54" t="str">
        <f t="shared" si="26"/>
        <v>No Value</v>
      </c>
      <c r="T29" s="54" t="str">
        <f t="shared" si="26"/>
        <v>No Value</v>
      </c>
      <c r="U29" s="54" t="str">
        <f t="shared" si="26"/>
        <v>No Value</v>
      </c>
      <c r="V29" s="54" t="str">
        <f t="shared" si="26"/>
        <v>No Value</v>
      </c>
      <c r="W29" s="54" t="str">
        <f t="shared" si="26"/>
        <v>No Value</v>
      </c>
      <c r="X29" s="54" t="str">
        <f t="shared" si="26"/>
        <v>No Value</v>
      </c>
      <c r="Y29" s="54" t="str">
        <f t="shared" si="26"/>
        <v>No Value</v>
      </c>
      <c r="Z29" s="54" t="str">
        <f t="shared" si="26"/>
        <v>No Value</v>
      </c>
      <c r="AA29" s="54" t="str">
        <f t="shared" si="26"/>
        <v>No Value</v>
      </c>
      <c r="AB29" s="54" t="str">
        <f t="shared" si="26"/>
        <v>No Value</v>
      </c>
      <c r="AC29" s="54" t="str">
        <f t="shared" si="26"/>
        <v>No Value</v>
      </c>
      <c r="AD29" s="54" t="str">
        <f t="shared" si="26"/>
        <v>No Value</v>
      </c>
      <c r="AE29" s="54" t="str">
        <f t="shared" si="26"/>
        <v>No Value</v>
      </c>
      <c r="AF29" s="54" t="str">
        <f t="shared" si="26"/>
        <v>No Value</v>
      </c>
      <c r="AG29" s="54" t="str">
        <f t="shared" si="26"/>
        <v>No Value</v>
      </c>
      <c r="AH29" s="54" t="str">
        <f t="shared" si="26"/>
        <v>No Value</v>
      </c>
      <c r="AI29" s="54" t="str">
        <f t="shared" si="26"/>
        <v>No Value</v>
      </c>
      <c r="AJ29" s="54" t="str">
        <f t="shared" si="26"/>
        <v>No Value</v>
      </c>
      <c r="AK29" s="54" t="str">
        <f t="shared" si="26"/>
        <v>No Value</v>
      </c>
      <c r="AL29" s="54" t="str">
        <f t="shared" si="26"/>
        <v>No Value</v>
      </c>
      <c r="AM29" s="54" t="str">
        <f t="shared" si="26"/>
        <v>No Value</v>
      </c>
      <c r="AN29" s="54" t="str">
        <f t="shared" si="26"/>
        <v>No Value</v>
      </c>
      <c r="AO29" s="3"/>
      <c r="AP29" s="3"/>
      <c r="AQ29" s="3"/>
      <c r="AR29" s="3"/>
      <c r="AS29" s="3"/>
      <c r="AT29" s="3"/>
      <c r="AU29" s="3"/>
      <c r="AV29" s="3"/>
    </row>
    <row r="30" ht="15.75" customHeight="1">
      <c r="A30" s="3"/>
      <c r="B30" s="3"/>
      <c r="C30" s="3"/>
      <c r="D30" s="3"/>
      <c r="E30" s="3"/>
      <c r="F30" s="3"/>
      <c r="G30" s="3"/>
      <c r="H30" s="4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5.75" customHeight="1">
      <c r="A31" s="4" t="s">
        <v>49</v>
      </c>
      <c r="B31" s="30">
        <f>PMT(D31/12,E31*12,B11)*12</f>
        <v>-67752.64516</v>
      </c>
      <c r="C31" s="30">
        <f t="shared" ref="C31:C33" si="28">B31/12</f>
        <v>-5646.053763</v>
      </c>
      <c r="D31" s="12">
        <v>0.03</v>
      </c>
      <c r="E31" s="23">
        <v>30.0</v>
      </c>
      <c r="F31" s="3"/>
      <c r="G31" s="3"/>
      <c r="H31" s="43"/>
      <c r="I31" s="3"/>
      <c r="J31" s="56" t="s">
        <v>113</v>
      </c>
      <c r="K31" s="57">
        <f t="shared" ref="K31:AN31" si="27">$B$4*(1+$D$4)^K1</f>
        <v>1800000</v>
      </c>
      <c r="L31" s="57">
        <f t="shared" si="27"/>
        <v>1800000</v>
      </c>
      <c r="M31" s="57">
        <f t="shared" si="27"/>
        <v>1800000</v>
      </c>
      <c r="N31" s="57">
        <f t="shared" si="27"/>
        <v>1800000</v>
      </c>
      <c r="O31" s="57">
        <f t="shared" si="27"/>
        <v>1800000</v>
      </c>
      <c r="P31" s="57">
        <f t="shared" si="27"/>
        <v>1800000</v>
      </c>
      <c r="Q31" s="57">
        <f t="shared" si="27"/>
        <v>1800000</v>
      </c>
      <c r="R31" s="57">
        <f t="shared" si="27"/>
        <v>1800000</v>
      </c>
      <c r="S31" s="57">
        <f t="shared" si="27"/>
        <v>1800000</v>
      </c>
      <c r="T31" s="57">
        <f t="shared" si="27"/>
        <v>1800000</v>
      </c>
      <c r="U31" s="57">
        <f t="shared" si="27"/>
        <v>1800000</v>
      </c>
      <c r="V31" s="57">
        <f t="shared" si="27"/>
        <v>1800000</v>
      </c>
      <c r="W31" s="57">
        <f t="shared" si="27"/>
        <v>1800000</v>
      </c>
      <c r="X31" s="57">
        <f t="shared" si="27"/>
        <v>1800000</v>
      </c>
      <c r="Y31" s="57">
        <f t="shared" si="27"/>
        <v>1800000</v>
      </c>
      <c r="Z31" s="57">
        <f t="shared" si="27"/>
        <v>1800000</v>
      </c>
      <c r="AA31" s="57">
        <f t="shared" si="27"/>
        <v>1800000</v>
      </c>
      <c r="AB31" s="57">
        <f t="shared" si="27"/>
        <v>1800000</v>
      </c>
      <c r="AC31" s="57">
        <f t="shared" si="27"/>
        <v>1800000</v>
      </c>
      <c r="AD31" s="57">
        <f t="shared" si="27"/>
        <v>1800000</v>
      </c>
      <c r="AE31" s="57">
        <f t="shared" si="27"/>
        <v>1800000</v>
      </c>
      <c r="AF31" s="57">
        <f t="shared" si="27"/>
        <v>1800000</v>
      </c>
      <c r="AG31" s="57">
        <f t="shared" si="27"/>
        <v>1800000</v>
      </c>
      <c r="AH31" s="57">
        <f t="shared" si="27"/>
        <v>1800000</v>
      </c>
      <c r="AI31" s="57">
        <f t="shared" si="27"/>
        <v>1800000</v>
      </c>
      <c r="AJ31" s="57">
        <f t="shared" si="27"/>
        <v>1800000</v>
      </c>
      <c r="AK31" s="57">
        <f t="shared" si="27"/>
        <v>1800000</v>
      </c>
      <c r="AL31" s="57">
        <f t="shared" si="27"/>
        <v>1800000</v>
      </c>
      <c r="AM31" s="57">
        <f t="shared" si="27"/>
        <v>1800000</v>
      </c>
      <c r="AN31" s="57">
        <f t="shared" si="27"/>
        <v>1800000</v>
      </c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14" t="s">
        <v>51</v>
      </c>
      <c r="B32" s="37">
        <f>-D32*B11</f>
        <v>0</v>
      </c>
      <c r="C32" s="37">
        <f t="shared" si="28"/>
        <v>0</v>
      </c>
      <c r="D32" s="38" t="str">
        <f>IF((B4-B11)/B4&gt;=0.2,,E32)</f>
        <v/>
      </c>
      <c r="E32" s="39">
        <v>0.01</v>
      </c>
      <c r="F32" s="16"/>
      <c r="G32" s="3"/>
      <c r="H32" s="43"/>
      <c r="I32" s="3"/>
      <c r="J32" s="4" t="s">
        <v>114</v>
      </c>
      <c r="K32" s="13">
        <f t="shared" ref="K32:AN32" si="29">K16/$B$29</f>
        <v>1620000</v>
      </c>
      <c r="L32" s="13">
        <f t="shared" si="29"/>
        <v>1661400</v>
      </c>
      <c r="M32" s="13">
        <f t="shared" si="29"/>
        <v>1703628</v>
      </c>
      <c r="N32" s="13">
        <f t="shared" si="29"/>
        <v>1746700.56</v>
      </c>
      <c r="O32" s="13">
        <f t="shared" si="29"/>
        <v>1790634.571</v>
      </c>
      <c r="P32" s="13">
        <f t="shared" si="29"/>
        <v>1835447.263</v>
      </c>
      <c r="Q32" s="13">
        <f t="shared" si="29"/>
        <v>1840614.361</v>
      </c>
      <c r="R32" s="13">
        <f t="shared" si="29"/>
        <v>1845073.964</v>
      </c>
      <c r="S32" s="13">
        <f t="shared" si="29"/>
        <v>1848795.706</v>
      </c>
      <c r="T32" s="13">
        <f t="shared" si="29"/>
        <v>1851748.287</v>
      </c>
      <c r="U32" s="13">
        <f t="shared" si="29"/>
        <v>1853899.454</v>
      </c>
      <c r="V32" s="13">
        <f t="shared" si="29"/>
        <v>1855215.968</v>
      </c>
      <c r="W32" s="13">
        <f t="shared" si="29"/>
        <v>1855663.583</v>
      </c>
      <c r="X32" s="13">
        <f t="shared" si="29"/>
        <v>1855207.015</v>
      </c>
      <c r="Y32" s="13">
        <f t="shared" si="29"/>
        <v>1853809.92</v>
      </c>
      <c r="Z32" s="13">
        <f t="shared" si="29"/>
        <v>1851434.859</v>
      </c>
      <c r="AA32" s="13">
        <f t="shared" si="29"/>
        <v>1848043.27</v>
      </c>
      <c r="AB32" s="13">
        <f t="shared" si="29"/>
        <v>1843595.445</v>
      </c>
      <c r="AC32" s="13">
        <f t="shared" si="29"/>
        <v>1838050.489</v>
      </c>
      <c r="AD32" s="13">
        <f t="shared" si="29"/>
        <v>1831366.296</v>
      </c>
      <c r="AE32" s="13">
        <f t="shared" si="29"/>
        <v>1823499.516</v>
      </c>
      <c r="AF32" s="13">
        <f t="shared" si="29"/>
        <v>1814405.518</v>
      </c>
      <c r="AG32" s="13">
        <f t="shared" si="29"/>
        <v>1804038.36</v>
      </c>
      <c r="AH32" s="13">
        <f t="shared" si="29"/>
        <v>1792350.754</v>
      </c>
      <c r="AI32" s="13">
        <f t="shared" si="29"/>
        <v>1779294.028</v>
      </c>
      <c r="AJ32" s="13">
        <f t="shared" si="29"/>
        <v>1764818.093</v>
      </c>
      <c r="AK32" s="13">
        <f t="shared" si="29"/>
        <v>1748871.402</v>
      </c>
      <c r="AL32" s="13">
        <f t="shared" si="29"/>
        <v>1731400.917</v>
      </c>
      <c r="AM32" s="13">
        <f t="shared" si="29"/>
        <v>1712352.064</v>
      </c>
      <c r="AN32" s="13">
        <f t="shared" si="29"/>
        <v>1691668.696</v>
      </c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4" t="s">
        <v>53</v>
      </c>
      <c r="B33" s="13">
        <f>SUM(B31:B32,B27)</f>
        <v>-21672.64516</v>
      </c>
      <c r="C33" s="13">
        <f t="shared" si="28"/>
        <v>-1806.053763</v>
      </c>
      <c r="D33" s="3"/>
      <c r="E33" s="3"/>
      <c r="F33" s="3"/>
      <c r="G33" s="3"/>
      <c r="H33" s="43"/>
      <c r="I33" s="3"/>
      <c r="J33" s="4" t="s">
        <v>115</v>
      </c>
      <c r="K33" s="13">
        <f t="shared" ref="K33:AN33" si="30">PV($D$31,30-K1,K18)</f>
        <v>1327981.748</v>
      </c>
      <c r="L33" s="13">
        <f t="shared" si="30"/>
        <v>1300068.555</v>
      </c>
      <c r="M33" s="13">
        <f t="shared" si="30"/>
        <v>1271317.966</v>
      </c>
      <c r="N33" s="13">
        <f t="shared" si="30"/>
        <v>1241704.86</v>
      </c>
      <c r="O33" s="13">
        <f t="shared" si="30"/>
        <v>1211203.361</v>
      </c>
      <c r="P33" s="13">
        <f t="shared" si="30"/>
        <v>1179786.817</v>
      </c>
      <c r="Q33" s="13">
        <f t="shared" si="30"/>
        <v>1147427.776</v>
      </c>
      <c r="R33" s="13">
        <f t="shared" si="30"/>
        <v>1114097.964</v>
      </c>
      <c r="S33" s="13">
        <f t="shared" si="30"/>
        <v>1079768.258</v>
      </c>
      <c r="T33" s="13">
        <f t="shared" si="30"/>
        <v>1044408.66</v>
      </c>
      <c r="U33" s="13">
        <f t="shared" si="30"/>
        <v>1007988.275</v>
      </c>
      <c r="V33" s="13">
        <f t="shared" si="30"/>
        <v>970475.2781</v>
      </c>
      <c r="W33" s="13">
        <f t="shared" si="30"/>
        <v>931836.8913</v>
      </c>
      <c r="X33" s="13">
        <f t="shared" si="30"/>
        <v>892039.3529</v>
      </c>
      <c r="Y33" s="13">
        <f t="shared" si="30"/>
        <v>851047.8883</v>
      </c>
      <c r="Z33" s="13">
        <f t="shared" si="30"/>
        <v>808826.6798</v>
      </c>
      <c r="AA33" s="13">
        <f t="shared" si="30"/>
        <v>765338.8351</v>
      </c>
      <c r="AB33" s="13">
        <f t="shared" si="30"/>
        <v>720546.355</v>
      </c>
      <c r="AC33" s="13">
        <f t="shared" si="30"/>
        <v>674410.1005</v>
      </c>
      <c r="AD33" s="13">
        <f t="shared" si="30"/>
        <v>626889.7583</v>
      </c>
      <c r="AE33" s="13">
        <f t="shared" si="30"/>
        <v>577943.8059</v>
      </c>
      <c r="AF33" s="13">
        <f t="shared" si="30"/>
        <v>527529.4749</v>
      </c>
      <c r="AG33" s="13">
        <f t="shared" si="30"/>
        <v>475602.714</v>
      </c>
      <c r="AH33" s="13">
        <f t="shared" si="30"/>
        <v>422118.1503</v>
      </c>
      <c r="AI33" s="13">
        <f t="shared" si="30"/>
        <v>367029.0496</v>
      </c>
      <c r="AJ33" s="13">
        <f t="shared" si="30"/>
        <v>310287.276</v>
      </c>
      <c r="AK33" s="13">
        <f t="shared" si="30"/>
        <v>251843.2491</v>
      </c>
      <c r="AL33" s="13">
        <f t="shared" si="30"/>
        <v>191645.9014</v>
      </c>
      <c r="AM33" s="13">
        <f t="shared" si="30"/>
        <v>129642.6333</v>
      </c>
      <c r="AN33" s="13">
        <f t="shared" si="30"/>
        <v>65779.26714</v>
      </c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4" t="s">
        <v>110</v>
      </c>
      <c r="B34" s="40">
        <f>B33/B10</f>
        <v>-0.04615286116</v>
      </c>
      <c r="C34" s="3"/>
      <c r="D34" s="3"/>
      <c r="E34" s="3"/>
      <c r="F34" s="3"/>
      <c r="G34" s="3"/>
      <c r="H34" s="43"/>
      <c r="I34" s="3"/>
      <c r="J34" s="4" t="s">
        <v>63</v>
      </c>
      <c r="K34" s="13">
        <f t="shared" ref="K34:AN34" si="31">K32-K33</f>
        <v>292018.2523</v>
      </c>
      <c r="L34" s="13">
        <f t="shared" si="31"/>
        <v>361331.4451</v>
      </c>
      <c r="M34" s="13">
        <f t="shared" si="31"/>
        <v>432310.0336</v>
      </c>
      <c r="N34" s="13">
        <f t="shared" si="31"/>
        <v>504995.6997</v>
      </c>
      <c r="O34" s="13">
        <f t="shared" si="31"/>
        <v>579431.2103</v>
      </c>
      <c r="P34" s="13">
        <f t="shared" si="31"/>
        <v>655660.446</v>
      </c>
      <c r="Q34" s="13">
        <f t="shared" si="31"/>
        <v>693186.5849</v>
      </c>
      <c r="R34" s="13">
        <f t="shared" si="31"/>
        <v>730975.9999</v>
      </c>
      <c r="S34" s="13">
        <f t="shared" si="31"/>
        <v>769027.4477</v>
      </c>
      <c r="T34" s="13">
        <f t="shared" si="31"/>
        <v>807339.6268</v>
      </c>
      <c r="U34" s="13">
        <f t="shared" si="31"/>
        <v>845911.1787</v>
      </c>
      <c r="V34" s="13">
        <f t="shared" si="31"/>
        <v>884740.6896</v>
      </c>
      <c r="W34" s="13">
        <f t="shared" si="31"/>
        <v>923826.6912</v>
      </c>
      <c r="X34" s="13">
        <f t="shared" si="31"/>
        <v>963167.6626</v>
      </c>
      <c r="Y34" s="13">
        <f t="shared" si="31"/>
        <v>1002762.032</v>
      </c>
      <c r="Z34" s="13">
        <f t="shared" si="31"/>
        <v>1042608.179</v>
      </c>
      <c r="AA34" s="13">
        <f t="shared" si="31"/>
        <v>1082704.435</v>
      </c>
      <c r="AB34" s="13">
        <f t="shared" si="31"/>
        <v>1123049.09</v>
      </c>
      <c r="AC34" s="13">
        <f t="shared" si="31"/>
        <v>1163640.388</v>
      </c>
      <c r="AD34" s="13">
        <f t="shared" si="31"/>
        <v>1204476.538</v>
      </c>
      <c r="AE34" s="13">
        <f t="shared" si="31"/>
        <v>1245555.71</v>
      </c>
      <c r="AF34" s="13">
        <f t="shared" si="31"/>
        <v>1286876.043</v>
      </c>
      <c r="AG34" s="13">
        <f t="shared" si="31"/>
        <v>1328435.646</v>
      </c>
      <c r="AH34" s="13">
        <f t="shared" si="31"/>
        <v>1370232.603</v>
      </c>
      <c r="AI34" s="13">
        <f t="shared" si="31"/>
        <v>1412264.978</v>
      </c>
      <c r="AJ34" s="13">
        <f t="shared" si="31"/>
        <v>1454530.817</v>
      </c>
      <c r="AK34" s="13">
        <f t="shared" si="31"/>
        <v>1497028.153</v>
      </c>
      <c r="AL34" s="13">
        <f t="shared" si="31"/>
        <v>1539755.016</v>
      </c>
      <c r="AM34" s="13">
        <f t="shared" si="31"/>
        <v>1582709.431</v>
      </c>
      <c r="AN34" s="13">
        <f t="shared" si="31"/>
        <v>1625889.429</v>
      </c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4" t="s">
        <v>116</v>
      </c>
      <c r="B35" s="40">
        <f>B33/(B4-B11)</f>
        <v>-0.04703101706</v>
      </c>
      <c r="G35" s="3"/>
      <c r="H35" s="63"/>
      <c r="J35" s="4" t="s">
        <v>116</v>
      </c>
      <c r="K35" s="9">
        <f>IF(K32&gt;0,K21/K34,NA())</f>
        <v>-0.08999658393</v>
      </c>
      <c r="L35" s="9">
        <f>(L$21+L$32-K$32)/L$34</f>
        <v>0.04477660349</v>
      </c>
      <c r="M35" s="9">
        <f t="shared" ref="M35:AN35" si="32">IF(M$32&gt;0,(M$21+M$32-L$32)/M$34,NA())</f>
        <v>0.04184087863</v>
      </c>
      <c r="N35" s="9">
        <f t="shared" si="32"/>
        <v>0.03967449463</v>
      </c>
      <c r="O35" s="9">
        <f t="shared" si="32"/>
        <v>0.03800556593</v>
      </c>
      <c r="P35" s="9">
        <f t="shared" si="32"/>
        <v>0.03667675294</v>
      </c>
      <c r="Q35" s="9">
        <f t="shared" si="32"/>
        <v>-0.02231119254</v>
      </c>
      <c r="R35" s="9">
        <f t="shared" si="32"/>
        <v>-0.02196946069</v>
      </c>
      <c r="S35" s="9">
        <f t="shared" si="32"/>
        <v>-0.02171799405</v>
      </c>
      <c r="T35" s="9">
        <f t="shared" si="32"/>
        <v>-0.02154645553</v>
      </c>
      <c r="U35" s="9">
        <f t="shared" si="32"/>
        <v>-0.02144628535</v>
      </c>
      <c r="V35" s="9">
        <f t="shared" si="32"/>
        <v>-0.02141034388</v>
      </c>
      <c r="W35" s="9">
        <f t="shared" si="32"/>
        <v>-0.02143263762</v>
      </c>
      <c r="X35" s="9">
        <f t="shared" si="32"/>
        <v>-0.02150810644</v>
      </c>
      <c r="Y35" s="9">
        <f t="shared" si="32"/>
        <v>-0.02163245682</v>
      </c>
      <c r="Z35" s="9">
        <f t="shared" si="32"/>
        <v>-0.02180202977</v>
      </c>
      <c r="AA35" s="9">
        <f t="shared" si="32"/>
        <v>-0.0220136954</v>
      </c>
      <c r="AB35" s="9">
        <f t="shared" si="32"/>
        <v>-0.02226476802</v>
      </c>
      <c r="AC35" s="9">
        <f t="shared" si="32"/>
        <v>-0.02255293726</v>
      </c>
      <c r="AD35" s="9">
        <f t="shared" si="32"/>
        <v>-0.02287621182</v>
      </c>
      <c r="AE35" s="9">
        <f t="shared" si="32"/>
        <v>-0.02323287321</v>
      </c>
      <c r="AF35" s="9">
        <f t="shared" si="32"/>
        <v>-0.02362143746</v>
      </c>
      <c r="AG35" s="9">
        <f t="shared" si="32"/>
        <v>-0.02404062329</v>
      </c>
      <c r="AH35" s="9">
        <f t="shared" si="32"/>
        <v>-0.02448932546</v>
      </c>
      <c r="AI35" s="9">
        <f t="shared" si="32"/>
        <v>-0.02496659232</v>
      </c>
      <c r="AJ35" s="9">
        <f t="shared" si="32"/>
        <v>-0.02547160693</v>
      </c>
      <c r="AK35" s="9">
        <f t="shared" si="32"/>
        <v>-0.02600367097</v>
      </c>
      <c r="AL35" s="9">
        <f t="shared" si="32"/>
        <v>-0.02656219098</v>
      </c>
      <c r="AM35" s="9">
        <f t="shared" si="32"/>
        <v>-0.0271466667</v>
      </c>
      <c r="AN35" s="9">
        <f t="shared" si="32"/>
        <v>-0.02775668092</v>
      </c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6"/>
      <c r="C36" s="6"/>
      <c r="D36" s="3"/>
      <c r="E36" s="3"/>
      <c r="F36" s="3"/>
      <c r="H36" s="63"/>
      <c r="J36" s="4" t="s">
        <v>117</v>
      </c>
      <c r="K36" s="9">
        <f>IF(K$32&gt;0,K$21/K$32,NA())</f>
        <v>-0.01622262047</v>
      </c>
      <c r="L36" s="9">
        <f>(L$21+L$32-K$32)/L$32</f>
        <v>0.009738289902</v>
      </c>
      <c r="M36" s="9">
        <f t="shared" ref="M36:AN36" si="33">IF(M$32&gt;0,(M$21+M$32-L$32)/M$32,NA())</f>
        <v>0.01061747732</v>
      </c>
      <c r="N36" s="9">
        <f t="shared" si="33"/>
        <v>0.01147045443</v>
      </c>
      <c r="O36" s="9">
        <f t="shared" si="33"/>
        <v>0.01229821619</v>
      </c>
      <c r="P36" s="9">
        <f t="shared" si="33"/>
        <v>0.01310170915</v>
      </c>
      <c r="Q36" s="9">
        <f t="shared" si="33"/>
        <v>-0.008402531074</v>
      </c>
      <c r="R36" s="9">
        <f t="shared" si="33"/>
        <v>-0.008703796603</v>
      </c>
      <c r="S36" s="9">
        <f t="shared" si="33"/>
        <v>-0.009033844833</v>
      </c>
      <c r="T36" s="9">
        <f t="shared" si="33"/>
        <v>-0.009393991335</v>
      </c>
      <c r="U36" s="9">
        <f t="shared" si="33"/>
        <v>-0.009785672291</v>
      </c>
      <c r="V36" s="9">
        <f t="shared" si="33"/>
        <v>-0.01021045675</v>
      </c>
      <c r="W36" s="9">
        <f t="shared" si="33"/>
        <v>-0.0106700605</v>
      </c>
      <c r="X36" s="9">
        <f t="shared" si="33"/>
        <v>-0.01116636172</v>
      </c>
      <c r="Y36" s="9">
        <f t="shared" si="33"/>
        <v>-0.01170141886</v>
      </c>
      <c r="Z36" s="9">
        <f t="shared" si="33"/>
        <v>-0.01227749086</v>
      </c>
      <c r="AA36" s="9">
        <f t="shared" si="33"/>
        <v>-0.01289706038</v>
      </c>
      <c r="AB36" s="9">
        <f t="shared" si="33"/>
        <v>-0.0135628603</v>
      </c>
      <c r="AC36" s="9">
        <f t="shared" si="33"/>
        <v>-0.01427790413</v>
      </c>
      <c r="AD36" s="9">
        <f t="shared" si="33"/>
        <v>-0.01504552119</v>
      </c>
      <c r="AE36" s="9">
        <f t="shared" si="33"/>
        <v>-0.01586939707</v>
      </c>
      <c r="AF36" s="9">
        <f t="shared" si="33"/>
        <v>-0.01675362077</v>
      </c>
      <c r="AG36" s="9">
        <f t="shared" si="33"/>
        <v>-0.01770273939</v>
      </c>
      <c r="AH36" s="9">
        <f t="shared" si="33"/>
        <v>-0.01872182222</v>
      </c>
      <c r="AI36" s="9">
        <f t="shared" si="33"/>
        <v>-0.01981653589</v>
      </c>
      <c r="AJ36" s="9">
        <f t="shared" si="33"/>
        <v>-0.02099323289</v>
      </c>
      <c r="AK36" s="9">
        <f t="shared" si="33"/>
        <v>-0.0222590566</v>
      </c>
      <c r="AL36" s="9">
        <f t="shared" si="33"/>
        <v>-0.02362206603</v>
      </c>
      <c r="AM36" s="9">
        <f t="shared" si="33"/>
        <v>-0.02509138529</v>
      </c>
      <c r="AN36" s="9">
        <f t="shared" si="33"/>
        <v>-0.02667738322</v>
      </c>
    </row>
    <row r="37" ht="15.75" customHeight="1">
      <c r="H37" s="63"/>
      <c r="J37" s="4" t="s">
        <v>118</v>
      </c>
      <c r="K37" s="9">
        <f>IF(K$32&gt;0,K$21/$B$10,NA())</f>
        <v>-0.05596580198</v>
      </c>
      <c r="L37" s="9">
        <f>(L$21+L$32-K$32)/$B$10</f>
        <v>0.03445431455</v>
      </c>
      <c r="M37" s="9">
        <f t="shared" ref="M37:AN37" si="34">IF(M$32&gt;0,(M$21+M$32-L$32)/$B$10,NA())</f>
        <v>0.03851969327</v>
      </c>
      <c r="N37" s="9">
        <f t="shared" si="34"/>
        <v>0.04266637956</v>
      </c>
      <c r="O37" s="9">
        <f t="shared" si="34"/>
        <v>0.04689599958</v>
      </c>
      <c r="P37" s="9">
        <f t="shared" si="34"/>
        <v>0.051210212</v>
      </c>
      <c r="Q37" s="9">
        <f t="shared" si="34"/>
        <v>-0.03293514975</v>
      </c>
      <c r="R37" s="9">
        <f t="shared" si="34"/>
        <v>-0.03419867052</v>
      </c>
      <c r="S37" s="9">
        <f t="shared" si="34"/>
        <v>-0.03556708391</v>
      </c>
      <c r="T37" s="9">
        <f t="shared" si="34"/>
        <v>-0.03704408022</v>
      </c>
      <c r="U37" s="9">
        <f t="shared" si="34"/>
        <v>-0.03863345539</v>
      </c>
      <c r="V37" s="9">
        <f t="shared" si="34"/>
        <v>-0.04033911379</v>
      </c>
      <c r="W37" s="9">
        <f t="shared" si="34"/>
        <v>-0.04216507098</v>
      </c>
      <c r="X37" s="9">
        <f t="shared" si="34"/>
        <v>-0.04411545667</v>
      </c>
      <c r="Y37" s="9">
        <f t="shared" si="34"/>
        <v>-0.04619451761</v>
      </c>
      <c r="Z37" s="9">
        <f t="shared" si="34"/>
        <v>-0.04840662065</v>
      </c>
      <c r="AA37" s="9">
        <f t="shared" si="34"/>
        <v>-0.05075625585</v>
      </c>
      <c r="AB37" s="9">
        <f t="shared" si="34"/>
        <v>-0.05324803967</v>
      </c>
      <c r="AC37" s="9">
        <f t="shared" si="34"/>
        <v>-0.05588671818</v>
      </c>
      <c r="AD37" s="9">
        <f t="shared" si="34"/>
        <v>-0.05867717046</v>
      </c>
      <c r="AE37" s="9">
        <f t="shared" si="34"/>
        <v>-0.061624412</v>
      </c>
      <c r="AF37" s="9">
        <f t="shared" si="34"/>
        <v>-0.06473359817</v>
      </c>
      <c r="AG37" s="9">
        <f t="shared" si="34"/>
        <v>-0.06801002788</v>
      </c>
      <c r="AH37" s="9">
        <f t="shared" si="34"/>
        <v>-0.07145914719</v>
      </c>
      <c r="AI37" s="9">
        <f t="shared" si="34"/>
        <v>-0.0750865531</v>
      </c>
      <c r="AJ37" s="9">
        <f t="shared" si="34"/>
        <v>-0.07889799745</v>
      </c>
      <c r="AK37" s="9">
        <f t="shared" si="34"/>
        <v>-0.08289939079</v>
      </c>
      <c r="AL37" s="9">
        <f t="shared" si="34"/>
        <v>-0.08709680652</v>
      </c>
      <c r="AM37" s="9">
        <f t="shared" si="34"/>
        <v>-0.09149648497</v>
      </c>
      <c r="AN37" s="9">
        <f t="shared" si="34"/>
        <v>-0.09610483768</v>
      </c>
    </row>
    <row r="38" ht="15.75" customHeight="1">
      <c r="H38" s="63"/>
    </row>
    <row r="39" ht="15.75" customHeight="1">
      <c r="H39" s="63"/>
    </row>
    <row r="40" ht="15.75" customHeight="1">
      <c r="H40" s="63"/>
    </row>
    <row r="41" ht="15.75" customHeight="1">
      <c r="H41" s="63"/>
    </row>
    <row r="42" ht="15.75" customHeight="1">
      <c r="H42" s="63"/>
    </row>
    <row r="43" ht="15.75" customHeight="1">
      <c r="H43" s="63"/>
    </row>
    <row r="44" ht="15.75" customHeight="1">
      <c r="H44" s="63"/>
    </row>
    <row r="45" ht="15.75" customHeight="1">
      <c r="H45" s="63"/>
    </row>
    <row r="46" ht="15.75" customHeight="1">
      <c r="H46" s="63"/>
    </row>
    <row r="47" ht="15.75" customHeight="1">
      <c r="H47" s="63"/>
    </row>
    <row r="48" ht="15.75" customHeight="1">
      <c r="H48" s="63"/>
    </row>
    <row r="49" ht="15.75" customHeight="1">
      <c r="H49" s="63"/>
    </row>
    <row r="50" ht="15.75" customHeight="1">
      <c r="H50" s="63"/>
    </row>
    <row r="51" ht="15.75" customHeight="1">
      <c r="H51" s="63"/>
    </row>
    <row r="52" ht="15.75" customHeight="1">
      <c r="H52" s="63"/>
    </row>
    <row r="53" ht="15.75" customHeight="1">
      <c r="H53" s="63"/>
    </row>
    <row r="54" ht="15.75" customHeight="1">
      <c r="H54" s="63"/>
    </row>
    <row r="55" ht="15.75" customHeight="1">
      <c r="H55" s="63"/>
    </row>
    <row r="56" ht="15.75" customHeight="1">
      <c r="H56" s="63"/>
    </row>
    <row r="57" ht="15.75" customHeight="1">
      <c r="H57" s="63"/>
    </row>
    <row r="58" ht="15.75" customHeight="1">
      <c r="H58" s="63"/>
    </row>
    <row r="59" ht="15.75" customHeight="1">
      <c r="H59" s="63"/>
    </row>
    <row r="60" ht="15.75" customHeight="1">
      <c r="H60" s="63"/>
    </row>
    <row r="61" ht="15.75" customHeight="1">
      <c r="H61" s="63"/>
    </row>
    <row r="62" ht="15.75" customHeight="1">
      <c r="H62" s="63"/>
    </row>
    <row r="63" ht="15.75" customHeight="1">
      <c r="H63" s="63"/>
    </row>
    <row r="64" ht="15.75" customHeight="1">
      <c r="H64" s="63"/>
    </row>
    <row r="65" ht="15.75" customHeight="1">
      <c r="H65" s="63"/>
    </row>
    <row r="66" ht="15.75" customHeight="1">
      <c r="H66" s="63"/>
    </row>
    <row r="67" ht="15.75" customHeight="1">
      <c r="H67" s="63"/>
    </row>
    <row r="68" ht="15.75" customHeight="1">
      <c r="H68" s="63"/>
    </row>
    <row r="69" ht="15.75" customHeight="1">
      <c r="H69" s="63"/>
    </row>
    <row r="70" ht="15.75" customHeight="1">
      <c r="H70" s="63"/>
    </row>
    <row r="71" ht="15.75" customHeight="1">
      <c r="H71" s="63"/>
    </row>
    <row r="72" ht="15.75" customHeight="1">
      <c r="H72" s="63"/>
    </row>
    <row r="73" ht="15.75" customHeight="1">
      <c r="H73" s="63"/>
    </row>
    <row r="74" ht="15.75" customHeight="1">
      <c r="H74" s="63"/>
    </row>
    <row r="75" ht="15.75" customHeight="1">
      <c r="H75" s="63"/>
    </row>
    <row r="76" ht="15.75" customHeight="1">
      <c r="H76" s="63"/>
    </row>
    <row r="77" ht="15.75" customHeight="1">
      <c r="H77" s="63"/>
    </row>
    <row r="78" ht="15.75" customHeight="1">
      <c r="H78" s="63"/>
    </row>
    <row r="79" ht="15.75" customHeight="1">
      <c r="H79" s="63"/>
    </row>
    <row r="80" ht="15.75" customHeight="1">
      <c r="H80" s="63"/>
    </row>
    <row r="81" ht="15.75" customHeight="1">
      <c r="H81" s="63"/>
    </row>
    <row r="82" ht="15.75" customHeight="1">
      <c r="H82" s="63"/>
    </row>
    <row r="83" ht="15.75" customHeight="1">
      <c r="H83" s="63"/>
    </row>
    <row r="84" ht="15.75" customHeight="1">
      <c r="H84" s="63"/>
    </row>
    <row r="85" ht="15.75" customHeight="1">
      <c r="H85" s="63"/>
    </row>
    <row r="86" ht="15.75" customHeight="1">
      <c r="H86" s="63"/>
    </row>
    <row r="87" ht="15.75" customHeight="1">
      <c r="H87" s="63"/>
    </row>
    <row r="88" ht="15.75" customHeight="1">
      <c r="H88" s="63"/>
    </row>
    <row r="89" ht="15.75" customHeight="1">
      <c r="H89" s="63"/>
    </row>
    <row r="90" ht="15.75" customHeight="1">
      <c r="H90" s="63"/>
    </row>
    <row r="91" ht="15.75" customHeight="1">
      <c r="H91" s="63"/>
    </row>
    <row r="92" ht="15.75" customHeight="1">
      <c r="H92" s="63"/>
    </row>
    <row r="93" ht="15.75" customHeight="1">
      <c r="H93" s="63"/>
    </row>
    <row r="94" ht="15.75" customHeight="1">
      <c r="H94" s="63"/>
    </row>
    <row r="95" ht="15.75" customHeight="1">
      <c r="H95" s="63"/>
    </row>
    <row r="96" ht="15.75" customHeight="1">
      <c r="H96" s="63"/>
    </row>
    <row r="97" ht="15.75" customHeight="1">
      <c r="H97" s="63"/>
    </row>
    <row r="98" ht="15.75" customHeight="1">
      <c r="H98" s="63"/>
    </row>
    <row r="99" ht="15.75" customHeight="1">
      <c r="H99" s="63"/>
    </row>
    <row r="100" ht="15.75" customHeight="1">
      <c r="H100" s="63"/>
    </row>
    <row r="101" ht="15.75" customHeight="1">
      <c r="H101" s="63"/>
    </row>
    <row r="102" ht="15.75" customHeight="1">
      <c r="H102" s="63"/>
    </row>
    <row r="103" ht="15.75" customHeight="1">
      <c r="H103" s="63"/>
    </row>
    <row r="104" ht="15.75" customHeight="1">
      <c r="H104" s="63"/>
    </row>
    <row r="105" ht="15.75" customHeight="1">
      <c r="H105" s="63"/>
    </row>
    <row r="106" ht="15.75" customHeight="1">
      <c r="H106" s="63"/>
    </row>
    <row r="107" ht="15.75" customHeight="1">
      <c r="H107" s="63"/>
    </row>
    <row r="108" ht="15.75" customHeight="1">
      <c r="H108" s="63"/>
    </row>
    <row r="109" ht="15.75" customHeight="1">
      <c r="H109" s="63"/>
    </row>
    <row r="110" ht="15.75" customHeight="1">
      <c r="H110" s="63"/>
    </row>
    <row r="111" ht="15.75" customHeight="1">
      <c r="H111" s="63"/>
    </row>
    <row r="112" ht="15.75" customHeight="1">
      <c r="H112" s="63"/>
    </row>
    <row r="113" ht="15.75" customHeight="1">
      <c r="H113" s="63"/>
    </row>
    <row r="114" ht="15.75" customHeight="1">
      <c r="H114" s="63"/>
    </row>
    <row r="115" ht="15.75" customHeight="1">
      <c r="H115" s="63"/>
    </row>
    <row r="116" ht="15.75" customHeight="1">
      <c r="H116" s="63"/>
    </row>
    <row r="117" ht="15.75" customHeight="1">
      <c r="H117" s="63"/>
    </row>
    <row r="118" ht="15.75" customHeight="1">
      <c r="H118" s="63"/>
    </row>
    <row r="119" ht="15.75" customHeight="1">
      <c r="H119" s="63"/>
    </row>
    <row r="120" ht="15.75" customHeight="1">
      <c r="H120" s="63"/>
    </row>
    <row r="121" ht="15.75" customHeight="1">
      <c r="H121" s="63"/>
    </row>
    <row r="122" ht="15.75" customHeight="1">
      <c r="H122" s="63"/>
    </row>
    <row r="123" ht="15.75" customHeight="1">
      <c r="H123" s="63"/>
    </row>
    <row r="124" ht="15.75" customHeight="1">
      <c r="H124" s="63"/>
    </row>
    <row r="125" ht="15.75" customHeight="1">
      <c r="H125" s="63"/>
    </row>
    <row r="126" ht="15.75" customHeight="1">
      <c r="H126" s="63"/>
    </row>
    <row r="127" ht="15.75" customHeight="1">
      <c r="H127" s="63"/>
    </row>
    <row r="128" ht="15.75" customHeight="1">
      <c r="H128" s="63"/>
    </row>
    <row r="129" ht="15.75" customHeight="1">
      <c r="H129" s="63"/>
    </row>
    <row r="130" ht="15.75" customHeight="1">
      <c r="H130" s="63"/>
    </row>
    <row r="131" ht="15.75" customHeight="1">
      <c r="H131" s="63"/>
    </row>
    <row r="132" ht="15.75" customHeight="1">
      <c r="H132" s="63"/>
    </row>
    <row r="133" ht="15.75" customHeight="1">
      <c r="H133" s="63"/>
    </row>
    <row r="134" ht="15.75" customHeight="1">
      <c r="H134" s="63"/>
    </row>
    <row r="135" ht="15.75" customHeight="1">
      <c r="H135" s="63"/>
    </row>
    <row r="136" ht="15.75" customHeight="1">
      <c r="H136" s="63"/>
    </row>
    <row r="137" ht="15.75" customHeight="1">
      <c r="H137" s="63"/>
    </row>
    <row r="138" ht="15.75" customHeight="1">
      <c r="H138" s="63"/>
    </row>
    <row r="139" ht="15.75" customHeight="1">
      <c r="H139" s="63"/>
    </row>
    <row r="140" ht="15.75" customHeight="1">
      <c r="H140" s="63"/>
    </row>
    <row r="141" ht="15.75" customHeight="1">
      <c r="H141" s="63"/>
    </row>
    <row r="142" ht="15.75" customHeight="1">
      <c r="H142" s="63"/>
    </row>
    <row r="143" ht="15.75" customHeight="1">
      <c r="H143" s="63"/>
    </row>
    <row r="144" ht="15.75" customHeight="1">
      <c r="H144" s="63"/>
    </row>
    <row r="145" ht="15.75" customHeight="1">
      <c r="H145" s="63"/>
    </row>
    <row r="146" ht="15.75" customHeight="1">
      <c r="H146" s="63"/>
    </row>
    <row r="147" ht="15.75" customHeight="1">
      <c r="H147" s="63"/>
    </row>
    <row r="148" ht="15.75" customHeight="1">
      <c r="H148" s="63"/>
    </row>
    <row r="149" ht="15.75" customHeight="1">
      <c r="H149" s="63"/>
    </row>
    <row r="150" ht="15.75" customHeight="1">
      <c r="H150" s="63"/>
    </row>
    <row r="151" ht="15.75" customHeight="1">
      <c r="H151" s="63"/>
    </row>
    <row r="152" ht="15.75" customHeight="1">
      <c r="H152" s="63"/>
    </row>
    <row r="153" ht="15.75" customHeight="1">
      <c r="H153" s="63"/>
    </row>
    <row r="154" ht="15.75" customHeight="1">
      <c r="H154" s="63"/>
    </row>
    <row r="155" ht="15.75" customHeight="1">
      <c r="H155" s="63"/>
    </row>
    <row r="156" ht="15.75" customHeight="1">
      <c r="H156" s="63"/>
    </row>
    <row r="157" ht="15.75" customHeight="1">
      <c r="H157" s="63"/>
    </row>
    <row r="158" ht="15.75" customHeight="1">
      <c r="H158" s="63"/>
    </row>
    <row r="159" ht="15.75" customHeight="1">
      <c r="H159" s="63"/>
    </row>
    <row r="160" ht="15.75" customHeight="1">
      <c r="H160" s="63"/>
    </row>
    <row r="161" ht="15.75" customHeight="1">
      <c r="H161" s="63"/>
    </row>
    <row r="162" ht="15.75" customHeight="1">
      <c r="H162" s="63"/>
    </row>
    <row r="163" ht="15.75" customHeight="1">
      <c r="H163" s="63"/>
    </row>
    <row r="164" ht="15.75" customHeight="1">
      <c r="H164" s="63"/>
    </row>
    <row r="165" ht="15.75" customHeight="1">
      <c r="H165" s="63"/>
    </row>
    <row r="166" ht="15.75" customHeight="1">
      <c r="H166" s="63"/>
    </row>
    <row r="167" ht="15.75" customHeight="1">
      <c r="H167" s="63"/>
    </row>
    <row r="168" ht="15.75" customHeight="1">
      <c r="H168" s="63"/>
    </row>
    <row r="169" ht="15.75" customHeight="1">
      <c r="H169" s="63"/>
    </row>
    <row r="170" ht="15.75" customHeight="1">
      <c r="H170" s="63"/>
    </row>
    <row r="171" ht="15.75" customHeight="1">
      <c r="H171" s="63"/>
    </row>
    <row r="172" ht="15.75" customHeight="1">
      <c r="H172" s="63"/>
    </row>
    <row r="173" ht="15.75" customHeight="1">
      <c r="H173" s="63"/>
    </row>
    <row r="174" ht="15.75" customHeight="1">
      <c r="H174" s="63"/>
    </row>
    <row r="175" ht="15.75" customHeight="1">
      <c r="H175" s="63"/>
    </row>
    <row r="176" ht="15.75" customHeight="1">
      <c r="H176" s="63"/>
    </row>
    <row r="177" ht="15.75" customHeight="1">
      <c r="H177" s="63"/>
    </row>
    <row r="178" ht="15.75" customHeight="1">
      <c r="H178" s="63"/>
    </row>
    <row r="179" ht="15.75" customHeight="1">
      <c r="H179" s="63"/>
    </row>
    <row r="180" ht="15.75" customHeight="1">
      <c r="H180" s="63"/>
    </row>
    <row r="181" ht="15.75" customHeight="1">
      <c r="H181" s="63"/>
    </row>
    <row r="182" ht="15.75" customHeight="1">
      <c r="H182" s="63"/>
    </row>
    <row r="183" ht="15.75" customHeight="1">
      <c r="H183" s="63"/>
    </row>
    <row r="184" ht="15.75" customHeight="1">
      <c r="H184" s="63"/>
    </row>
    <row r="185" ht="15.75" customHeight="1">
      <c r="H185" s="63"/>
    </row>
    <row r="186" ht="15.75" customHeight="1">
      <c r="H186" s="63"/>
    </row>
    <row r="187" ht="15.75" customHeight="1">
      <c r="H187" s="63"/>
    </row>
    <row r="188" ht="15.75" customHeight="1">
      <c r="H188" s="63"/>
    </row>
    <row r="189" ht="15.75" customHeight="1">
      <c r="H189" s="63"/>
    </row>
    <row r="190" ht="15.75" customHeight="1">
      <c r="H190" s="63"/>
    </row>
    <row r="191" ht="15.75" customHeight="1">
      <c r="H191" s="63"/>
    </row>
    <row r="192" ht="15.75" customHeight="1">
      <c r="H192" s="63"/>
    </row>
    <row r="193" ht="15.75" customHeight="1">
      <c r="H193" s="63"/>
    </row>
    <row r="194" ht="15.75" customHeight="1">
      <c r="H194" s="63"/>
    </row>
    <row r="195" ht="15.75" customHeight="1">
      <c r="H195" s="63"/>
    </row>
    <row r="196" ht="15.75" customHeight="1">
      <c r="H196" s="63"/>
    </row>
    <row r="197" ht="15.75" customHeight="1">
      <c r="H197" s="63"/>
    </row>
    <row r="198" ht="15.75" customHeight="1">
      <c r="H198" s="63"/>
    </row>
    <row r="199" ht="15.75" customHeight="1">
      <c r="H199" s="63"/>
    </row>
    <row r="200" ht="15.75" customHeight="1">
      <c r="H200" s="63"/>
    </row>
    <row r="201" ht="15.75" customHeight="1">
      <c r="H201" s="63"/>
    </row>
    <row r="202" ht="15.75" customHeight="1">
      <c r="H202" s="63"/>
    </row>
    <row r="203" ht="15.75" customHeight="1">
      <c r="H203" s="63"/>
    </row>
    <row r="204" ht="15.75" customHeight="1">
      <c r="H204" s="63"/>
    </row>
    <row r="205" ht="15.75" customHeight="1">
      <c r="H205" s="63"/>
    </row>
    <row r="206" ht="15.75" customHeight="1">
      <c r="H206" s="63"/>
    </row>
    <row r="207" ht="15.75" customHeight="1">
      <c r="H207" s="63"/>
    </row>
    <row r="208" ht="15.75" customHeight="1">
      <c r="H208" s="63"/>
    </row>
    <row r="209" ht="15.75" customHeight="1">
      <c r="H209" s="63"/>
    </row>
    <row r="210" ht="15.75" customHeight="1">
      <c r="H210" s="63"/>
    </row>
    <row r="211" ht="15.75" customHeight="1">
      <c r="H211" s="63"/>
    </row>
    <row r="212" ht="15.75" customHeight="1">
      <c r="H212" s="63"/>
    </row>
    <row r="213" ht="15.75" customHeight="1">
      <c r="H213" s="63"/>
    </row>
    <row r="214" ht="15.75" customHeight="1">
      <c r="H214" s="63"/>
    </row>
    <row r="215" ht="15.75" customHeight="1">
      <c r="H215" s="63"/>
    </row>
    <row r="216" ht="15.75" customHeight="1">
      <c r="H216" s="63"/>
    </row>
    <row r="217" ht="15.75" customHeight="1">
      <c r="H217" s="63"/>
    </row>
    <row r="218" ht="15.75" customHeight="1">
      <c r="H218" s="63"/>
    </row>
    <row r="219" ht="15.75" customHeight="1">
      <c r="H219" s="63"/>
    </row>
    <row r="220" ht="15.75" customHeight="1">
      <c r="H220" s="63"/>
    </row>
    <row r="221" ht="15.75" customHeight="1">
      <c r="H221" s="63"/>
    </row>
    <row r="222" ht="15.75" customHeight="1">
      <c r="H222" s="63"/>
    </row>
    <row r="223" ht="15.75" customHeight="1">
      <c r="H223" s="63"/>
    </row>
    <row r="224" ht="15.75" customHeight="1">
      <c r="H224" s="63"/>
    </row>
    <row r="225" ht="15.75" customHeight="1">
      <c r="H225" s="63"/>
    </row>
    <row r="226" ht="15.75" customHeight="1">
      <c r="H226" s="63"/>
    </row>
    <row r="227" ht="15.75" customHeight="1">
      <c r="H227" s="63"/>
    </row>
    <row r="228" ht="15.75" customHeight="1">
      <c r="H228" s="63"/>
    </row>
    <row r="229" ht="15.75" customHeight="1">
      <c r="H229" s="63"/>
    </row>
    <row r="230" ht="15.75" customHeight="1">
      <c r="H230" s="63"/>
    </row>
    <row r="231" ht="15.75" customHeight="1">
      <c r="H231" s="63"/>
    </row>
    <row r="232" ht="15.75" customHeight="1">
      <c r="H232" s="63"/>
    </row>
    <row r="233" ht="15.75" customHeight="1">
      <c r="H233" s="63"/>
    </row>
    <row r="234" ht="15.75" customHeight="1">
      <c r="H234" s="63"/>
    </row>
    <row r="235" ht="15.75" customHeight="1">
      <c r="H235" s="63"/>
    </row>
    <row r="236" ht="15.75" customHeight="1">
      <c r="H236" s="63"/>
    </row>
    <row r="237" ht="15.75" customHeight="1">
      <c r="H237" s="6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C3"/>
    <mergeCell ref="A13:E13"/>
    <mergeCell ref="A17:E17"/>
  </mergeCells>
  <conditionalFormatting sqref="K23:AN23 B34:B35 K35:AN35 K37:AN37">
    <cfRule type="colorScale" priority="1">
      <colorScale>
        <cfvo type="formula" val="0"/>
        <cfvo type="formula" val="0.1"/>
        <cfvo type="formula" val="0.2"/>
        <color rgb="FFE67C73"/>
        <color rgb="FFFFFFFF"/>
        <color rgb="FF57BB8A"/>
      </colorScale>
    </cfRule>
  </conditionalFormatting>
  <dataValidations>
    <dataValidation type="decimal" operator="lessThanOrEqual" allowBlank="1" showDropDown="1" showInputMessage="1" showErrorMessage="1" prompt="HOA fees must have a negative impact on rental income." sqref="C18">
      <formula1>0.0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2.29"/>
    <col customWidth="1" min="3" max="3" width="10.86"/>
    <col customWidth="1" min="4" max="4" width="11.14"/>
    <col customWidth="1" min="5" max="5" width="9.14"/>
    <col customWidth="1" min="6" max="6" width="15.57"/>
    <col customWidth="1" min="7" max="7" width="1.86"/>
    <col customWidth="1" min="8" max="8" width="0.43"/>
    <col customWidth="1" min="9" max="9" width="1.86"/>
    <col customWidth="1" min="10" max="10" width="21.71"/>
  </cols>
  <sheetData>
    <row r="1" ht="15.75" customHeight="1">
      <c r="A1" s="41" t="s">
        <v>119</v>
      </c>
      <c r="B1" s="42" t="s">
        <v>72</v>
      </c>
      <c r="C1" s="3"/>
      <c r="D1" s="3"/>
      <c r="E1" s="3"/>
      <c r="F1" s="3"/>
      <c r="G1" s="3"/>
      <c r="H1" s="43"/>
      <c r="I1" s="3"/>
      <c r="J1" s="4" t="s">
        <v>73</v>
      </c>
      <c r="K1" s="44">
        <v>0.0</v>
      </c>
      <c r="L1" s="44">
        <v>1.0</v>
      </c>
      <c r="M1" s="44">
        <v>2.0</v>
      </c>
      <c r="N1" s="44">
        <v>3.0</v>
      </c>
      <c r="O1" s="44">
        <v>4.0</v>
      </c>
      <c r="P1" s="44">
        <v>5.0</v>
      </c>
      <c r="Q1" s="44">
        <v>6.0</v>
      </c>
      <c r="R1" s="44">
        <v>7.0</v>
      </c>
      <c r="S1" s="44">
        <v>8.0</v>
      </c>
      <c r="T1" s="44">
        <v>9.0</v>
      </c>
      <c r="U1" s="44">
        <v>10.0</v>
      </c>
      <c r="V1" s="44">
        <v>11.0</v>
      </c>
      <c r="W1" s="44">
        <v>12.0</v>
      </c>
      <c r="X1" s="44">
        <v>13.0</v>
      </c>
      <c r="Y1" s="44">
        <v>14.0</v>
      </c>
      <c r="Z1" s="44">
        <v>15.0</v>
      </c>
      <c r="AA1" s="44">
        <v>16.0</v>
      </c>
      <c r="AB1" s="44">
        <v>17.0</v>
      </c>
      <c r="AC1" s="44">
        <v>18.0</v>
      </c>
      <c r="AD1" s="44">
        <v>19.0</v>
      </c>
      <c r="AE1" s="44">
        <v>20.0</v>
      </c>
      <c r="AF1" s="44">
        <v>21.0</v>
      </c>
      <c r="AG1" s="44">
        <v>22.0</v>
      </c>
      <c r="AH1" s="44">
        <v>23.0</v>
      </c>
      <c r="AI1" s="44">
        <v>24.0</v>
      </c>
      <c r="AJ1" s="44">
        <v>25.0</v>
      </c>
      <c r="AK1" s="44">
        <v>26.0</v>
      </c>
      <c r="AL1" s="44">
        <v>27.0</v>
      </c>
      <c r="AM1" s="44">
        <v>28.0</v>
      </c>
      <c r="AN1" s="44">
        <v>29.0</v>
      </c>
      <c r="AO1" s="3"/>
      <c r="AP1" s="3"/>
      <c r="AQ1" s="3"/>
      <c r="AR1" s="3"/>
      <c r="AS1" s="3"/>
      <c r="AT1" s="3"/>
      <c r="AU1" s="3"/>
      <c r="AV1" s="3"/>
    </row>
    <row r="2" ht="15.75" customHeight="1">
      <c r="A2" s="3"/>
      <c r="B2" s="3"/>
      <c r="C2" s="3"/>
      <c r="D2" s="3"/>
      <c r="E2" s="3"/>
      <c r="F2" s="3"/>
      <c r="G2" s="3"/>
      <c r="H2" s="4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75" customHeight="1">
      <c r="A3" s="1" t="s">
        <v>0</v>
      </c>
      <c r="B3" s="2"/>
      <c r="C3" s="2"/>
      <c r="D3" s="3"/>
      <c r="E3" s="3"/>
      <c r="F3" s="3"/>
      <c r="G3" s="3"/>
      <c r="H3" s="43"/>
      <c r="I3" s="3"/>
      <c r="J3" s="4" t="s">
        <v>74</v>
      </c>
      <c r="K3" s="3" t="s">
        <v>75</v>
      </c>
      <c r="L3" s="3" t="s">
        <v>76</v>
      </c>
      <c r="M3" s="3" t="s">
        <v>77</v>
      </c>
      <c r="N3" s="3" t="s">
        <v>78</v>
      </c>
      <c r="O3" s="3" t="s">
        <v>79</v>
      </c>
      <c r="P3" s="3" t="s">
        <v>80</v>
      </c>
      <c r="Q3" s="3" t="s">
        <v>81</v>
      </c>
      <c r="R3" s="3" t="s">
        <v>82</v>
      </c>
      <c r="S3" s="3" t="s">
        <v>83</v>
      </c>
      <c r="T3" s="3" t="s">
        <v>84</v>
      </c>
      <c r="U3" s="3" t="s">
        <v>85</v>
      </c>
      <c r="V3" s="3" t="s">
        <v>86</v>
      </c>
      <c r="W3" s="3" t="s">
        <v>87</v>
      </c>
      <c r="X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D3" s="3" t="s">
        <v>94</v>
      </c>
      <c r="AE3" s="3" t="s">
        <v>95</v>
      </c>
      <c r="AF3" s="3" t="s">
        <v>96</v>
      </c>
      <c r="AG3" s="3" t="s">
        <v>97</v>
      </c>
      <c r="AH3" s="3" t="s">
        <v>98</v>
      </c>
      <c r="AI3" s="3" t="s">
        <v>99</v>
      </c>
      <c r="AJ3" s="3" t="s">
        <v>100</v>
      </c>
      <c r="AK3" s="3" t="s">
        <v>101</v>
      </c>
      <c r="AL3" s="3" t="s">
        <v>102</v>
      </c>
      <c r="AM3" s="3" t="s">
        <v>103</v>
      </c>
      <c r="AN3" s="3" t="s">
        <v>104</v>
      </c>
      <c r="AO3" s="3"/>
      <c r="AP3" s="3"/>
      <c r="AQ3" s="3"/>
      <c r="AR3" s="3"/>
      <c r="AS3" s="3"/>
      <c r="AT3" s="3"/>
      <c r="AU3" s="3"/>
      <c r="AV3" s="3"/>
    </row>
    <row r="4" ht="15.75" customHeight="1">
      <c r="A4" s="4" t="s">
        <v>1</v>
      </c>
      <c r="B4" s="5">
        <v>500000.0</v>
      </c>
      <c r="C4" s="6"/>
      <c r="D4" s="45">
        <v>0.0</v>
      </c>
      <c r="E4" s="3"/>
      <c r="F4" s="3"/>
      <c r="G4" s="3"/>
      <c r="H4" s="43"/>
      <c r="I4" s="3"/>
      <c r="J4" s="4" t="s">
        <v>23</v>
      </c>
      <c r="K4" s="13">
        <f t="shared" ref="K4:AN4" si="1">$B$15*(1+$F$15)^K$1</f>
        <v>25200</v>
      </c>
      <c r="L4" s="13">
        <f t="shared" si="1"/>
        <v>30769.2</v>
      </c>
      <c r="M4" s="13">
        <f t="shared" si="1"/>
        <v>37569.1932</v>
      </c>
      <c r="N4" s="13">
        <f t="shared" si="1"/>
        <v>45871.9849</v>
      </c>
      <c r="O4" s="13">
        <f t="shared" si="1"/>
        <v>56009.69356</v>
      </c>
      <c r="P4" s="13">
        <f t="shared" si="1"/>
        <v>68387.83584</v>
      </c>
      <c r="Q4" s="13">
        <f t="shared" si="1"/>
        <v>83501.54756</v>
      </c>
      <c r="R4" s="13">
        <f t="shared" si="1"/>
        <v>101955.3896</v>
      </c>
      <c r="S4" s="13">
        <f t="shared" si="1"/>
        <v>124487.5307</v>
      </c>
      <c r="T4" s="13">
        <f t="shared" si="1"/>
        <v>151999.2749</v>
      </c>
      <c r="U4" s="13">
        <f t="shared" si="1"/>
        <v>185591.1147</v>
      </c>
      <c r="V4" s="13">
        <f t="shared" si="1"/>
        <v>226606.751</v>
      </c>
      <c r="W4" s="13">
        <f t="shared" si="1"/>
        <v>276686.843</v>
      </c>
      <c r="X4" s="13">
        <f t="shared" si="1"/>
        <v>337834.6353</v>
      </c>
      <c r="Y4" s="13">
        <f t="shared" si="1"/>
        <v>412496.0897</v>
      </c>
      <c r="Z4" s="13">
        <f t="shared" si="1"/>
        <v>503657.7256</v>
      </c>
      <c r="AA4" s="13">
        <f t="shared" si="1"/>
        <v>614966.0829</v>
      </c>
      <c r="AB4" s="13">
        <f t="shared" si="1"/>
        <v>750873.5873</v>
      </c>
      <c r="AC4" s="13">
        <f t="shared" si="1"/>
        <v>916816.65</v>
      </c>
      <c r="AD4" s="13">
        <f t="shared" si="1"/>
        <v>1119433.13</v>
      </c>
      <c r="AE4" s="13">
        <f t="shared" si="1"/>
        <v>1366827.851</v>
      </c>
      <c r="AF4" s="13">
        <f t="shared" si="1"/>
        <v>1668896.807</v>
      </c>
      <c r="AG4" s="13">
        <f t="shared" si="1"/>
        <v>2037723.001</v>
      </c>
      <c r="AH4" s="13">
        <f t="shared" si="1"/>
        <v>2488059.784</v>
      </c>
      <c r="AI4" s="13">
        <f t="shared" si="1"/>
        <v>3037920.996</v>
      </c>
      <c r="AJ4" s="13">
        <f t="shared" si="1"/>
        <v>3709301.536</v>
      </c>
      <c r="AK4" s="13">
        <f t="shared" si="1"/>
        <v>4529057.176</v>
      </c>
      <c r="AL4" s="13">
        <f t="shared" si="1"/>
        <v>5529978.812</v>
      </c>
      <c r="AM4" s="13">
        <f t="shared" si="1"/>
        <v>6752104.129</v>
      </c>
      <c r="AN4" s="13">
        <f t="shared" si="1"/>
        <v>8244319.142</v>
      </c>
      <c r="AO4" s="3"/>
      <c r="AP4" s="3"/>
      <c r="AQ4" s="3"/>
      <c r="AR4" s="3"/>
      <c r="AS4" s="3"/>
      <c r="AT4" s="3"/>
      <c r="AU4" s="3"/>
      <c r="AV4" s="3"/>
    </row>
    <row r="5" ht="15.75" customHeight="1">
      <c r="A5" s="4" t="s">
        <v>3</v>
      </c>
      <c r="B5" s="46">
        <v>489999.0</v>
      </c>
      <c r="C5" s="9">
        <f>B5/B4</f>
        <v>0.979998</v>
      </c>
      <c r="D5" s="47"/>
      <c r="E5" s="3"/>
      <c r="G5" s="3"/>
      <c r="H5" s="43"/>
      <c r="I5" s="3"/>
      <c r="J5" s="4" t="s">
        <v>37</v>
      </c>
      <c r="K5" s="13">
        <f t="shared" ref="K5:AN5" si="2">-max($F$24,($D$24-K1*($D$24-$F$24)/$E$24))*K4</f>
        <v>-2016</v>
      </c>
      <c r="L5" s="13">
        <f t="shared" si="2"/>
        <v>-2461.536</v>
      </c>
      <c r="M5" s="13">
        <f t="shared" si="2"/>
        <v>-6011.070912</v>
      </c>
      <c r="N5" s="13">
        <f t="shared" si="2"/>
        <v>-11009.27638</v>
      </c>
      <c r="O5" s="13">
        <f t="shared" si="2"/>
        <v>-17923.10194</v>
      </c>
      <c r="P5" s="13">
        <f t="shared" si="2"/>
        <v>-27355.13433</v>
      </c>
      <c r="Q5" s="13">
        <f t="shared" si="2"/>
        <v>-40080.74283</v>
      </c>
      <c r="R5" s="13">
        <f t="shared" si="2"/>
        <v>-57095.01816</v>
      </c>
      <c r="S5" s="13">
        <f t="shared" si="2"/>
        <v>-79672.01962</v>
      </c>
      <c r="T5" s="13">
        <f t="shared" si="2"/>
        <v>-109439.478</v>
      </c>
      <c r="U5" s="13">
        <f t="shared" si="2"/>
        <v>-148472.8918</v>
      </c>
      <c r="V5" s="13">
        <f t="shared" si="2"/>
        <v>-199413.9409</v>
      </c>
      <c r="W5" s="13">
        <f t="shared" si="2"/>
        <v>-265619.3693</v>
      </c>
      <c r="X5" s="13">
        <f t="shared" si="2"/>
        <v>-351348.0207</v>
      </c>
      <c r="Y5" s="13">
        <f t="shared" si="2"/>
        <v>-461995.6205</v>
      </c>
      <c r="Z5" s="13">
        <f t="shared" si="2"/>
        <v>-604389.2707</v>
      </c>
      <c r="AA5" s="13">
        <f t="shared" si="2"/>
        <v>-787156.5861</v>
      </c>
      <c r="AB5" s="13">
        <f t="shared" si="2"/>
        <v>-1021188.079</v>
      </c>
      <c r="AC5" s="13">
        <f t="shared" si="2"/>
        <v>-1320215.976</v>
      </c>
      <c r="AD5" s="13">
        <f t="shared" si="2"/>
        <v>-1701538.357</v>
      </c>
      <c r="AE5" s="13">
        <f t="shared" si="2"/>
        <v>-2186924.562</v>
      </c>
      <c r="AF5" s="13">
        <f t="shared" si="2"/>
        <v>-2803746.635</v>
      </c>
      <c r="AG5" s="13">
        <f t="shared" si="2"/>
        <v>-3586392.481</v>
      </c>
      <c r="AH5" s="13">
        <f t="shared" si="2"/>
        <v>-4578030.002</v>
      </c>
      <c r="AI5" s="13">
        <f t="shared" si="2"/>
        <v>-5832808.313</v>
      </c>
      <c r="AJ5" s="13">
        <f t="shared" si="2"/>
        <v>-7418603.073</v>
      </c>
      <c r="AK5" s="13">
        <f t="shared" si="2"/>
        <v>-9420438.926</v>
      </c>
      <c r="AL5" s="13">
        <f t="shared" si="2"/>
        <v>-11944754.23</v>
      </c>
      <c r="AM5" s="13">
        <f t="shared" si="2"/>
        <v>-15124713.25</v>
      </c>
      <c r="AN5" s="13">
        <f t="shared" si="2"/>
        <v>-19126820.41</v>
      </c>
      <c r="AO5" s="3"/>
      <c r="AP5" s="3"/>
      <c r="AQ5" s="3"/>
      <c r="AR5" s="3"/>
      <c r="AS5" s="3"/>
      <c r="AT5" s="3"/>
      <c r="AU5" s="3"/>
      <c r="AV5" s="3"/>
    </row>
    <row r="6" ht="15.75" customHeight="1">
      <c r="A6" s="4" t="s">
        <v>5</v>
      </c>
      <c r="B6" s="11">
        <f>B5*C6</f>
        <v>122499.75</v>
      </c>
      <c r="C6" s="48">
        <v>0.25</v>
      </c>
      <c r="D6" s="3"/>
      <c r="E6" s="3"/>
      <c r="F6" s="3"/>
      <c r="G6" s="3"/>
      <c r="H6" s="43"/>
      <c r="I6" s="3"/>
      <c r="J6" s="34" t="s">
        <v>39</v>
      </c>
      <c r="K6" s="35">
        <f t="shared" ref="K6:AN6" si="3">$B$25*(1+$F$25)^K$1</f>
        <v>0</v>
      </c>
      <c r="L6" s="35">
        <f t="shared" si="3"/>
        <v>0</v>
      </c>
      <c r="M6" s="35">
        <f t="shared" si="3"/>
        <v>0</v>
      </c>
      <c r="N6" s="35">
        <f t="shared" si="3"/>
        <v>0</v>
      </c>
      <c r="O6" s="35">
        <f t="shared" si="3"/>
        <v>0</v>
      </c>
      <c r="P6" s="35">
        <f t="shared" si="3"/>
        <v>0</v>
      </c>
      <c r="Q6" s="35">
        <f t="shared" si="3"/>
        <v>0</v>
      </c>
      <c r="R6" s="35">
        <f t="shared" si="3"/>
        <v>0</v>
      </c>
      <c r="S6" s="35">
        <f t="shared" si="3"/>
        <v>0</v>
      </c>
      <c r="T6" s="35">
        <f t="shared" si="3"/>
        <v>0</v>
      </c>
      <c r="U6" s="35">
        <f t="shared" si="3"/>
        <v>0</v>
      </c>
      <c r="V6" s="35">
        <f t="shared" si="3"/>
        <v>0</v>
      </c>
      <c r="W6" s="35">
        <f t="shared" si="3"/>
        <v>0</v>
      </c>
      <c r="X6" s="35">
        <f t="shared" si="3"/>
        <v>0</v>
      </c>
      <c r="Y6" s="35">
        <f t="shared" si="3"/>
        <v>0</v>
      </c>
      <c r="Z6" s="35">
        <f t="shared" si="3"/>
        <v>0</v>
      </c>
      <c r="AA6" s="35">
        <f t="shared" si="3"/>
        <v>0</v>
      </c>
      <c r="AB6" s="35">
        <f t="shared" si="3"/>
        <v>0</v>
      </c>
      <c r="AC6" s="35">
        <f t="shared" si="3"/>
        <v>0</v>
      </c>
      <c r="AD6" s="35">
        <f t="shared" si="3"/>
        <v>0</v>
      </c>
      <c r="AE6" s="35">
        <f t="shared" si="3"/>
        <v>0</v>
      </c>
      <c r="AF6" s="35">
        <f t="shared" si="3"/>
        <v>0</v>
      </c>
      <c r="AG6" s="35">
        <f t="shared" si="3"/>
        <v>0</v>
      </c>
      <c r="AH6" s="35">
        <f t="shared" si="3"/>
        <v>0</v>
      </c>
      <c r="AI6" s="35">
        <f t="shared" si="3"/>
        <v>0</v>
      </c>
      <c r="AJ6" s="35">
        <f t="shared" si="3"/>
        <v>0</v>
      </c>
      <c r="AK6" s="35">
        <f t="shared" si="3"/>
        <v>0</v>
      </c>
      <c r="AL6" s="35">
        <f t="shared" si="3"/>
        <v>0</v>
      </c>
      <c r="AM6" s="35">
        <f t="shared" si="3"/>
        <v>0</v>
      </c>
      <c r="AN6" s="35">
        <f t="shared" si="3"/>
        <v>0</v>
      </c>
      <c r="AO6" s="3"/>
      <c r="AP6" s="3"/>
      <c r="AQ6" s="3"/>
      <c r="AR6" s="3"/>
      <c r="AS6" s="3"/>
      <c r="AT6" s="3"/>
      <c r="AU6" s="3"/>
      <c r="AV6" s="3"/>
    </row>
    <row r="7" ht="15.75" customHeight="1">
      <c r="A7" s="4" t="s">
        <v>7</v>
      </c>
      <c r="B7" s="13">
        <f>MAX(2500,C7*B5)</f>
        <v>9799.98</v>
      </c>
      <c r="C7" s="49">
        <v>0.02</v>
      </c>
      <c r="D7" s="3"/>
      <c r="E7" s="3"/>
      <c r="F7" s="3"/>
      <c r="G7" s="3"/>
      <c r="H7" s="43"/>
      <c r="I7" s="3"/>
      <c r="J7" s="4" t="s">
        <v>105</v>
      </c>
      <c r="K7" s="13">
        <f t="shared" ref="K7:AN7" si="4">SUM(K4:K6)</f>
        <v>23184</v>
      </c>
      <c r="L7" s="13">
        <f t="shared" si="4"/>
        <v>28307.664</v>
      </c>
      <c r="M7" s="13">
        <f t="shared" si="4"/>
        <v>31558.12229</v>
      </c>
      <c r="N7" s="13">
        <f t="shared" si="4"/>
        <v>34862.70852</v>
      </c>
      <c r="O7" s="13">
        <f t="shared" si="4"/>
        <v>38086.59162</v>
      </c>
      <c r="P7" s="13">
        <f t="shared" si="4"/>
        <v>41032.7015</v>
      </c>
      <c r="Q7" s="13">
        <f t="shared" si="4"/>
        <v>43420.80473</v>
      </c>
      <c r="R7" s="13">
        <f t="shared" si="4"/>
        <v>44860.37141</v>
      </c>
      <c r="S7" s="13">
        <f t="shared" si="4"/>
        <v>44815.51104</v>
      </c>
      <c r="T7" s="13">
        <f t="shared" si="4"/>
        <v>42559.79698</v>
      </c>
      <c r="U7" s="13">
        <f t="shared" si="4"/>
        <v>37118.22294</v>
      </c>
      <c r="V7" s="13">
        <f t="shared" si="4"/>
        <v>27192.81013</v>
      </c>
      <c r="W7" s="13">
        <f t="shared" si="4"/>
        <v>11067.47372</v>
      </c>
      <c r="X7" s="13">
        <f t="shared" si="4"/>
        <v>-13513.38541</v>
      </c>
      <c r="Y7" s="13">
        <f t="shared" si="4"/>
        <v>-49499.53077</v>
      </c>
      <c r="Z7" s="13">
        <f t="shared" si="4"/>
        <v>-100731.5451</v>
      </c>
      <c r="AA7" s="13">
        <f t="shared" si="4"/>
        <v>-172190.5032</v>
      </c>
      <c r="AB7" s="13">
        <f t="shared" si="4"/>
        <v>-270314.4914</v>
      </c>
      <c r="AC7" s="13">
        <f t="shared" si="4"/>
        <v>-403399.326</v>
      </c>
      <c r="AD7" s="13">
        <f t="shared" si="4"/>
        <v>-582105.2274</v>
      </c>
      <c r="AE7" s="13">
        <f t="shared" si="4"/>
        <v>-820096.7108</v>
      </c>
      <c r="AF7" s="13">
        <f t="shared" si="4"/>
        <v>-1134849.828</v>
      </c>
      <c r="AG7" s="13">
        <f t="shared" si="4"/>
        <v>-1548669.481</v>
      </c>
      <c r="AH7" s="13">
        <f t="shared" si="4"/>
        <v>-2089970.218</v>
      </c>
      <c r="AI7" s="13">
        <f t="shared" si="4"/>
        <v>-2794887.316</v>
      </c>
      <c r="AJ7" s="13">
        <f t="shared" si="4"/>
        <v>-3709301.536</v>
      </c>
      <c r="AK7" s="13">
        <f t="shared" si="4"/>
        <v>-4891381.75</v>
      </c>
      <c r="AL7" s="13">
        <f t="shared" si="4"/>
        <v>-6414775.422</v>
      </c>
      <c r="AM7" s="13">
        <f t="shared" si="4"/>
        <v>-8372609.12</v>
      </c>
      <c r="AN7" s="13">
        <f t="shared" si="4"/>
        <v>-10882501.27</v>
      </c>
      <c r="AO7" s="3"/>
      <c r="AP7" s="3"/>
      <c r="AQ7" s="3"/>
      <c r="AR7" s="3"/>
      <c r="AS7" s="3"/>
      <c r="AT7" s="3"/>
      <c r="AU7" s="3"/>
      <c r="AV7" s="3"/>
    </row>
    <row r="8" ht="15.75" customHeight="1">
      <c r="A8" s="4"/>
      <c r="B8" s="23"/>
      <c r="C8" s="3"/>
      <c r="D8" s="3"/>
      <c r="E8" s="3"/>
      <c r="F8" s="3"/>
      <c r="G8" s="3"/>
      <c r="H8" s="4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ht="15.75" customHeight="1">
      <c r="A9" s="14" t="s">
        <v>106</v>
      </c>
      <c r="B9" s="50">
        <v>0.0</v>
      </c>
      <c r="C9" s="16"/>
      <c r="D9" s="3"/>
      <c r="E9" s="3"/>
      <c r="F9" s="3"/>
      <c r="G9" s="3"/>
      <c r="H9" s="43"/>
      <c r="I9" s="3"/>
      <c r="J9" s="4" t="s">
        <v>107</v>
      </c>
      <c r="K9" s="51">
        <f t="shared" ref="K9:AN9" si="5">$B$18</f>
        <v>0</v>
      </c>
      <c r="L9" s="51">
        <f t="shared" si="5"/>
        <v>0</v>
      </c>
      <c r="M9" s="51">
        <f t="shared" si="5"/>
        <v>0</v>
      </c>
      <c r="N9" s="51">
        <f t="shared" si="5"/>
        <v>0</v>
      </c>
      <c r="O9" s="51">
        <f t="shared" si="5"/>
        <v>0</v>
      </c>
      <c r="P9" s="51">
        <f t="shared" si="5"/>
        <v>0</v>
      </c>
      <c r="Q9" s="51">
        <f t="shared" si="5"/>
        <v>0</v>
      </c>
      <c r="R9" s="51">
        <f t="shared" si="5"/>
        <v>0</v>
      </c>
      <c r="S9" s="51">
        <f t="shared" si="5"/>
        <v>0</v>
      </c>
      <c r="T9" s="51">
        <f t="shared" si="5"/>
        <v>0</v>
      </c>
      <c r="U9" s="51">
        <f t="shared" si="5"/>
        <v>0</v>
      </c>
      <c r="V9" s="51">
        <f t="shared" si="5"/>
        <v>0</v>
      </c>
      <c r="W9" s="51">
        <f t="shared" si="5"/>
        <v>0</v>
      </c>
      <c r="X9" s="51">
        <f t="shared" si="5"/>
        <v>0</v>
      </c>
      <c r="Y9" s="51">
        <f t="shared" si="5"/>
        <v>0</v>
      </c>
      <c r="Z9" s="51">
        <f t="shared" si="5"/>
        <v>0</v>
      </c>
      <c r="AA9" s="51">
        <f t="shared" si="5"/>
        <v>0</v>
      </c>
      <c r="AB9" s="51">
        <f t="shared" si="5"/>
        <v>0</v>
      </c>
      <c r="AC9" s="51">
        <f t="shared" si="5"/>
        <v>0</v>
      </c>
      <c r="AD9" s="51">
        <f t="shared" si="5"/>
        <v>0</v>
      </c>
      <c r="AE9" s="51">
        <f t="shared" si="5"/>
        <v>0</v>
      </c>
      <c r="AF9" s="51">
        <f t="shared" si="5"/>
        <v>0</v>
      </c>
      <c r="AG9" s="51">
        <f t="shared" si="5"/>
        <v>0</v>
      </c>
      <c r="AH9" s="51">
        <f t="shared" si="5"/>
        <v>0</v>
      </c>
      <c r="AI9" s="51">
        <f t="shared" si="5"/>
        <v>0</v>
      </c>
      <c r="AJ9" s="51">
        <f t="shared" si="5"/>
        <v>0</v>
      </c>
      <c r="AK9" s="51">
        <f t="shared" si="5"/>
        <v>0</v>
      </c>
      <c r="AL9" s="51">
        <f t="shared" si="5"/>
        <v>0</v>
      </c>
      <c r="AM9" s="51">
        <f t="shared" si="5"/>
        <v>0</v>
      </c>
      <c r="AN9" s="51">
        <f t="shared" si="5"/>
        <v>0</v>
      </c>
      <c r="AO9" s="3"/>
      <c r="AP9" s="3"/>
      <c r="AQ9" s="3"/>
      <c r="AR9" s="3"/>
      <c r="AS9" s="3"/>
      <c r="AT9" s="3"/>
      <c r="AU9" s="3"/>
      <c r="AV9" s="3"/>
    </row>
    <row r="10" ht="15.75" customHeight="1">
      <c r="A10" s="4" t="s">
        <v>12</v>
      </c>
      <c r="B10" s="13">
        <f>SUM(B6:B9)</f>
        <v>132299.73</v>
      </c>
      <c r="C10" s="6"/>
      <c r="D10" s="3"/>
      <c r="E10" s="3"/>
      <c r="F10" s="3"/>
      <c r="G10" s="3"/>
      <c r="H10" s="43"/>
      <c r="I10" s="3"/>
      <c r="J10" s="4" t="s">
        <v>26</v>
      </c>
      <c r="K10" s="13">
        <f t="shared" ref="K10:AN10" si="6">$B$19*(1+$F$19)^K$1</f>
        <v>60</v>
      </c>
      <c r="L10" s="13">
        <f t="shared" si="6"/>
        <v>60</v>
      </c>
      <c r="M10" s="13">
        <f t="shared" si="6"/>
        <v>60</v>
      </c>
      <c r="N10" s="13">
        <f t="shared" si="6"/>
        <v>60</v>
      </c>
      <c r="O10" s="13">
        <f t="shared" si="6"/>
        <v>60</v>
      </c>
      <c r="P10" s="13">
        <f t="shared" si="6"/>
        <v>60</v>
      </c>
      <c r="Q10" s="13">
        <f t="shared" si="6"/>
        <v>60</v>
      </c>
      <c r="R10" s="13">
        <f t="shared" si="6"/>
        <v>60</v>
      </c>
      <c r="S10" s="13">
        <f t="shared" si="6"/>
        <v>60</v>
      </c>
      <c r="T10" s="13">
        <f t="shared" si="6"/>
        <v>60</v>
      </c>
      <c r="U10" s="13">
        <f t="shared" si="6"/>
        <v>60</v>
      </c>
      <c r="V10" s="13">
        <f t="shared" si="6"/>
        <v>60</v>
      </c>
      <c r="W10" s="13">
        <f t="shared" si="6"/>
        <v>60</v>
      </c>
      <c r="X10" s="13">
        <f t="shared" si="6"/>
        <v>60</v>
      </c>
      <c r="Y10" s="13">
        <f t="shared" si="6"/>
        <v>60</v>
      </c>
      <c r="Z10" s="13">
        <f t="shared" si="6"/>
        <v>60</v>
      </c>
      <c r="AA10" s="13">
        <f t="shared" si="6"/>
        <v>60</v>
      </c>
      <c r="AB10" s="13">
        <f t="shared" si="6"/>
        <v>60</v>
      </c>
      <c r="AC10" s="13">
        <f t="shared" si="6"/>
        <v>60</v>
      </c>
      <c r="AD10" s="13">
        <f t="shared" si="6"/>
        <v>60</v>
      </c>
      <c r="AE10" s="13">
        <f t="shared" si="6"/>
        <v>60</v>
      </c>
      <c r="AF10" s="13">
        <f t="shared" si="6"/>
        <v>60</v>
      </c>
      <c r="AG10" s="13">
        <f t="shared" si="6"/>
        <v>60</v>
      </c>
      <c r="AH10" s="13">
        <f t="shared" si="6"/>
        <v>60</v>
      </c>
      <c r="AI10" s="13">
        <f t="shared" si="6"/>
        <v>60</v>
      </c>
      <c r="AJ10" s="13">
        <f t="shared" si="6"/>
        <v>60</v>
      </c>
      <c r="AK10" s="13">
        <f t="shared" si="6"/>
        <v>60</v>
      </c>
      <c r="AL10" s="13">
        <f t="shared" si="6"/>
        <v>60</v>
      </c>
      <c r="AM10" s="13">
        <f t="shared" si="6"/>
        <v>60</v>
      </c>
      <c r="AN10" s="13">
        <f t="shared" si="6"/>
        <v>60</v>
      </c>
      <c r="AO10" s="3"/>
      <c r="AP10" s="3"/>
      <c r="AQ10" s="3"/>
      <c r="AR10" s="3"/>
      <c r="AS10" s="3"/>
      <c r="AT10" s="3"/>
      <c r="AU10" s="3"/>
      <c r="AV10" s="3"/>
    </row>
    <row r="11" ht="15.75" customHeight="1">
      <c r="A11" s="4" t="s">
        <v>14</v>
      </c>
      <c r="B11" s="13">
        <f>B5-B6+B7+B9</f>
        <v>377299.23</v>
      </c>
      <c r="C11" s="6"/>
      <c r="D11" s="3"/>
      <c r="E11" s="3"/>
      <c r="F11" s="3"/>
      <c r="G11" s="3"/>
      <c r="H11" s="43"/>
      <c r="I11" s="3"/>
      <c r="J11" s="4" t="s">
        <v>35</v>
      </c>
      <c r="K11" s="13">
        <f t="shared" ref="K11:AN11" si="7">$B$23*(1+$F$23)^K$1</f>
        <v>3000</v>
      </c>
      <c r="L11" s="13">
        <f t="shared" si="7"/>
        <v>3000</v>
      </c>
      <c r="M11" s="13">
        <f t="shared" si="7"/>
        <v>3000</v>
      </c>
      <c r="N11" s="13">
        <f t="shared" si="7"/>
        <v>3000</v>
      </c>
      <c r="O11" s="13">
        <f t="shared" si="7"/>
        <v>3000</v>
      </c>
      <c r="P11" s="13">
        <f t="shared" si="7"/>
        <v>3000</v>
      </c>
      <c r="Q11" s="13">
        <f t="shared" si="7"/>
        <v>3000</v>
      </c>
      <c r="R11" s="13">
        <f t="shared" si="7"/>
        <v>3000</v>
      </c>
      <c r="S11" s="13">
        <f t="shared" si="7"/>
        <v>3000</v>
      </c>
      <c r="T11" s="13">
        <f t="shared" si="7"/>
        <v>3000</v>
      </c>
      <c r="U11" s="13">
        <f t="shared" si="7"/>
        <v>3000</v>
      </c>
      <c r="V11" s="13">
        <f t="shared" si="7"/>
        <v>3000</v>
      </c>
      <c r="W11" s="13">
        <f t="shared" si="7"/>
        <v>3000</v>
      </c>
      <c r="X11" s="13">
        <f t="shared" si="7"/>
        <v>3000</v>
      </c>
      <c r="Y11" s="13">
        <f t="shared" si="7"/>
        <v>3000</v>
      </c>
      <c r="Z11" s="13">
        <f t="shared" si="7"/>
        <v>3000</v>
      </c>
      <c r="AA11" s="13">
        <f t="shared" si="7"/>
        <v>3000</v>
      </c>
      <c r="AB11" s="13">
        <f t="shared" si="7"/>
        <v>3000</v>
      </c>
      <c r="AC11" s="13">
        <f t="shared" si="7"/>
        <v>3000</v>
      </c>
      <c r="AD11" s="13">
        <f t="shared" si="7"/>
        <v>3000</v>
      </c>
      <c r="AE11" s="13">
        <f t="shared" si="7"/>
        <v>3000</v>
      </c>
      <c r="AF11" s="13">
        <f t="shared" si="7"/>
        <v>3000</v>
      </c>
      <c r="AG11" s="13">
        <f t="shared" si="7"/>
        <v>3000</v>
      </c>
      <c r="AH11" s="13">
        <f t="shared" si="7"/>
        <v>3000</v>
      </c>
      <c r="AI11" s="13">
        <f t="shared" si="7"/>
        <v>3000</v>
      </c>
      <c r="AJ11" s="13">
        <f t="shared" si="7"/>
        <v>3000</v>
      </c>
      <c r="AK11" s="13">
        <f t="shared" si="7"/>
        <v>3000</v>
      </c>
      <c r="AL11" s="13">
        <f t="shared" si="7"/>
        <v>3000</v>
      </c>
      <c r="AM11" s="13">
        <f t="shared" si="7"/>
        <v>3000</v>
      </c>
      <c r="AN11" s="13">
        <f t="shared" si="7"/>
        <v>3000</v>
      </c>
      <c r="AO11" s="3"/>
      <c r="AP11" s="3"/>
      <c r="AQ11" s="3"/>
      <c r="AR11" s="3"/>
      <c r="AS11" s="3"/>
      <c r="AT11" s="3"/>
      <c r="AU11" s="3"/>
      <c r="AV11" s="3"/>
    </row>
    <row r="12" ht="15.75" customHeight="1">
      <c r="A12" s="3"/>
      <c r="B12" s="3"/>
      <c r="C12" s="3"/>
      <c r="D12" s="3"/>
      <c r="E12" s="3"/>
      <c r="F12" s="3"/>
      <c r="G12" s="3"/>
      <c r="H12" s="43"/>
      <c r="I12" s="3"/>
      <c r="J12" s="4" t="s">
        <v>28</v>
      </c>
      <c r="K12" s="13">
        <f t="shared" ref="K12:AN12" si="8">$B$20*(1+$F$20)^K$1</f>
        <v>0</v>
      </c>
      <c r="L12" s="13">
        <f t="shared" si="8"/>
        <v>0</v>
      </c>
      <c r="M12" s="13">
        <f t="shared" si="8"/>
        <v>0</v>
      </c>
      <c r="N12" s="13">
        <f t="shared" si="8"/>
        <v>0</v>
      </c>
      <c r="O12" s="13">
        <f t="shared" si="8"/>
        <v>0</v>
      </c>
      <c r="P12" s="13">
        <f t="shared" si="8"/>
        <v>0</v>
      </c>
      <c r="Q12" s="13">
        <f t="shared" si="8"/>
        <v>0</v>
      </c>
      <c r="R12" s="13">
        <f t="shared" si="8"/>
        <v>0</v>
      </c>
      <c r="S12" s="13">
        <f t="shared" si="8"/>
        <v>0</v>
      </c>
      <c r="T12" s="13">
        <f t="shared" si="8"/>
        <v>0</v>
      </c>
      <c r="U12" s="13">
        <f t="shared" si="8"/>
        <v>0</v>
      </c>
      <c r="V12" s="13">
        <f t="shared" si="8"/>
        <v>0</v>
      </c>
      <c r="W12" s="13">
        <f t="shared" si="8"/>
        <v>0</v>
      </c>
      <c r="X12" s="13">
        <f t="shared" si="8"/>
        <v>0</v>
      </c>
      <c r="Y12" s="13">
        <f t="shared" si="8"/>
        <v>0</v>
      </c>
      <c r="Z12" s="13">
        <f t="shared" si="8"/>
        <v>0</v>
      </c>
      <c r="AA12" s="13">
        <f t="shared" si="8"/>
        <v>0</v>
      </c>
      <c r="AB12" s="13">
        <f t="shared" si="8"/>
        <v>0</v>
      </c>
      <c r="AC12" s="13">
        <f t="shared" si="8"/>
        <v>0</v>
      </c>
      <c r="AD12" s="13">
        <f t="shared" si="8"/>
        <v>0</v>
      </c>
      <c r="AE12" s="13">
        <f t="shared" si="8"/>
        <v>0</v>
      </c>
      <c r="AF12" s="13">
        <f t="shared" si="8"/>
        <v>0</v>
      </c>
      <c r="AG12" s="13">
        <f t="shared" si="8"/>
        <v>0</v>
      </c>
      <c r="AH12" s="13">
        <f t="shared" si="8"/>
        <v>0</v>
      </c>
      <c r="AI12" s="13">
        <f t="shared" si="8"/>
        <v>0</v>
      </c>
      <c r="AJ12" s="13">
        <f t="shared" si="8"/>
        <v>0</v>
      </c>
      <c r="AK12" s="13">
        <f t="shared" si="8"/>
        <v>0</v>
      </c>
      <c r="AL12" s="13">
        <f t="shared" si="8"/>
        <v>0</v>
      </c>
      <c r="AM12" s="13">
        <f t="shared" si="8"/>
        <v>0</v>
      </c>
      <c r="AN12" s="13">
        <f t="shared" si="8"/>
        <v>0</v>
      </c>
      <c r="AO12" s="3"/>
      <c r="AP12" s="3"/>
      <c r="AQ12" s="3"/>
      <c r="AR12" s="3"/>
      <c r="AS12" s="3"/>
      <c r="AT12" s="3"/>
      <c r="AU12" s="3"/>
      <c r="AV12" s="3"/>
    </row>
    <row r="13" ht="15.75" customHeight="1">
      <c r="A13" s="18" t="s">
        <v>16</v>
      </c>
      <c r="B13" s="2"/>
      <c r="C13" s="2"/>
      <c r="D13" s="2"/>
      <c r="E13" s="2"/>
      <c r="F13" s="19" t="s">
        <v>17</v>
      </c>
      <c r="G13" s="3"/>
      <c r="H13" s="43"/>
      <c r="I13" s="3"/>
      <c r="J13" s="4" t="s">
        <v>31</v>
      </c>
      <c r="K13" s="13">
        <f t="shared" ref="K13:AN13" si="9">$B$21*(1+$F$21)^K$1</f>
        <v>300</v>
      </c>
      <c r="L13" s="13">
        <f t="shared" si="9"/>
        <v>300</v>
      </c>
      <c r="M13" s="13">
        <f t="shared" si="9"/>
        <v>300</v>
      </c>
      <c r="N13" s="13">
        <f t="shared" si="9"/>
        <v>300</v>
      </c>
      <c r="O13" s="13">
        <f t="shared" si="9"/>
        <v>300</v>
      </c>
      <c r="P13" s="13">
        <f t="shared" si="9"/>
        <v>300</v>
      </c>
      <c r="Q13" s="13">
        <f t="shared" si="9"/>
        <v>300</v>
      </c>
      <c r="R13" s="13">
        <f t="shared" si="9"/>
        <v>300</v>
      </c>
      <c r="S13" s="13">
        <f t="shared" si="9"/>
        <v>300</v>
      </c>
      <c r="T13" s="13">
        <f t="shared" si="9"/>
        <v>300</v>
      </c>
      <c r="U13" s="13">
        <f t="shared" si="9"/>
        <v>300</v>
      </c>
      <c r="V13" s="13">
        <f t="shared" si="9"/>
        <v>300</v>
      </c>
      <c r="W13" s="13">
        <f t="shared" si="9"/>
        <v>300</v>
      </c>
      <c r="X13" s="13">
        <f t="shared" si="9"/>
        <v>300</v>
      </c>
      <c r="Y13" s="13">
        <f t="shared" si="9"/>
        <v>300</v>
      </c>
      <c r="Z13" s="13">
        <f t="shared" si="9"/>
        <v>300</v>
      </c>
      <c r="AA13" s="13">
        <f t="shared" si="9"/>
        <v>300</v>
      </c>
      <c r="AB13" s="13">
        <f t="shared" si="9"/>
        <v>300</v>
      </c>
      <c r="AC13" s="13">
        <f t="shared" si="9"/>
        <v>300</v>
      </c>
      <c r="AD13" s="13">
        <f t="shared" si="9"/>
        <v>300</v>
      </c>
      <c r="AE13" s="13">
        <f t="shared" si="9"/>
        <v>300</v>
      </c>
      <c r="AF13" s="13">
        <f t="shared" si="9"/>
        <v>300</v>
      </c>
      <c r="AG13" s="13">
        <f t="shared" si="9"/>
        <v>300</v>
      </c>
      <c r="AH13" s="13">
        <f t="shared" si="9"/>
        <v>300</v>
      </c>
      <c r="AI13" s="13">
        <f t="shared" si="9"/>
        <v>300</v>
      </c>
      <c r="AJ13" s="13">
        <f t="shared" si="9"/>
        <v>300</v>
      </c>
      <c r="AK13" s="13">
        <f t="shared" si="9"/>
        <v>300</v>
      </c>
      <c r="AL13" s="13">
        <f t="shared" si="9"/>
        <v>300</v>
      </c>
      <c r="AM13" s="13">
        <f t="shared" si="9"/>
        <v>300</v>
      </c>
      <c r="AN13" s="13">
        <f t="shared" si="9"/>
        <v>300</v>
      </c>
      <c r="AO13" s="3"/>
      <c r="AP13" s="3"/>
      <c r="AQ13" s="3"/>
      <c r="AR13" s="3"/>
      <c r="AS13" s="3"/>
      <c r="AT13" s="3"/>
      <c r="AU13" s="3"/>
      <c r="AV13" s="3"/>
    </row>
    <row r="14" ht="15.75" customHeight="1">
      <c r="A14" s="21"/>
      <c r="B14" s="21" t="s">
        <v>18</v>
      </c>
      <c r="C14" s="21" t="s">
        <v>19</v>
      </c>
      <c r="D14" s="21" t="s">
        <v>20</v>
      </c>
      <c r="E14" s="21" t="s">
        <v>21</v>
      </c>
      <c r="F14" s="21"/>
      <c r="G14" s="3"/>
      <c r="H14" s="43"/>
      <c r="I14" s="3"/>
      <c r="J14" s="4" t="s">
        <v>33</v>
      </c>
      <c r="K14" s="13">
        <f t="shared" ref="K14:AN14" si="10">$B$22*(1+$F$22)^K$1</f>
        <v>0</v>
      </c>
      <c r="L14" s="13">
        <f t="shared" si="10"/>
        <v>0</v>
      </c>
      <c r="M14" s="13">
        <f t="shared" si="10"/>
        <v>0</v>
      </c>
      <c r="N14" s="13">
        <f t="shared" si="10"/>
        <v>0</v>
      </c>
      <c r="O14" s="13">
        <f t="shared" si="10"/>
        <v>0</v>
      </c>
      <c r="P14" s="13">
        <f t="shared" si="10"/>
        <v>0</v>
      </c>
      <c r="Q14" s="13">
        <f t="shared" si="10"/>
        <v>0</v>
      </c>
      <c r="R14" s="13">
        <f t="shared" si="10"/>
        <v>0</v>
      </c>
      <c r="S14" s="13">
        <f t="shared" si="10"/>
        <v>0</v>
      </c>
      <c r="T14" s="13">
        <f t="shared" si="10"/>
        <v>0</v>
      </c>
      <c r="U14" s="13">
        <f t="shared" si="10"/>
        <v>0</v>
      </c>
      <c r="V14" s="13">
        <f t="shared" si="10"/>
        <v>0</v>
      </c>
      <c r="W14" s="13">
        <f t="shared" si="10"/>
        <v>0</v>
      </c>
      <c r="X14" s="13">
        <f t="shared" si="10"/>
        <v>0</v>
      </c>
      <c r="Y14" s="13">
        <f t="shared" si="10"/>
        <v>0</v>
      </c>
      <c r="Z14" s="13">
        <f t="shared" si="10"/>
        <v>0</v>
      </c>
      <c r="AA14" s="13">
        <f t="shared" si="10"/>
        <v>0</v>
      </c>
      <c r="AB14" s="13">
        <f t="shared" si="10"/>
        <v>0</v>
      </c>
      <c r="AC14" s="13">
        <f t="shared" si="10"/>
        <v>0</v>
      </c>
      <c r="AD14" s="13">
        <f t="shared" si="10"/>
        <v>0</v>
      </c>
      <c r="AE14" s="13">
        <f t="shared" si="10"/>
        <v>0</v>
      </c>
      <c r="AF14" s="13">
        <f t="shared" si="10"/>
        <v>0</v>
      </c>
      <c r="AG14" s="13">
        <f t="shared" si="10"/>
        <v>0</v>
      </c>
      <c r="AH14" s="13">
        <f t="shared" si="10"/>
        <v>0</v>
      </c>
      <c r="AI14" s="13">
        <f t="shared" si="10"/>
        <v>0</v>
      </c>
      <c r="AJ14" s="13">
        <f t="shared" si="10"/>
        <v>0</v>
      </c>
      <c r="AK14" s="13">
        <f t="shared" si="10"/>
        <v>0</v>
      </c>
      <c r="AL14" s="13">
        <f t="shared" si="10"/>
        <v>0</v>
      </c>
      <c r="AM14" s="13">
        <f t="shared" si="10"/>
        <v>0</v>
      </c>
      <c r="AN14" s="13">
        <f t="shared" si="10"/>
        <v>0</v>
      </c>
      <c r="AO14" s="3"/>
      <c r="AP14" s="3"/>
      <c r="AQ14" s="3"/>
      <c r="AR14" s="3"/>
      <c r="AS14" s="3"/>
      <c r="AT14" s="3"/>
      <c r="AU14" s="3"/>
      <c r="AV14" s="3"/>
    </row>
    <row r="15" ht="15.75" customHeight="1">
      <c r="A15" s="4" t="s">
        <v>23</v>
      </c>
      <c r="B15" s="13">
        <f>C15*12</f>
        <v>25200</v>
      </c>
      <c r="C15" s="11">
        <v>2100.0</v>
      </c>
      <c r="D15" s="52">
        <v>2100.0</v>
      </c>
      <c r="E15" s="49">
        <v>1.0</v>
      </c>
      <c r="F15" s="48">
        <v>0.221</v>
      </c>
      <c r="G15" s="3"/>
      <c r="H15" s="43"/>
      <c r="I15" s="3"/>
      <c r="J15" s="34" t="s">
        <v>108</v>
      </c>
      <c r="K15" s="35">
        <f t="shared" ref="K15:AN15" si="11">SUM(K9:K14)</f>
        <v>3360</v>
      </c>
      <c r="L15" s="35">
        <f t="shared" si="11"/>
        <v>3360</v>
      </c>
      <c r="M15" s="35">
        <f t="shared" si="11"/>
        <v>3360</v>
      </c>
      <c r="N15" s="35">
        <f t="shared" si="11"/>
        <v>3360</v>
      </c>
      <c r="O15" s="35">
        <f t="shared" si="11"/>
        <v>3360</v>
      </c>
      <c r="P15" s="35">
        <f t="shared" si="11"/>
        <v>3360</v>
      </c>
      <c r="Q15" s="35">
        <f t="shared" si="11"/>
        <v>3360</v>
      </c>
      <c r="R15" s="35">
        <f t="shared" si="11"/>
        <v>3360</v>
      </c>
      <c r="S15" s="35">
        <f t="shared" si="11"/>
        <v>3360</v>
      </c>
      <c r="T15" s="35">
        <f t="shared" si="11"/>
        <v>3360</v>
      </c>
      <c r="U15" s="35">
        <f t="shared" si="11"/>
        <v>3360</v>
      </c>
      <c r="V15" s="35">
        <f t="shared" si="11"/>
        <v>3360</v>
      </c>
      <c r="W15" s="35">
        <f t="shared" si="11"/>
        <v>3360</v>
      </c>
      <c r="X15" s="35">
        <f t="shared" si="11"/>
        <v>3360</v>
      </c>
      <c r="Y15" s="35">
        <f t="shared" si="11"/>
        <v>3360</v>
      </c>
      <c r="Z15" s="35">
        <f t="shared" si="11"/>
        <v>3360</v>
      </c>
      <c r="AA15" s="35">
        <f t="shared" si="11"/>
        <v>3360</v>
      </c>
      <c r="AB15" s="35">
        <f t="shared" si="11"/>
        <v>3360</v>
      </c>
      <c r="AC15" s="35">
        <f t="shared" si="11"/>
        <v>3360</v>
      </c>
      <c r="AD15" s="35">
        <f t="shared" si="11"/>
        <v>3360</v>
      </c>
      <c r="AE15" s="35">
        <f t="shared" si="11"/>
        <v>3360</v>
      </c>
      <c r="AF15" s="35">
        <f t="shared" si="11"/>
        <v>3360</v>
      </c>
      <c r="AG15" s="35">
        <f t="shared" si="11"/>
        <v>3360</v>
      </c>
      <c r="AH15" s="35">
        <f t="shared" si="11"/>
        <v>3360</v>
      </c>
      <c r="AI15" s="35">
        <f t="shared" si="11"/>
        <v>3360</v>
      </c>
      <c r="AJ15" s="35">
        <f t="shared" si="11"/>
        <v>3360</v>
      </c>
      <c r="AK15" s="35">
        <f t="shared" si="11"/>
        <v>3360</v>
      </c>
      <c r="AL15" s="35">
        <f t="shared" si="11"/>
        <v>3360</v>
      </c>
      <c r="AM15" s="35">
        <f t="shared" si="11"/>
        <v>3360</v>
      </c>
      <c r="AN15" s="35">
        <f t="shared" si="11"/>
        <v>3360</v>
      </c>
      <c r="AO15" s="3"/>
      <c r="AP15" s="3"/>
      <c r="AQ15" s="3"/>
      <c r="AR15" s="3"/>
      <c r="AS15" s="3"/>
      <c r="AT15" s="3"/>
      <c r="AU15" s="3"/>
      <c r="AV15" s="3"/>
    </row>
    <row r="16" ht="15.75" customHeight="1">
      <c r="A16" s="3"/>
      <c r="B16" s="3"/>
      <c r="C16" s="3"/>
      <c r="D16" s="3"/>
      <c r="E16" s="3"/>
      <c r="F16" s="3"/>
      <c r="G16" s="3"/>
      <c r="H16" s="43"/>
      <c r="I16" s="3"/>
      <c r="J16" s="4" t="s">
        <v>43</v>
      </c>
      <c r="K16" s="13">
        <f t="shared" ref="K16:AN16" si="12">K15+K7</f>
        <v>26544</v>
      </c>
      <c r="L16" s="13">
        <f t="shared" si="12"/>
        <v>31667.664</v>
      </c>
      <c r="M16" s="13">
        <f t="shared" si="12"/>
        <v>34918.12229</v>
      </c>
      <c r="N16" s="13">
        <f t="shared" si="12"/>
        <v>38222.70852</v>
      </c>
      <c r="O16" s="13">
        <f t="shared" si="12"/>
        <v>41446.59162</v>
      </c>
      <c r="P16" s="13">
        <f t="shared" si="12"/>
        <v>44392.7015</v>
      </c>
      <c r="Q16" s="13">
        <f t="shared" si="12"/>
        <v>46780.80473</v>
      </c>
      <c r="R16" s="13">
        <f t="shared" si="12"/>
        <v>48220.37141</v>
      </c>
      <c r="S16" s="13">
        <f t="shared" si="12"/>
        <v>48175.51104</v>
      </c>
      <c r="T16" s="13">
        <f t="shared" si="12"/>
        <v>45919.79698</v>
      </c>
      <c r="U16" s="13">
        <f t="shared" si="12"/>
        <v>40478.22294</v>
      </c>
      <c r="V16" s="13">
        <f t="shared" si="12"/>
        <v>30552.81013</v>
      </c>
      <c r="W16" s="13">
        <f t="shared" si="12"/>
        <v>14427.47372</v>
      </c>
      <c r="X16" s="13">
        <f t="shared" si="12"/>
        <v>-10153.38541</v>
      </c>
      <c r="Y16" s="13">
        <f t="shared" si="12"/>
        <v>-46139.53077</v>
      </c>
      <c r="Z16" s="13">
        <f t="shared" si="12"/>
        <v>-97371.54512</v>
      </c>
      <c r="AA16" s="13">
        <f t="shared" si="12"/>
        <v>-168830.5032</v>
      </c>
      <c r="AB16" s="13">
        <f t="shared" si="12"/>
        <v>-266954.4914</v>
      </c>
      <c r="AC16" s="13">
        <f t="shared" si="12"/>
        <v>-400039.326</v>
      </c>
      <c r="AD16" s="13">
        <f t="shared" si="12"/>
        <v>-578745.2274</v>
      </c>
      <c r="AE16" s="13">
        <f t="shared" si="12"/>
        <v>-816736.7108</v>
      </c>
      <c r="AF16" s="13">
        <f t="shared" si="12"/>
        <v>-1131489.828</v>
      </c>
      <c r="AG16" s="13">
        <f t="shared" si="12"/>
        <v>-1545309.481</v>
      </c>
      <c r="AH16" s="13">
        <f t="shared" si="12"/>
        <v>-2086610.218</v>
      </c>
      <c r="AI16" s="13">
        <f t="shared" si="12"/>
        <v>-2791527.316</v>
      </c>
      <c r="AJ16" s="13">
        <f t="shared" si="12"/>
        <v>-3705941.536</v>
      </c>
      <c r="AK16" s="13">
        <f t="shared" si="12"/>
        <v>-4888021.75</v>
      </c>
      <c r="AL16" s="13">
        <f t="shared" si="12"/>
        <v>-6411415.422</v>
      </c>
      <c r="AM16" s="13">
        <f t="shared" si="12"/>
        <v>-8369249.12</v>
      </c>
      <c r="AN16" s="13">
        <f t="shared" si="12"/>
        <v>-10879141.27</v>
      </c>
      <c r="AO16" s="3"/>
      <c r="AP16" s="3"/>
      <c r="AQ16" s="3"/>
      <c r="AR16" s="3"/>
      <c r="AS16" s="3"/>
      <c r="AT16" s="3"/>
      <c r="AU16" s="3"/>
      <c r="AV16" s="3"/>
    </row>
    <row r="17" ht="15.75" customHeight="1">
      <c r="A17" s="18" t="s">
        <v>25</v>
      </c>
      <c r="B17" s="2"/>
      <c r="C17" s="2"/>
      <c r="D17" s="2"/>
      <c r="E17" s="2"/>
      <c r="F17" s="19" t="s">
        <v>17</v>
      </c>
      <c r="G17" s="3"/>
      <c r="H17" s="4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ht="15.75" customHeight="1">
      <c r="A18" s="4" t="s">
        <v>107</v>
      </c>
      <c r="B18" s="30">
        <f>12*C18</f>
        <v>0</v>
      </c>
      <c r="C18" s="53">
        <v>0.0</v>
      </c>
      <c r="D18" s="54"/>
      <c r="E18" s="3"/>
      <c r="F18" s="54"/>
      <c r="G18" s="3"/>
      <c r="H18" s="43"/>
      <c r="I18" s="3"/>
      <c r="J18" s="4" t="s">
        <v>49</v>
      </c>
      <c r="K18" s="13">
        <f t="shared" ref="K18:AN18" si="13">$B$31</f>
        <v>-19088.50527</v>
      </c>
      <c r="L18" s="13">
        <f t="shared" si="13"/>
        <v>-19088.50527</v>
      </c>
      <c r="M18" s="13">
        <f t="shared" si="13"/>
        <v>-19088.50527</v>
      </c>
      <c r="N18" s="13">
        <f t="shared" si="13"/>
        <v>-19088.50527</v>
      </c>
      <c r="O18" s="13">
        <f t="shared" si="13"/>
        <v>-19088.50527</v>
      </c>
      <c r="P18" s="13">
        <f t="shared" si="13"/>
        <v>-19088.50527</v>
      </c>
      <c r="Q18" s="13">
        <f t="shared" si="13"/>
        <v>-19088.50527</v>
      </c>
      <c r="R18" s="13">
        <f t="shared" si="13"/>
        <v>-19088.50527</v>
      </c>
      <c r="S18" s="13">
        <f t="shared" si="13"/>
        <v>-19088.50527</v>
      </c>
      <c r="T18" s="13">
        <f t="shared" si="13"/>
        <v>-19088.50527</v>
      </c>
      <c r="U18" s="13">
        <f t="shared" si="13"/>
        <v>-19088.50527</v>
      </c>
      <c r="V18" s="13">
        <f t="shared" si="13"/>
        <v>-19088.50527</v>
      </c>
      <c r="W18" s="13">
        <f t="shared" si="13"/>
        <v>-19088.50527</v>
      </c>
      <c r="X18" s="13">
        <f t="shared" si="13"/>
        <v>-19088.50527</v>
      </c>
      <c r="Y18" s="13">
        <f t="shared" si="13"/>
        <v>-19088.50527</v>
      </c>
      <c r="Z18" s="13">
        <f t="shared" si="13"/>
        <v>-19088.50527</v>
      </c>
      <c r="AA18" s="13">
        <f t="shared" si="13"/>
        <v>-19088.50527</v>
      </c>
      <c r="AB18" s="13">
        <f t="shared" si="13"/>
        <v>-19088.50527</v>
      </c>
      <c r="AC18" s="13">
        <f t="shared" si="13"/>
        <v>-19088.50527</v>
      </c>
      <c r="AD18" s="13">
        <f t="shared" si="13"/>
        <v>-19088.50527</v>
      </c>
      <c r="AE18" s="13">
        <f t="shared" si="13"/>
        <v>-19088.50527</v>
      </c>
      <c r="AF18" s="13">
        <f t="shared" si="13"/>
        <v>-19088.50527</v>
      </c>
      <c r="AG18" s="13">
        <f t="shared" si="13"/>
        <v>-19088.50527</v>
      </c>
      <c r="AH18" s="13">
        <f t="shared" si="13"/>
        <v>-19088.50527</v>
      </c>
      <c r="AI18" s="13">
        <f t="shared" si="13"/>
        <v>-19088.50527</v>
      </c>
      <c r="AJ18" s="13">
        <f t="shared" si="13"/>
        <v>-19088.50527</v>
      </c>
      <c r="AK18" s="13">
        <f t="shared" si="13"/>
        <v>-19088.50527</v>
      </c>
      <c r="AL18" s="13">
        <f t="shared" si="13"/>
        <v>-19088.50527</v>
      </c>
      <c r="AM18" s="13">
        <f t="shared" si="13"/>
        <v>-19088.50527</v>
      </c>
      <c r="AN18" s="13">
        <f t="shared" si="13"/>
        <v>-19088.50527</v>
      </c>
      <c r="AO18" s="3"/>
      <c r="AP18" s="3"/>
      <c r="AQ18" s="3"/>
      <c r="AR18" s="3"/>
      <c r="AS18" s="3"/>
      <c r="AT18" s="3"/>
      <c r="AU18" s="3"/>
      <c r="AV18" s="3"/>
    </row>
    <row r="19" ht="15.75" customHeight="1">
      <c r="A19" s="29" t="s">
        <v>26</v>
      </c>
      <c r="B19" s="64">
        <v>60.0</v>
      </c>
      <c r="C19" s="30">
        <f t="shared" ref="C19:C25" si="15">B19/12</f>
        <v>5</v>
      </c>
      <c r="D19" s="48">
        <v>0.0</v>
      </c>
      <c r="E19" s="3"/>
      <c r="F19" s="55">
        <f t="shared" ref="F19:F23" si="16">$D$4</f>
        <v>0</v>
      </c>
      <c r="G19" s="3"/>
      <c r="H19" s="43"/>
      <c r="I19" s="3"/>
      <c r="J19" s="56" t="s">
        <v>51</v>
      </c>
      <c r="K19" s="57">
        <f t="shared" ref="K19:AN19" si="14">-IF(K34/K31&gt;=0.2,0,$D$32*$B$11)</f>
        <v>0</v>
      </c>
      <c r="L19" s="57">
        <f t="shared" si="14"/>
        <v>0</v>
      </c>
      <c r="M19" s="57">
        <f t="shared" si="14"/>
        <v>0</v>
      </c>
      <c r="N19" s="57">
        <f t="shared" si="14"/>
        <v>0</v>
      </c>
      <c r="O19" s="57">
        <f t="shared" si="14"/>
        <v>0</v>
      </c>
      <c r="P19" s="57">
        <f t="shared" si="14"/>
        <v>0</v>
      </c>
      <c r="Q19" s="57">
        <f t="shared" si="14"/>
        <v>0</v>
      </c>
      <c r="R19" s="57">
        <f t="shared" si="14"/>
        <v>0</v>
      </c>
      <c r="S19" s="57">
        <f t="shared" si="14"/>
        <v>0</v>
      </c>
      <c r="T19" s="57">
        <f t="shared" si="14"/>
        <v>0</v>
      </c>
      <c r="U19" s="57">
        <f t="shared" si="14"/>
        <v>0</v>
      </c>
      <c r="V19" s="57">
        <f t="shared" si="14"/>
        <v>0</v>
      </c>
      <c r="W19" s="57">
        <f t="shared" si="14"/>
        <v>0</v>
      </c>
      <c r="X19" s="57">
        <f t="shared" si="14"/>
        <v>0</v>
      </c>
      <c r="Y19" s="57">
        <f t="shared" si="14"/>
        <v>0</v>
      </c>
      <c r="Z19" s="57">
        <f t="shared" si="14"/>
        <v>0</v>
      </c>
      <c r="AA19" s="57">
        <f t="shared" si="14"/>
        <v>0</v>
      </c>
      <c r="AB19" s="57">
        <f t="shared" si="14"/>
        <v>0</v>
      </c>
      <c r="AC19" s="57">
        <f t="shared" si="14"/>
        <v>0</v>
      </c>
      <c r="AD19" s="57">
        <f t="shared" si="14"/>
        <v>0</v>
      </c>
      <c r="AE19" s="57">
        <f t="shared" si="14"/>
        <v>0</v>
      </c>
      <c r="AF19" s="57">
        <f t="shared" si="14"/>
        <v>0</v>
      </c>
      <c r="AG19" s="57">
        <f t="shared" si="14"/>
        <v>0</v>
      </c>
      <c r="AH19" s="57">
        <f t="shared" si="14"/>
        <v>0</v>
      </c>
      <c r="AI19" s="57">
        <f t="shared" si="14"/>
        <v>0</v>
      </c>
      <c r="AJ19" s="57">
        <f t="shared" si="14"/>
        <v>0</v>
      </c>
      <c r="AK19" s="17">
        <f t="shared" si="14"/>
        <v>0</v>
      </c>
      <c r="AL19" s="17">
        <f t="shared" si="14"/>
        <v>0</v>
      </c>
      <c r="AM19" s="17">
        <f t="shared" si="14"/>
        <v>0</v>
      </c>
      <c r="AN19" s="17">
        <f t="shared" si="14"/>
        <v>0</v>
      </c>
      <c r="AO19" s="3"/>
      <c r="AP19" s="3"/>
      <c r="AQ19" s="3"/>
      <c r="AR19" s="3"/>
      <c r="AS19" s="3"/>
      <c r="AT19" s="3"/>
      <c r="AU19" s="3"/>
      <c r="AV19" s="3"/>
    </row>
    <row r="20" ht="15.75" customHeight="1">
      <c r="A20" s="29" t="s">
        <v>28</v>
      </c>
      <c r="B20" s="64">
        <v>0.0</v>
      </c>
      <c r="C20" s="31">
        <f t="shared" si="15"/>
        <v>0</v>
      </c>
      <c r="D20" s="22">
        <v>0.0</v>
      </c>
      <c r="E20" s="3" t="s">
        <v>29</v>
      </c>
      <c r="F20" s="55">
        <f t="shared" si="16"/>
        <v>0</v>
      </c>
      <c r="G20" s="3"/>
      <c r="H20" s="43"/>
      <c r="I20" s="3"/>
      <c r="J20" s="34" t="s">
        <v>109</v>
      </c>
      <c r="K20" s="35">
        <f t="shared" ref="K20:AN20" si="17">SUM(K18:K19)</f>
        <v>-19088.50527</v>
      </c>
      <c r="L20" s="35">
        <f t="shared" si="17"/>
        <v>-19088.50527</v>
      </c>
      <c r="M20" s="35">
        <f t="shared" si="17"/>
        <v>-19088.50527</v>
      </c>
      <c r="N20" s="35">
        <f t="shared" si="17"/>
        <v>-19088.50527</v>
      </c>
      <c r="O20" s="35">
        <f t="shared" si="17"/>
        <v>-19088.50527</v>
      </c>
      <c r="P20" s="35">
        <f t="shared" si="17"/>
        <v>-19088.50527</v>
      </c>
      <c r="Q20" s="35">
        <f t="shared" si="17"/>
        <v>-19088.50527</v>
      </c>
      <c r="R20" s="35">
        <f t="shared" si="17"/>
        <v>-19088.50527</v>
      </c>
      <c r="S20" s="35">
        <f t="shared" si="17"/>
        <v>-19088.50527</v>
      </c>
      <c r="T20" s="35">
        <f t="shared" si="17"/>
        <v>-19088.50527</v>
      </c>
      <c r="U20" s="35">
        <f t="shared" si="17"/>
        <v>-19088.50527</v>
      </c>
      <c r="V20" s="35">
        <f t="shared" si="17"/>
        <v>-19088.50527</v>
      </c>
      <c r="W20" s="35">
        <f t="shared" si="17"/>
        <v>-19088.50527</v>
      </c>
      <c r="X20" s="35">
        <f t="shared" si="17"/>
        <v>-19088.50527</v>
      </c>
      <c r="Y20" s="35">
        <f t="shared" si="17"/>
        <v>-19088.50527</v>
      </c>
      <c r="Z20" s="35">
        <f t="shared" si="17"/>
        <v>-19088.50527</v>
      </c>
      <c r="AA20" s="35">
        <f t="shared" si="17"/>
        <v>-19088.50527</v>
      </c>
      <c r="AB20" s="35">
        <f t="shared" si="17"/>
        <v>-19088.50527</v>
      </c>
      <c r="AC20" s="35">
        <f t="shared" si="17"/>
        <v>-19088.50527</v>
      </c>
      <c r="AD20" s="35">
        <f t="shared" si="17"/>
        <v>-19088.50527</v>
      </c>
      <c r="AE20" s="35">
        <f t="shared" si="17"/>
        <v>-19088.50527</v>
      </c>
      <c r="AF20" s="35">
        <f t="shared" si="17"/>
        <v>-19088.50527</v>
      </c>
      <c r="AG20" s="35">
        <f t="shared" si="17"/>
        <v>-19088.50527</v>
      </c>
      <c r="AH20" s="35">
        <f t="shared" si="17"/>
        <v>-19088.50527</v>
      </c>
      <c r="AI20" s="35">
        <f t="shared" si="17"/>
        <v>-19088.50527</v>
      </c>
      <c r="AJ20" s="35">
        <f t="shared" si="17"/>
        <v>-19088.50527</v>
      </c>
      <c r="AK20" s="35">
        <f t="shared" si="17"/>
        <v>-19088.50527</v>
      </c>
      <c r="AL20" s="35">
        <f t="shared" si="17"/>
        <v>-19088.50527</v>
      </c>
      <c r="AM20" s="35">
        <f t="shared" si="17"/>
        <v>-19088.50527</v>
      </c>
      <c r="AN20" s="35">
        <f t="shared" si="17"/>
        <v>-19088.50527</v>
      </c>
      <c r="AO20" s="3"/>
      <c r="AP20" s="3"/>
      <c r="AQ20" s="3"/>
      <c r="AR20" s="3"/>
      <c r="AS20" s="3"/>
      <c r="AT20" s="3"/>
      <c r="AU20" s="3"/>
      <c r="AV20" s="3"/>
    </row>
    <row r="21" ht="15.75" customHeight="1">
      <c r="A21" s="29" t="s">
        <v>31</v>
      </c>
      <c r="B21" s="64">
        <v>300.0</v>
      </c>
      <c r="C21" s="30">
        <f t="shared" si="15"/>
        <v>25</v>
      </c>
      <c r="D21" s="12">
        <v>0.0025</v>
      </c>
      <c r="E21" s="3"/>
      <c r="F21" s="55">
        <f t="shared" si="16"/>
        <v>0</v>
      </c>
      <c r="G21" s="3"/>
      <c r="H21" s="43"/>
      <c r="I21" s="3"/>
      <c r="J21" s="4" t="s">
        <v>53</v>
      </c>
      <c r="K21" s="58">
        <f t="shared" ref="K21:AN21" si="18">SUM(K20,K16)</f>
        <v>7455.494725</v>
      </c>
      <c r="L21" s="58">
        <f t="shared" si="18"/>
        <v>12579.15873</v>
      </c>
      <c r="M21" s="58">
        <f t="shared" si="18"/>
        <v>15829.61701</v>
      </c>
      <c r="N21" s="58">
        <f t="shared" si="18"/>
        <v>19134.20325</v>
      </c>
      <c r="O21" s="58">
        <f t="shared" si="18"/>
        <v>22358.08635</v>
      </c>
      <c r="P21" s="58">
        <f t="shared" si="18"/>
        <v>25304.19623</v>
      </c>
      <c r="Q21" s="58">
        <f t="shared" si="18"/>
        <v>27692.29945</v>
      </c>
      <c r="R21" s="58">
        <f t="shared" si="18"/>
        <v>29131.86613</v>
      </c>
      <c r="S21" s="58">
        <f t="shared" si="18"/>
        <v>29087.00576</v>
      </c>
      <c r="T21" s="58">
        <f t="shared" si="18"/>
        <v>26831.29171</v>
      </c>
      <c r="U21" s="58">
        <f t="shared" si="18"/>
        <v>21389.71766</v>
      </c>
      <c r="V21" s="58">
        <f t="shared" si="18"/>
        <v>11464.30485</v>
      </c>
      <c r="W21" s="58">
        <f t="shared" si="18"/>
        <v>-4661.031554</v>
      </c>
      <c r="X21" s="58">
        <f t="shared" si="18"/>
        <v>-29241.89069</v>
      </c>
      <c r="Y21" s="58">
        <f t="shared" si="18"/>
        <v>-65228.03604</v>
      </c>
      <c r="Z21" s="58">
        <f t="shared" si="18"/>
        <v>-116460.0504</v>
      </c>
      <c r="AA21" s="58">
        <f t="shared" si="18"/>
        <v>-187919.0085</v>
      </c>
      <c r="AB21" s="58">
        <f t="shared" si="18"/>
        <v>-286042.9967</v>
      </c>
      <c r="AC21" s="58">
        <f t="shared" si="18"/>
        <v>-419127.8313</v>
      </c>
      <c r="AD21" s="58">
        <f t="shared" si="18"/>
        <v>-597833.7327</v>
      </c>
      <c r="AE21" s="58">
        <f t="shared" si="18"/>
        <v>-835825.2161</v>
      </c>
      <c r="AF21" s="58">
        <f t="shared" si="18"/>
        <v>-1150578.334</v>
      </c>
      <c r="AG21" s="58">
        <f t="shared" si="18"/>
        <v>-1564397.986</v>
      </c>
      <c r="AH21" s="58">
        <f t="shared" si="18"/>
        <v>-2105698.724</v>
      </c>
      <c r="AI21" s="58">
        <f t="shared" si="18"/>
        <v>-2810615.822</v>
      </c>
      <c r="AJ21" s="58">
        <f t="shared" si="18"/>
        <v>-3725030.042</v>
      </c>
      <c r="AK21" s="58">
        <f t="shared" si="18"/>
        <v>-4907110.255</v>
      </c>
      <c r="AL21" s="58">
        <f t="shared" si="18"/>
        <v>-6430503.927</v>
      </c>
      <c r="AM21" s="58">
        <f t="shared" si="18"/>
        <v>-8388337.625</v>
      </c>
      <c r="AN21" s="58">
        <f t="shared" si="18"/>
        <v>-10898229.77</v>
      </c>
      <c r="AO21" s="3"/>
      <c r="AP21" s="3"/>
      <c r="AQ21" s="3"/>
      <c r="AR21" s="3"/>
      <c r="AS21" s="3"/>
      <c r="AT21" s="3"/>
      <c r="AU21" s="3"/>
      <c r="AV21" s="3"/>
    </row>
    <row r="22" ht="15.75" customHeight="1">
      <c r="A22" s="29" t="s">
        <v>33</v>
      </c>
      <c r="B22" s="30">
        <f>-D22*B4</f>
        <v>0</v>
      </c>
      <c r="C22" s="30">
        <f t="shared" si="15"/>
        <v>0</v>
      </c>
      <c r="D22" s="12">
        <v>0.0</v>
      </c>
      <c r="E22" s="3"/>
      <c r="F22" s="55">
        <f t="shared" si="16"/>
        <v>0</v>
      </c>
      <c r="G22" s="3"/>
      <c r="H22" s="4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ht="15.75" customHeight="1">
      <c r="A23" s="4" t="s">
        <v>35</v>
      </c>
      <c r="B23" s="64">
        <v>3000.0</v>
      </c>
      <c r="C23" s="30">
        <f t="shared" si="15"/>
        <v>250</v>
      </c>
      <c r="D23" s="48">
        <v>0.0029</v>
      </c>
      <c r="E23" s="3"/>
      <c r="F23" s="55">
        <f t="shared" si="16"/>
        <v>0</v>
      </c>
      <c r="G23" s="3"/>
      <c r="H23" s="43"/>
      <c r="I23" s="3"/>
      <c r="J23" s="4" t="s">
        <v>110</v>
      </c>
      <c r="K23" s="59">
        <f t="shared" ref="K23:AN23" si="19">K21/$B$10</f>
        <v>0.05635306077</v>
      </c>
      <c r="L23" s="59">
        <f t="shared" si="19"/>
        <v>0.09508075886</v>
      </c>
      <c r="M23" s="59">
        <f t="shared" si="19"/>
        <v>0.1196496547</v>
      </c>
      <c r="N23" s="59">
        <f t="shared" si="19"/>
        <v>0.1446276818</v>
      </c>
      <c r="O23" s="59">
        <f t="shared" si="19"/>
        <v>0.1689957065</v>
      </c>
      <c r="P23" s="59">
        <f t="shared" si="19"/>
        <v>0.1912641562</v>
      </c>
      <c r="Q23" s="59">
        <f t="shared" si="19"/>
        <v>0.2093148599</v>
      </c>
      <c r="R23" s="59">
        <f t="shared" si="19"/>
        <v>0.2201959606</v>
      </c>
      <c r="S23" s="59">
        <f t="shared" si="19"/>
        <v>0.2198568792</v>
      </c>
      <c r="T23" s="59">
        <f t="shared" si="19"/>
        <v>0.2028068516</v>
      </c>
      <c r="U23" s="59">
        <f t="shared" si="19"/>
        <v>0.1616762004</v>
      </c>
      <c r="V23" s="59">
        <f t="shared" si="19"/>
        <v>0.08665403059</v>
      </c>
      <c r="W23" s="59">
        <f t="shared" si="19"/>
        <v>-0.03523084706</v>
      </c>
      <c r="X23" s="59">
        <f t="shared" si="19"/>
        <v>-0.2210275916</v>
      </c>
      <c r="Y23" s="59">
        <f t="shared" si="19"/>
        <v>-0.4930322688</v>
      </c>
      <c r="Z23" s="59">
        <f t="shared" si="19"/>
        <v>-0.8802742862</v>
      </c>
      <c r="AA23" s="59">
        <f t="shared" si="19"/>
        <v>-1.420403568</v>
      </c>
      <c r="AB23" s="59">
        <f t="shared" si="19"/>
        <v>-2.162082997</v>
      </c>
      <c r="AC23" s="59">
        <f t="shared" si="19"/>
        <v>-3.168017284</v>
      </c>
      <c r="AD23" s="59">
        <f t="shared" si="19"/>
        <v>-4.518782712</v>
      </c>
      <c r="AE23" s="59">
        <f t="shared" si="19"/>
        <v>-6.317663808</v>
      </c>
      <c r="AF23" s="59">
        <f t="shared" si="19"/>
        <v>-8.696754965</v>
      </c>
      <c r="AG23" s="59">
        <f t="shared" si="19"/>
        <v>-11.82464988</v>
      </c>
      <c r="AH23" s="59">
        <f t="shared" si="19"/>
        <v>-15.91612261</v>
      </c>
      <c r="AI23" s="59">
        <f t="shared" si="19"/>
        <v>-21.24430505</v>
      </c>
      <c r="AJ23" s="59">
        <f t="shared" si="19"/>
        <v>-28.15599126</v>
      </c>
      <c r="AK23" s="59">
        <f t="shared" si="19"/>
        <v>-37.09085616</v>
      </c>
      <c r="AL23" s="59">
        <f t="shared" si="19"/>
        <v>-48.60557105</v>
      </c>
      <c r="AM23" s="59">
        <f t="shared" si="19"/>
        <v>-63.40404191</v>
      </c>
      <c r="AN23" s="59">
        <f t="shared" si="19"/>
        <v>-82.37529867</v>
      </c>
      <c r="AO23" s="3"/>
      <c r="AP23" s="3"/>
      <c r="AQ23" s="3"/>
      <c r="AR23" s="3"/>
      <c r="AS23" s="3"/>
      <c r="AT23" s="3"/>
      <c r="AU23" s="3"/>
      <c r="AV23" s="3"/>
    </row>
    <row r="24" ht="15.75" customHeight="1">
      <c r="A24" s="29" t="s">
        <v>37</v>
      </c>
      <c r="B24" s="30">
        <f>-$D$24*B15</f>
        <v>0</v>
      </c>
      <c r="C24" s="30">
        <f t="shared" si="15"/>
        <v>0</v>
      </c>
      <c r="D24" s="12">
        <v>0.0</v>
      </c>
      <c r="E24" s="65">
        <v>1.0</v>
      </c>
      <c r="F24" s="32">
        <v>0.08</v>
      </c>
      <c r="G24" s="3"/>
      <c r="H24" s="43"/>
      <c r="I24" s="3"/>
      <c r="AO24" s="3"/>
      <c r="AP24" s="3"/>
      <c r="AQ24" s="3"/>
      <c r="AR24" s="3"/>
      <c r="AS24" s="3"/>
      <c r="AT24" s="3"/>
      <c r="AU24" s="3"/>
      <c r="AV24" s="3"/>
    </row>
    <row r="25" ht="15.75" customHeight="1">
      <c r="A25" s="29" t="s">
        <v>39</v>
      </c>
      <c r="B25" s="30">
        <f>-$D$25*B15</f>
        <v>0</v>
      </c>
      <c r="C25" s="30">
        <f t="shared" si="15"/>
        <v>0</v>
      </c>
      <c r="D25" s="12">
        <v>0.0</v>
      </c>
      <c r="E25" s="3"/>
      <c r="F25" s="32">
        <v>0.0</v>
      </c>
      <c r="G25" s="3"/>
      <c r="H25" s="43"/>
      <c r="I25" s="3"/>
      <c r="J25" s="4" t="s">
        <v>57</v>
      </c>
      <c r="K25" s="61">
        <f t="shared" ref="K25:AN25" si="20">-K16/K20</f>
        <v>1.390575093</v>
      </c>
      <c r="L25" s="61">
        <f t="shared" si="20"/>
        <v>1.658991291</v>
      </c>
      <c r="M25" s="61">
        <f t="shared" si="20"/>
        <v>1.829274832</v>
      </c>
      <c r="N25" s="61">
        <f t="shared" si="20"/>
        <v>2.002394005</v>
      </c>
      <c r="O25" s="61">
        <f t="shared" si="20"/>
        <v>2.171285338</v>
      </c>
      <c r="P25" s="61">
        <f t="shared" si="20"/>
        <v>2.325624813</v>
      </c>
      <c r="Q25" s="61">
        <f t="shared" si="20"/>
        <v>2.450731687</v>
      </c>
      <c r="R25" s="61">
        <f t="shared" si="20"/>
        <v>2.526147056</v>
      </c>
      <c r="S25" s="61">
        <f t="shared" si="20"/>
        <v>2.523796931</v>
      </c>
      <c r="T25" s="61">
        <f t="shared" si="20"/>
        <v>2.405625601</v>
      </c>
      <c r="U25" s="61">
        <f t="shared" si="20"/>
        <v>2.120554876</v>
      </c>
      <c r="V25" s="61">
        <f t="shared" si="20"/>
        <v>1.600586829</v>
      </c>
      <c r="W25" s="61">
        <f t="shared" si="20"/>
        <v>0.7558199824</v>
      </c>
      <c r="X25" s="61">
        <f t="shared" si="20"/>
        <v>-0.531910973</v>
      </c>
      <c r="Y25" s="61">
        <f t="shared" si="20"/>
        <v>-2.417136916</v>
      </c>
      <c r="Z25" s="61">
        <f t="shared" si="20"/>
        <v>-5.101056563</v>
      </c>
      <c r="AA25" s="61">
        <f t="shared" si="20"/>
        <v>-8.844616212</v>
      </c>
      <c r="AB25" s="61">
        <f t="shared" si="20"/>
        <v>-13.98509142</v>
      </c>
      <c r="AC25" s="61">
        <f t="shared" si="20"/>
        <v>-20.95707968</v>
      </c>
      <c r="AD25" s="61">
        <f t="shared" si="20"/>
        <v>-30.3190438</v>
      </c>
      <c r="AE25" s="61">
        <f t="shared" si="20"/>
        <v>-42.78683423</v>
      </c>
      <c r="AF25" s="61">
        <f t="shared" si="20"/>
        <v>-59.27597851</v>
      </c>
      <c r="AG25" s="61">
        <f t="shared" si="20"/>
        <v>-80.95497569</v>
      </c>
      <c r="AH25" s="61">
        <f t="shared" si="20"/>
        <v>-109.3123945</v>
      </c>
      <c r="AI25" s="61">
        <f t="shared" si="20"/>
        <v>-146.2412733</v>
      </c>
      <c r="AJ25" s="61">
        <f t="shared" si="20"/>
        <v>-194.1451928</v>
      </c>
      <c r="AK25" s="61">
        <f t="shared" si="20"/>
        <v>-256.0714775</v>
      </c>
      <c r="AL25" s="61">
        <f t="shared" si="20"/>
        <v>-335.8783377</v>
      </c>
      <c r="AM25" s="61">
        <f t="shared" si="20"/>
        <v>-438.444446</v>
      </c>
      <c r="AN25" s="61">
        <f t="shared" si="20"/>
        <v>-569.9315431</v>
      </c>
      <c r="AO25" s="3"/>
      <c r="AP25" s="3"/>
      <c r="AQ25" s="3"/>
      <c r="AR25" s="3"/>
      <c r="AS25" s="3"/>
      <c r="AT25" s="3"/>
      <c r="AU25" s="3"/>
      <c r="AV25" s="3"/>
    </row>
    <row r="26" ht="15.75" customHeight="1">
      <c r="A26" s="34" t="s">
        <v>41</v>
      </c>
      <c r="B26" s="35">
        <f t="shared" ref="B26:C26" si="21">SUM(B19:B25)</f>
        <v>3360</v>
      </c>
      <c r="C26" s="35">
        <f t="shared" si="21"/>
        <v>280</v>
      </c>
      <c r="D26" s="36"/>
      <c r="E26" s="36"/>
      <c r="F26" s="36"/>
      <c r="G26" s="3"/>
      <c r="H26" s="43"/>
      <c r="I26" s="3"/>
      <c r="J26" s="4" t="s">
        <v>59</v>
      </c>
      <c r="K26" s="54">
        <f t="shared" ref="K26:AN26" si="22">-(K15+K5+K6)/K4</f>
        <v>-0.05333333333</v>
      </c>
      <c r="L26" s="54">
        <f t="shared" si="22"/>
        <v>-0.0292001092</v>
      </c>
      <c r="M26" s="54">
        <f t="shared" si="22"/>
        <v>0.07056502113</v>
      </c>
      <c r="N26" s="54">
        <f t="shared" si="22"/>
        <v>0.1667526791</v>
      </c>
      <c r="O26" s="54">
        <f t="shared" si="22"/>
        <v>0.2600103842</v>
      </c>
      <c r="P26" s="54">
        <f t="shared" si="22"/>
        <v>0.3508684555</v>
      </c>
      <c r="Q26" s="54">
        <f t="shared" si="22"/>
        <v>0.4397612248</v>
      </c>
      <c r="R26" s="54">
        <f t="shared" si="22"/>
        <v>0.5270444102</v>
      </c>
      <c r="S26" s="54">
        <f t="shared" si="22"/>
        <v>0.6130093449</v>
      </c>
      <c r="T26" s="54">
        <f t="shared" si="22"/>
        <v>0.6978946314</v>
      </c>
      <c r="U26" s="54">
        <f t="shared" si="22"/>
        <v>0.781895685</v>
      </c>
      <c r="V26" s="54">
        <f t="shared" si="22"/>
        <v>0.8651725512</v>
      </c>
      <c r="W26" s="54">
        <f t="shared" si="22"/>
        <v>0.9478563073</v>
      </c>
      <c r="X26" s="54">
        <f t="shared" si="22"/>
        <v>1.030054306</v>
      </c>
      <c r="Y26" s="54">
        <f t="shared" si="22"/>
        <v>1.111854468</v>
      </c>
      <c r="Z26" s="54">
        <f t="shared" si="22"/>
        <v>1.193328803</v>
      </c>
      <c r="AA26" s="54">
        <f t="shared" si="22"/>
        <v>1.274536284</v>
      </c>
      <c r="AB26" s="54">
        <f t="shared" si="22"/>
        <v>1.355525212</v>
      </c>
      <c r="AC26" s="54">
        <f t="shared" si="22"/>
        <v>1.436335145</v>
      </c>
      <c r="AD26" s="54">
        <f t="shared" si="22"/>
        <v>1.516998481</v>
      </c>
      <c r="AE26" s="54">
        <f t="shared" si="22"/>
        <v>1.597541753</v>
      </c>
      <c r="AF26" s="54">
        <f t="shared" si="22"/>
        <v>1.677986694</v>
      </c>
      <c r="AG26" s="54">
        <f t="shared" si="22"/>
        <v>1.758351101</v>
      </c>
      <c r="AH26" s="54">
        <f t="shared" si="22"/>
        <v>1.83864955</v>
      </c>
      <c r="AI26" s="54">
        <f t="shared" si="22"/>
        <v>1.91889398</v>
      </c>
      <c r="AJ26" s="54">
        <f t="shared" si="22"/>
        <v>1.999094169</v>
      </c>
      <c r="AK26" s="54">
        <f t="shared" si="22"/>
        <v>2.079258124</v>
      </c>
      <c r="AL26" s="54">
        <f t="shared" si="22"/>
        <v>2.159392403</v>
      </c>
      <c r="AM26" s="54">
        <f t="shared" si="22"/>
        <v>2.239502377</v>
      </c>
      <c r="AN26" s="54">
        <f t="shared" si="22"/>
        <v>2.319592447</v>
      </c>
      <c r="AO26" s="3"/>
      <c r="AP26" s="3"/>
      <c r="AQ26" s="3"/>
      <c r="AR26" s="3"/>
      <c r="AS26" s="3"/>
      <c r="AT26" s="3"/>
      <c r="AU26" s="3"/>
      <c r="AV26" s="3"/>
    </row>
    <row r="27" ht="15.75" customHeight="1">
      <c r="A27" s="4" t="s">
        <v>43</v>
      </c>
      <c r="B27" s="13">
        <f t="shared" ref="B27:C27" si="23">B26+B15</f>
        <v>28560</v>
      </c>
      <c r="C27" s="13">
        <f t="shared" si="23"/>
        <v>2380</v>
      </c>
      <c r="D27" s="3"/>
      <c r="E27" s="3"/>
      <c r="F27" s="3"/>
      <c r="G27" s="3"/>
      <c r="H27" s="43"/>
      <c r="I27" s="3"/>
      <c r="J27" s="4" t="s">
        <v>61</v>
      </c>
      <c r="K27" s="62">
        <f t="shared" ref="K27:AN27" si="24">1+(K15+K18+K6)/(K4)</f>
        <v>0.3758529653</v>
      </c>
      <c r="L27" s="62">
        <f t="shared" si="24"/>
        <v>0.4888230674</v>
      </c>
      <c r="M27" s="62">
        <f t="shared" si="24"/>
        <v>0.5813456735</v>
      </c>
      <c r="N27" s="62">
        <f t="shared" si="24"/>
        <v>0.6571217637</v>
      </c>
      <c r="O27" s="62">
        <f t="shared" si="24"/>
        <v>0.7191824437</v>
      </c>
      <c r="P27" s="62">
        <f t="shared" si="24"/>
        <v>0.7700101914</v>
      </c>
      <c r="Q27" s="62">
        <f t="shared" si="24"/>
        <v>0.8116381584</v>
      </c>
      <c r="R27" s="62">
        <f t="shared" si="24"/>
        <v>0.8457314975</v>
      </c>
      <c r="S27" s="62">
        <f t="shared" si="24"/>
        <v>0.8736539701</v>
      </c>
      <c r="T27" s="62">
        <f t="shared" si="24"/>
        <v>0.896522498</v>
      </c>
      <c r="U27" s="62">
        <f t="shared" si="24"/>
        <v>0.9152518411</v>
      </c>
      <c r="V27" s="62">
        <f t="shared" si="24"/>
        <v>0.9305911885</v>
      </c>
      <c r="W27" s="62">
        <f t="shared" si="24"/>
        <v>0.9431541265</v>
      </c>
      <c r="X27" s="62">
        <f t="shared" si="24"/>
        <v>0.9534431831</v>
      </c>
      <c r="Y27" s="62">
        <f t="shared" si="24"/>
        <v>0.9618699288</v>
      </c>
      <c r="Z27" s="62">
        <f t="shared" si="24"/>
        <v>0.9687714405</v>
      </c>
      <c r="AA27" s="62">
        <f t="shared" si="24"/>
        <v>0.9744237842</v>
      </c>
      <c r="AB27" s="62">
        <f t="shared" si="24"/>
        <v>0.9790530583</v>
      </c>
      <c r="AC27" s="62">
        <f t="shared" si="24"/>
        <v>0.9828444376</v>
      </c>
      <c r="AD27" s="62">
        <f t="shared" si="24"/>
        <v>0.9859495803</v>
      </c>
      <c r="AE27" s="62">
        <f t="shared" si="24"/>
        <v>0.9884926948</v>
      </c>
      <c r="AF27" s="62">
        <f t="shared" si="24"/>
        <v>0.9905755076</v>
      </c>
      <c r="AG27" s="62">
        <f t="shared" si="24"/>
        <v>0.992281333</v>
      </c>
      <c r="AH27" s="62">
        <f t="shared" si="24"/>
        <v>0.9936784054</v>
      </c>
      <c r="AI27" s="62">
        <f t="shared" si="24"/>
        <v>0.9948226089</v>
      </c>
      <c r="AJ27" s="62">
        <f t="shared" si="24"/>
        <v>0.9957597124</v>
      </c>
      <c r="AK27" s="62">
        <f t="shared" si="24"/>
        <v>0.996527201</v>
      </c>
      <c r="AL27" s="62">
        <f t="shared" si="24"/>
        <v>0.9971557748</v>
      </c>
      <c r="AM27" s="62">
        <f t="shared" si="24"/>
        <v>0.9976705772</v>
      </c>
      <c r="AN27" s="62">
        <f t="shared" si="24"/>
        <v>0.9980922008</v>
      </c>
      <c r="AO27" s="3"/>
      <c r="AP27" s="3"/>
      <c r="AQ27" s="3"/>
      <c r="AR27" s="3"/>
      <c r="AS27" s="3"/>
      <c r="AT27" s="3"/>
      <c r="AU27" s="3"/>
      <c r="AV27" s="3"/>
    </row>
    <row r="28" ht="15.75" customHeight="1">
      <c r="A28" s="4" t="s">
        <v>45</v>
      </c>
      <c r="B28" s="9">
        <f>B26/B15</f>
        <v>0.1333333333</v>
      </c>
      <c r="C28" s="3"/>
      <c r="D28" s="3"/>
      <c r="E28" s="3"/>
      <c r="F28" s="3"/>
      <c r="G28" s="3"/>
      <c r="H28" s="43"/>
      <c r="I28" s="3"/>
      <c r="J28" s="4" t="s">
        <v>111</v>
      </c>
      <c r="K28" s="3"/>
      <c r="L28" s="54">
        <f t="shared" ref="L28:AN28" si="25">IF(K$16&gt;0,(L$16-K$16)/K$16,"No Value")</f>
        <v>0.1930253165</v>
      </c>
      <c r="M28" s="54">
        <f t="shared" si="25"/>
        <v>0.1026428185</v>
      </c>
      <c r="N28" s="54">
        <f t="shared" si="25"/>
        <v>0.09463814253</v>
      </c>
      <c r="O28" s="54">
        <f t="shared" si="25"/>
        <v>0.08434470563</v>
      </c>
      <c r="P28" s="54">
        <f t="shared" si="25"/>
        <v>0.07108207855</v>
      </c>
      <c r="Q28" s="54">
        <f t="shared" si="25"/>
        <v>0.05379495157</v>
      </c>
      <c r="R28" s="54">
        <f t="shared" si="25"/>
        <v>0.03077259334</v>
      </c>
      <c r="S28" s="54">
        <f t="shared" si="25"/>
        <v>-0.0009303199063</v>
      </c>
      <c r="T28" s="54">
        <f t="shared" si="25"/>
        <v>-0.04682283606</v>
      </c>
      <c r="U28" s="54">
        <f t="shared" si="25"/>
        <v>-0.1185017008</v>
      </c>
      <c r="V28" s="54">
        <f t="shared" si="25"/>
        <v>-0.2452037687</v>
      </c>
      <c r="W28" s="54">
        <f t="shared" si="25"/>
        <v>-0.5277857041</v>
      </c>
      <c r="X28" s="54">
        <f t="shared" si="25"/>
        <v>-1.70375352</v>
      </c>
      <c r="Y28" s="54" t="str">
        <f t="shared" si="25"/>
        <v>No Value</v>
      </c>
      <c r="Z28" s="54" t="str">
        <f t="shared" si="25"/>
        <v>No Value</v>
      </c>
      <c r="AA28" s="54" t="str">
        <f t="shared" si="25"/>
        <v>No Value</v>
      </c>
      <c r="AB28" s="54" t="str">
        <f t="shared" si="25"/>
        <v>No Value</v>
      </c>
      <c r="AC28" s="54" t="str">
        <f t="shared" si="25"/>
        <v>No Value</v>
      </c>
      <c r="AD28" s="54" t="str">
        <f t="shared" si="25"/>
        <v>No Value</v>
      </c>
      <c r="AE28" s="54" t="str">
        <f t="shared" si="25"/>
        <v>No Value</v>
      </c>
      <c r="AF28" s="54" t="str">
        <f t="shared" si="25"/>
        <v>No Value</v>
      </c>
      <c r="AG28" s="54" t="str">
        <f t="shared" si="25"/>
        <v>No Value</v>
      </c>
      <c r="AH28" s="54" t="str">
        <f t="shared" si="25"/>
        <v>No Value</v>
      </c>
      <c r="AI28" s="54" t="str">
        <f t="shared" si="25"/>
        <v>No Value</v>
      </c>
      <c r="AJ28" s="54" t="str">
        <f t="shared" si="25"/>
        <v>No Value</v>
      </c>
      <c r="AK28" s="54" t="str">
        <f t="shared" si="25"/>
        <v>No Value</v>
      </c>
      <c r="AL28" s="54" t="str">
        <f t="shared" si="25"/>
        <v>No Value</v>
      </c>
      <c r="AM28" s="54" t="str">
        <f t="shared" si="25"/>
        <v>No Value</v>
      </c>
      <c r="AN28" s="54" t="str">
        <f t="shared" si="25"/>
        <v>No Value</v>
      </c>
      <c r="AO28" s="3"/>
      <c r="AP28" s="3"/>
      <c r="AQ28" s="3"/>
      <c r="AR28" s="3"/>
      <c r="AS28" s="3"/>
      <c r="AT28" s="3"/>
      <c r="AU28" s="3"/>
      <c r="AV28" s="3"/>
    </row>
    <row r="29" ht="15.75" customHeight="1">
      <c r="A29" s="4" t="s">
        <v>47</v>
      </c>
      <c r="B29" s="9">
        <f>B27/$B$4</f>
        <v>0.05712</v>
      </c>
      <c r="C29" s="3"/>
      <c r="D29" s="3"/>
      <c r="E29" s="3"/>
      <c r="F29" s="3"/>
      <c r="G29" s="3"/>
      <c r="H29" s="43"/>
      <c r="I29" s="3"/>
      <c r="J29" s="4" t="s">
        <v>112</v>
      </c>
      <c r="K29" s="3"/>
      <c r="L29" s="54">
        <f t="shared" ref="L29:AN29" si="26">IF(K$21&gt;0,(L$21-K$21)/K$21,"No Value")</f>
        <v>0.6872332674</v>
      </c>
      <c r="M29" s="54">
        <f t="shared" si="26"/>
        <v>0.258400292</v>
      </c>
      <c r="N29" s="54">
        <f t="shared" si="26"/>
        <v>0.2087597085</v>
      </c>
      <c r="O29" s="54">
        <f t="shared" si="26"/>
        <v>0.1684879719</v>
      </c>
      <c r="P29" s="54">
        <f t="shared" si="26"/>
        <v>0.1317693221</v>
      </c>
      <c r="Q29" s="54">
        <f t="shared" si="26"/>
        <v>0.09437577886</v>
      </c>
      <c r="R29" s="54">
        <f t="shared" si="26"/>
        <v>0.05198436779</v>
      </c>
      <c r="S29" s="54">
        <f t="shared" si="26"/>
        <v>-0.001539907234</v>
      </c>
      <c r="T29" s="54">
        <f t="shared" si="26"/>
        <v>-0.07755057616</v>
      </c>
      <c r="U29" s="54">
        <f t="shared" si="26"/>
        <v>-0.2028070099</v>
      </c>
      <c r="V29" s="54">
        <f t="shared" si="26"/>
        <v>-0.4640272943</v>
      </c>
      <c r="W29" s="54">
        <f t="shared" si="26"/>
        <v>-1.406569052</v>
      </c>
      <c r="X29" s="54" t="str">
        <f t="shared" si="26"/>
        <v>No Value</v>
      </c>
      <c r="Y29" s="54" t="str">
        <f t="shared" si="26"/>
        <v>No Value</v>
      </c>
      <c r="Z29" s="54" t="str">
        <f t="shared" si="26"/>
        <v>No Value</v>
      </c>
      <c r="AA29" s="54" t="str">
        <f t="shared" si="26"/>
        <v>No Value</v>
      </c>
      <c r="AB29" s="54" t="str">
        <f t="shared" si="26"/>
        <v>No Value</v>
      </c>
      <c r="AC29" s="54" t="str">
        <f t="shared" si="26"/>
        <v>No Value</v>
      </c>
      <c r="AD29" s="54" t="str">
        <f t="shared" si="26"/>
        <v>No Value</v>
      </c>
      <c r="AE29" s="54" t="str">
        <f t="shared" si="26"/>
        <v>No Value</v>
      </c>
      <c r="AF29" s="54" t="str">
        <f t="shared" si="26"/>
        <v>No Value</v>
      </c>
      <c r="AG29" s="54" t="str">
        <f t="shared" si="26"/>
        <v>No Value</v>
      </c>
      <c r="AH29" s="54" t="str">
        <f t="shared" si="26"/>
        <v>No Value</v>
      </c>
      <c r="AI29" s="54" t="str">
        <f t="shared" si="26"/>
        <v>No Value</v>
      </c>
      <c r="AJ29" s="54" t="str">
        <f t="shared" si="26"/>
        <v>No Value</v>
      </c>
      <c r="AK29" s="54" t="str">
        <f t="shared" si="26"/>
        <v>No Value</v>
      </c>
      <c r="AL29" s="54" t="str">
        <f t="shared" si="26"/>
        <v>No Value</v>
      </c>
      <c r="AM29" s="54" t="str">
        <f t="shared" si="26"/>
        <v>No Value</v>
      </c>
      <c r="AN29" s="54" t="str">
        <f t="shared" si="26"/>
        <v>No Value</v>
      </c>
      <c r="AO29" s="3"/>
      <c r="AP29" s="3"/>
      <c r="AQ29" s="3"/>
      <c r="AR29" s="3"/>
      <c r="AS29" s="3"/>
      <c r="AT29" s="3"/>
      <c r="AU29" s="3"/>
      <c r="AV29" s="3"/>
    </row>
    <row r="30" ht="15.75" customHeight="1">
      <c r="A30" s="3"/>
      <c r="B30" s="3"/>
      <c r="C30" s="3"/>
      <c r="D30" s="3"/>
      <c r="E30" s="3"/>
      <c r="F30" s="3"/>
      <c r="G30" s="3"/>
      <c r="H30" s="4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5.75" customHeight="1">
      <c r="A31" s="4" t="s">
        <v>49</v>
      </c>
      <c r="B31" s="30">
        <f>PMT(D31/12,E31*12,B11)*12</f>
        <v>-19088.50527</v>
      </c>
      <c r="C31" s="64">
        <v>1600.0</v>
      </c>
      <c r="D31" s="12">
        <v>0.03</v>
      </c>
      <c r="E31" s="23">
        <v>30.0</v>
      </c>
      <c r="F31" s="3"/>
      <c r="G31" s="3"/>
      <c r="H31" s="43"/>
      <c r="I31" s="3"/>
      <c r="J31" s="56" t="s">
        <v>113</v>
      </c>
      <c r="K31" s="57">
        <f t="shared" ref="K31:AN31" si="27">$B$4*(1+$D$4)^K1</f>
        <v>500000</v>
      </c>
      <c r="L31" s="57">
        <f t="shared" si="27"/>
        <v>500000</v>
      </c>
      <c r="M31" s="57">
        <f t="shared" si="27"/>
        <v>500000</v>
      </c>
      <c r="N31" s="57">
        <f t="shared" si="27"/>
        <v>500000</v>
      </c>
      <c r="O31" s="57">
        <f t="shared" si="27"/>
        <v>500000</v>
      </c>
      <c r="P31" s="57">
        <f t="shared" si="27"/>
        <v>500000</v>
      </c>
      <c r="Q31" s="57">
        <f t="shared" si="27"/>
        <v>500000</v>
      </c>
      <c r="R31" s="57">
        <f t="shared" si="27"/>
        <v>500000</v>
      </c>
      <c r="S31" s="57">
        <f t="shared" si="27"/>
        <v>500000</v>
      </c>
      <c r="T31" s="57">
        <f t="shared" si="27"/>
        <v>500000</v>
      </c>
      <c r="U31" s="57">
        <f t="shared" si="27"/>
        <v>500000</v>
      </c>
      <c r="V31" s="57">
        <f t="shared" si="27"/>
        <v>500000</v>
      </c>
      <c r="W31" s="57">
        <f t="shared" si="27"/>
        <v>500000</v>
      </c>
      <c r="X31" s="57">
        <f t="shared" si="27"/>
        <v>500000</v>
      </c>
      <c r="Y31" s="57">
        <f t="shared" si="27"/>
        <v>500000</v>
      </c>
      <c r="Z31" s="57">
        <f t="shared" si="27"/>
        <v>500000</v>
      </c>
      <c r="AA31" s="57">
        <f t="shared" si="27"/>
        <v>500000</v>
      </c>
      <c r="AB31" s="57">
        <f t="shared" si="27"/>
        <v>500000</v>
      </c>
      <c r="AC31" s="57">
        <f t="shared" si="27"/>
        <v>500000</v>
      </c>
      <c r="AD31" s="57">
        <f t="shared" si="27"/>
        <v>500000</v>
      </c>
      <c r="AE31" s="57">
        <f t="shared" si="27"/>
        <v>500000</v>
      </c>
      <c r="AF31" s="57">
        <f t="shared" si="27"/>
        <v>500000</v>
      </c>
      <c r="AG31" s="57">
        <f t="shared" si="27"/>
        <v>500000</v>
      </c>
      <c r="AH31" s="57">
        <f t="shared" si="27"/>
        <v>500000</v>
      </c>
      <c r="AI31" s="57">
        <f t="shared" si="27"/>
        <v>500000</v>
      </c>
      <c r="AJ31" s="57">
        <f t="shared" si="27"/>
        <v>500000</v>
      </c>
      <c r="AK31" s="57">
        <f t="shared" si="27"/>
        <v>500000</v>
      </c>
      <c r="AL31" s="57">
        <f t="shared" si="27"/>
        <v>500000</v>
      </c>
      <c r="AM31" s="57">
        <f t="shared" si="27"/>
        <v>500000</v>
      </c>
      <c r="AN31" s="57">
        <f t="shared" si="27"/>
        <v>500000</v>
      </c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14" t="s">
        <v>51</v>
      </c>
      <c r="B32" s="37">
        <f>-D32*B11</f>
        <v>0</v>
      </c>
      <c r="C32" s="37">
        <f t="shared" ref="C32:C33" si="29">B32/12</f>
        <v>0</v>
      </c>
      <c r="D32" s="38" t="str">
        <f>IF((B4-B11)/B4&gt;=0.2,,E32)</f>
        <v/>
      </c>
      <c r="E32" s="39">
        <v>0.01</v>
      </c>
      <c r="F32" s="16"/>
      <c r="G32" s="3"/>
      <c r="H32" s="43"/>
      <c r="I32" s="3"/>
      <c r="J32" s="4" t="s">
        <v>114</v>
      </c>
      <c r="K32" s="13">
        <f t="shared" ref="K32:AN32" si="28">K16/$B$29</f>
        <v>464705.8824</v>
      </c>
      <c r="L32" s="13">
        <f t="shared" si="28"/>
        <v>554405.8824</v>
      </c>
      <c r="M32" s="13">
        <f t="shared" si="28"/>
        <v>611311.6647</v>
      </c>
      <c r="N32" s="13">
        <f t="shared" si="28"/>
        <v>669165.0652</v>
      </c>
      <c r="O32" s="13">
        <f t="shared" si="28"/>
        <v>725605.5956</v>
      </c>
      <c r="P32" s="13">
        <f t="shared" si="28"/>
        <v>777183.1495</v>
      </c>
      <c r="Q32" s="13">
        <f t="shared" si="28"/>
        <v>818991.6794</v>
      </c>
      <c r="R32" s="13">
        <f t="shared" si="28"/>
        <v>844194.1773</v>
      </c>
      <c r="S32" s="13">
        <f t="shared" si="28"/>
        <v>843408.8067</v>
      </c>
      <c r="T32" s="13">
        <f t="shared" si="28"/>
        <v>803918.0144</v>
      </c>
      <c r="U32" s="13">
        <f t="shared" si="28"/>
        <v>708652.3624</v>
      </c>
      <c r="V32" s="13">
        <f t="shared" si="28"/>
        <v>534888.1324</v>
      </c>
      <c r="W32" s="13">
        <f t="shared" si="28"/>
        <v>252581.8228</v>
      </c>
      <c r="X32" s="13">
        <f t="shared" si="28"/>
        <v>-177755.3469</v>
      </c>
      <c r="Y32" s="13">
        <f t="shared" si="28"/>
        <v>-807764.8944</v>
      </c>
      <c r="Z32" s="13">
        <f t="shared" si="28"/>
        <v>-1704683.913</v>
      </c>
      <c r="AA32" s="13">
        <f t="shared" si="28"/>
        <v>-2955716.093</v>
      </c>
      <c r="AB32" s="13">
        <f t="shared" si="28"/>
        <v>-4673573.029</v>
      </c>
      <c r="AC32" s="13">
        <f t="shared" si="28"/>
        <v>-7003489.601</v>
      </c>
      <c r="AD32" s="13">
        <f t="shared" si="28"/>
        <v>-10132094.32</v>
      </c>
      <c r="AE32" s="13">
        <f t="shared" si="28"/>
        <v>-14298611.88</v>
      </c>
      <c r="AF32" s="13">
        <f t="shared" si="28"/>
        <v>-19808995.6</v>
      </c>
      <c r="AG32" s="13">
        <f t="shared" si="28"/>
        <v>-27053737.4</v>
      </c>
      <c r="AH32" s="13">
        <f t="shared" si="28"/>
        <v>-36530290.94</v>
      </c>
      <c r="AI32" s="13">
        <f t="shared" si="28"/>
        <v>-48871276.55</v>
      </c>
      <c r="AJ32" s="13">
        <f t="shared" si="28"/>
        <v>-64879928.86</v>
      </c>
      <c r="AK32" s="13">
        <f t="shared" si="28"/>
        <v>-85574610.47</v>
      </c>
      <c r="AL32" s="13">
        <f t="shared" si="28"/>
        <v>-112244667.7</v>
      </c>
      <c r="AM32" s="13">
        <f t="shared" si="28"/>
        <v>-146520467.8</v>
      </c>
      <c r="AN32" s="13">
        <f t="shared" si="28"/>
        <v>-190461156.6</v>
      </c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4" t="s">
        <v>53</v>
      </c>
      <c r="B33" s="13">
        <f>SUM(B31:B32,B27)</f>
        <v>9471.494725</v>
      </c>
      <c r="C33" s="13">
        <f t="shared" si="29"/>
        <v>789.2912271</v>
      </c>
      <c r="D33" s="3"/>
      <c r="E33" s="3"/>
      <c r="F33" s="3"/>
      <c r="G33" s="3"/>
      <c r="H33" s="43"/>
      <c r="I33" s="3"/>
      <c r="J33" s="4" t="s">
        <v>115</v>
      </c>
      <c r="K33" s="13">
        <f t="shared" ref="K33:AN33" si="30">PV($D$31,30-K1,K18)</f>
        <v>374143.1281</v>
      </c>
      <c r="L33" s="13">
        <f t="shared" si="30"/>
        <v>366278.9167</v>
      </c>
      <c r="M33" s="13">
        <f t="shared" si="30"/>
        <v>358178.7789</v>
      </c>
      <c r="N33" s="13">
        <f t="shared" si="30"/>
        <v>349835.637</v>
      </c>
      <c r="O33" s="13">
        <f t="shared" si="30"/>
        <v>341242.2008</v>
      </c>
      <c r="P33" s="13">
        <f t="shared" si="30"/>
        <v>332390.9616</v>
      </c>
      <c r="Q33" s="13">
        <f t="shared" si="30"/>
        <v>323274.1851</v>
      </c>
      <c r="R33" s="13">
        <f t="shared" si="30"/>
        <v>313883.9054</v>
      </c>
      <c r="S33" s="13">
        <f t="shared" si="30"/>
        <v>304211.9173</v>
      </c>
      <c r="T33" s="13">
        <f t="shared" si="30"/>
        <v>294249.7695</v>
      </c>
      <c r="U33" s="13">
        <f t="shared" si="30"/>
        <v>283988.7574</v>
      </c>
      <c r="V33" s="13">
        <f t="shared" si="30"/>
        <v>273419.9148</v>
      </c>
      <c r="W33" s="13">
        <f t="shared" si="30"/>
        <v>262534.007</v>
      </c>
      <c r="X33" s="13">
        <f t="shared" si="30"/>
        <v>251321.5219</v>
      </c>
      <c r="Y33" s="13">
        <f t="shared" si="30"/>
        <v>239772.6623</v>
      </c>
      <c r="Z33" s="13">
        <f t="shared" si="30"/>
        <v>227877.3369</v>
      </c>
      <c r="AA33" s="13">
        <f t="shared" si="30"/>
        <v>215625.1517</v>
      </c>
      <c r="AB33" s="13">
        <f t="shared" si="30"/>
        <v>203005.401</v>
      </c>
      <c r="AC33" s="13">
        <f t="shared" si="30"/>
        <v>190007.0577</v>
      </c>
      <c r="AD33" s="13">
        <f t="shared" si="30"/>
        <v>176618.7642</v>
      </c>
      <c r="AE33" s="13">
        <f t="shared" si="30"/>
        <v>162828.8218</v>
      </c>
      <c r="AF33" s="13">
        <f t="shared" si="30"/>
        <v>148625.1812</v>
      </c>
      <c r="AG33" s="13">
        <f t="shared" si="30"/>
        <v>133995.4314</v>
      </c>
      <c r="AH33" s="13">
        <f t="shared" si="30"/>
        <v>118926.7891</v>
      </c>
      <c r="AI33" s="13">
        <f t="shared" si="30"/>
        <v>103406.0875</v>
      </c>
      <c r="AJ33" s="13">
        <f t="shared" si="30"/>
        <v>87419.7648</v>
      </c>
      <c r="AK33" s="13">
        <f t="shared" si="30"/>
        <v>70953.85247</v>
      </c>
      <c r="AL33" s="13">
        <f t="shared" si="30"/>
        <v>53993.96277</v>
      </c>
      <c r="AM33" s="13">
        <f t="shared" si="30"/>
        <v>36525.27638</v>
      </c>
      <c r="AN33" s="13">
        <f t="shared" si="30"/>
        <v>18532.52939</v>
      </c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4" t="s">
        <v>110</v>
      </c>
      <c r="B34" s="40">
        <f>B33/B10</f>
        <v>0.07159118711</v>
      </c>
      <c r="C34" s="3"/>
      <c r="D34" s="3"/>
      <c r="E34" s="3"/>
      <c r="F34" s="3"/>
      <c r="G34" s="3"/>
      <c r="H34" s="43"/>
      <c r="I34" s="3"/>
      <c r="J34" s="4" t="s">
        <v>63</v>
      </c>
      <c r="K34" s="13">
        <f t="shared" ref="K34:AN34" si="31">K32-K33</f>
        <v>90562.75426</v>
      </c>
      <c r="L34" s="13">
        <f t="shared" si="31"/>
        <v>188126.9657</v>
      </c>
      <c r="M34" s="13">
        <f t="shared" si="31"/>
        <v>253132.8858</v>
      </c>
      <c r="N34" s="13">
        <f t="shared" si="31"/>
        <v>319329.4282</v>
      </c>
      <c r="O34" s="13">
        <f t="shared" si="31"/>
        <v>384363.3948</v>
      </c>
      <c r="P34" s="13">
        <f t="shared" si="31"/>
        <v>444792.188</v>
      </c>
      <c r="Q34" s="13">
        <f t="shared" si="31"/>
        <v>495717.4943</v>
      </c>
      <c r="R34" s="13">
        <f t="shared" si="31"/>
        <v>530310.2719</v>
      </c>
      <c r="S34" s="13">
        <f t="shared" si="31"/>
        <v>539196.8894</v>
      </c>
      <c r="T34" s="13">
        <f t="shared" si="31"/>
        <v>509668.2449</v>
      </c>
      <c r="U34" s="13">
        <f t="shared" si="31"/>
        <v>424663.605</v>
      </c>
      <c r="V34" s="13">
        <f t="shared" si="31"/>
        <v>261468.2176</v>
      </c>
      <c r="W34" s="13">
        <f t="shared" si="31"/>
        <v>-9952.184119</v>
      </c>
      <c r="X34" s="13">
        <f t="shared" si="31"/>
        <v>-429076.8688</v>
      </c>
      <c r="Y34" s="13">
        <f t="shared" si="31"/>
        <v>-1047537.557</v>
      </c>
      <c r="Z34" s="13">
        <f t="shared" si="31"/>
        <v>-1932561.25</v>
      </c>
      <c r="AA34" s="13">
        <f t="shared" si="31"/>
        <v>-3171341.244</v>
      </c>
      <c r="AB34" s="13">
        <f t="shared" si="31"/>
        <v>-4876578.43</v>
      </c>
      <c r="AC34" s="13">
        <f t="shared" si="31"/>
        <v>-7193496.659</v>
      </c>
      <c r="AD34" s="13">
        <f t="shared" si="31"/>
        <v>-10308713.08</v>
      </c>
      <c r="AE34" s="13">
        <f t="shared" si="31"/>
        <v>-14461440.71</v>
      </c>
      <c r="AF34" s="13">
        <f t="shared" si="31"/>
        <v>-19957620.78</v>
      </c>
      <c r="AG34" s="13">
        <f t="shared" si="31"/>
        <v>-27187732.84</v>
      </c>
      <c r="AH34" s="13">
        <f t="shared" si="31"/>
        <v>-36649217.73</v>
      </c>
      <c r="AI34" s="13">
        <f t="shared" si="31"/>
        <v>-48974682.64</v>
      </c>
      <c r="AJ34" s="13">
        <f t="shared" si="31"/>
        <v>-64967348.62</v>
      </c>
      <c r="AK34" s="13">
        <f t="shared" si="31"/>
        <v>-85645564.32</v>
      </c>
      <c r="AL34" s="13">
        <f t="shared" si="31"/>
        <v>-112298661.7</v>
      </c>
      <c r="AM34" s="13">
        <f t="shared" si="31"/>
        <v>-146556993.1</v>
      </c>
      <c r="AN34" s="13">
        <f t="shared" si="31"/>
        <v>-190479689.2</v>
      </c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4" t="s">
        <v>116</v>
      </c>
      <c r="B35" s="40">
        <f>B33/(B4-B11)</f>
        <v>0.07719181163</v>
      </c>
      <c r="G35" s="3"/>
      <c r="H35" s="63"/>
      <c r="J35" s="4" t="s">
        <v>116</v>
      </c>
      <c r="K35" s="9">
        <f>IF(K32&gt;0,K21/K34,NA())</f>
        <v>0.08232407225</v>
      </c>
      <c r="L35" s="9">
        <f>(L$21+L$32-K$32)/L$34</f>
        <v>0.5436709105</v>
      </c>
      <c r="M35" s="9">
        <f t="shared" ref="M35:AN35" si="32">IF(M$32&gt;0,(M$21+M$32-L$32)/M$34,NA())</f>
        <v>0.2873407741</v>
      </c>
      <c r="N35" s="9">
        <f t="shared" si="32"/>
        <v>0.2410914777</v>
      </c>
      <c r="O35" s="9">
        <f t="shared" si="32"/>
        <v>0.2050107212</v>
      </c>
      <c r="P35" s="9">
        <f t="shared" si="32"/>
        <v>0.1728486971</v>
      </c>
      <c r="Q35" s="9">
        <f t="shared" si="32"/>
        <v>0.1402024947</v>
      </c>
      <c r="R35" s="9">
        <f t="shared" si="32"/>
        <v>0.1024576873</v>
      </c>
      <c r="S35" s="9">
        <f t="shared" si="32"/>
        <v>0.05248849849</v>
      </c>
      <c r="T35" s="9">
        <f t="shared" si="32"/>
        <v>-0.02483870775</v>
      </c>
      <c r="U35" s="9">
        <f t="shared" si="32"/>
        <v>-0.173963423</v>
      </c>
      <c r="V35" s="9">
        <f t="shared" si="32"/>
        <v>-0.6207252512</v>
      </c>
      <c r="W35" s="9">
        <f t="shared" si="32"/>
        <v>28.83460934</v>
      </c>
      <c r="X35" s="9" t="str">
        <f t="shared" si="32"/>
        <v>#N/A</v>
      </c>
      <c r="Y35" s="9" t="str">
        <f t="shared" si="32"/>
        <v>#N/A</v>
      </c>
      <c r="Z35" s="9" t="str">
        <f t="shared" si="32"/>
        <v>#N/A</v>
      </c>
      <c r="AA35" s="9" t="str">
        <f t="shared" si="32"/>
        <v>#N/A</v>
      </c>
      <c r="AB35" s="9" t="str">
        <f t="shared" si="32"/>
        <v>#N/A</v>
      </c>
      <c r="AC35" s="9" t="str">
        <f t="shared" si="32"/>
        <v>#N/A</v>
      </c>
      <c r="AD35" s="9" t="str">
        <f t="shared" si="32"/>
        <v>#N/A</v>
      </c>
      <c r="AE35" s="9" t="str">
        <f t="shared" si="32"/>
        <v>#N/A</v>
      </c>
      <c r="AF35" s="9" t="str">
        <f t="shared" si="32"/>
        <v>#N/A</v>
      </c>
      <c r="AG35" s="9" t="str">
        <f t="shared" si="32"/>
        <v>#N/A</v>
      </c>
      <c r="AH35" s="9" t="str">
        <f t="shared" si="32"/>
        <v>#N/A</v>
      </c>
      <c r="AI35" s="9" t="str">
        <f t="shared" si="32"/>
        <v>#N/A</v>
      </c>
      <c r="AJ35" s="9" t="str">
        <f t="shared" si="32"/>
        <v>#N/A</v>
      </c>
      <c r="AK35" s="9" t="str">
        <f t="shared" si="32"/>
        <v>#N/A</v>
      </c>
      <c r="AL35" s="9" t="str">
        <f t="shared" si="32"/>
        <v>#N/A</v>
      </c>
      <c r="AM35" s="9" t="str">
        <f t="shared" si="32"/>
        <v>#N/A</v>
      </c>
      <c r="AN35" s="9" t="str">
        <f t="shared" si="32"/>
        <v>#N/A</v>
      </c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6"/>
      <c r="C36" s="6"/>
      <c r="D36" s="3"/>
      <c r="E36" s="3"/>
      <c r="F36" s="3"/>
      <c r="H36" s="63"/>
      <c r="J36" s="4" t="s">
        <v>117</v>
      </c>
      <c r="K36" s="9">
        <f>IF(K$32&gt;0,K$21/K$32,NA())</f>
        <v>0.01604346966</v>
      </c>
      <c r="L36" s="9">
        <f>(L$21+L$32-K$32)/L$32</f>
        <v>0.1844842596</v>
      </c>
      <c r="M36" s="9">
        <f t="shared" ref="M36:AN36" si="33">IF(M$32&gt;0,(M$21+M$32-L$32)/M$32,NA())</f>
        <v>0.1189825151</v>
      </c>
      <c r="N36" s="9">
        <f t="shared" si="33"/>
        <v>0.1150502435</v>
      </c>
      <c r="O36" s="9">
        <f t="shared" si="33"/>
        <v>0.1085970357</v>
      </c>
      <c r="P36" s="9">
        <f t="shared" si="33"/>
        <v>0.09892359377</v>
      </c>
      <c r="Q36" s="9">
        <f t="shared" si="33"/>
        <v>0.08486145964</v>
      </c>
      <c r="R36" s="9">
        <f t="shared" si="33"/>
        <v>0.06436240084</v>
      </c>
      <c r="S36" s="9">
        <f t="shared" si="33"/>
        <v>0.03355624804</v>
      </c>
      <c r="T36" s="9">
        <f t="shared" si="33"/>
        <v>-0.01574725327</v>
      </c>
      <c r="U36" s="9">
        <f t="shared" si="33"/>
        <v>-0.1042484838</v>
      </c>
      <c r="V36" s="9">
        <f t="shared" si="33"/>
        <v>-0.3034277922</v>
      </c>
      <c r="W36" s="9">
        <f t="shared" si="33"/>
        <v>-1.136136155</v>
      </c>
      <c r="X36" s="9" t="str">
        <f t="shared" si="33"/>
        <v>#N/A</v>
      </c>
      <c r="Y36" s="9" t="str">
        <f t="shared" si="33"/>
        <v>#N/A</v>
      </c>
      <c r="Z36" s="9" t="str">
        <f t="shared" si="33"/>
        <v>#N/A</v>
      </c>
      <c r="AA36" s="9" t="str">
        <f t="shared" si="33"/>
        <v>#N/A</v>
      </c>
      <c r="AB36" s="9" t="str">
        <f t="shared" si="33"/>
        <v>#N/A</v>
      </c>
      <c r="AC36" s="9" t="str">
        <f t="shared" si="33"/>
        <v>#N/A</v>
      </c>
      <c r="AD36" s="9" t="str">
        <f t="shared" si="33"/>
        <v>#N/A</v>
      </c>
      <c r="AE36" s="9" t="str">
        <f t="shared" si="33"/>
        <v>#N/A</v>
      </c>
      <c r="AF36" s="9" t="str">
        <f t="shared" si="33"/>
        <v>#N/A</v>
      </c>
      <c r="AG36" s="9" t="str">
        <f t="shared" si="33"/>
        <v>#N/A</v>
      </c>
      <c r="AH36" s="9" t="str">
        <f t="shared" si="33"/>
        <v>#N/A</v>
      </c>
      <c r="AI36" s="9" t="str">
        <f t="shared" si="33"/>
        <v>#N/A</v>
      </c>
      <c r="AJ36" s="9" t="str">
        <f t="shared" si="33"/>
        <v>#N/A</v>
      </c>
      <c r="AK36" s="9" t="str">
        <f t="shared" si="33"/>
        <v>#N/A</v>
      </c>
      <c r="AL36" s="9" t="str">
        <f t="shared" si="33"/>
        <v>#N/A</v>
      </c>
      <c r="AM36" s="9" t="str">
        <f t="shared" si="33"/>
        <v>#N/A</v>
      </c>
      <c r="AN36" s="9" t="str">
        <f t="shared" si="33"/>
        <v>#N/A</v>
      </c>
    </row>
    <row r="37" ht="15.75" customHeight="1">
      <c r="H37" s="63"/>
      <c r="J37" s="4" t="s">
        <v>118</v>
      </c>
      <c r="K37" s="9">
        <f>IF(K$32&gt;0,K$21/$B$10,NA())</f>
        <v>0.05635306077</v>
      </c>
      <c r="L37" s="9">
        <f>(L$21+L$32-K$32)/$B$10</f>
        <v>0.7730866777</v>
      </c>
      <c r="M37" s="9">
        <f t="shared" ref="M37:AN37" si="34">IF(M$32&gt;0,(M$21+M$32-L$32)/$B$10,NA())</f>
        <v>0.5497773833</v>
      </c>
      <c r="N37" s="9">
        <f t="shared" si="34"/>
        <v>0.5819180712</v>
      </c>
      <c r="O37" s="9">
        <f t="shared" si="34"/>
        <v>0.5956067846</v>
      </c>
      <c r="P37" s="9">
        <f t="shared" si="34"/>
        <v>0.5811179673</v>
      </c>
      <c r="Q37" s="9">
        <f t="shared" si="34"/>
        <v>0.5253285804</v>
      </c>
      <c r="R37" s="9">
        <f t="shared" si="34"/>
        <v>0.4106914204</v>
      </c>
      <c r="S37" s="9">
        <f t="shared" si="34"/>
        <v>0.2139205811</v>
      </c>
      <c r="T37" s="9">
        <f t="shared" si="34"/>
        <v>-0.09568803037</v>
      </c>
      <c r="U37" s="9">
        <f t="shared" si="34"/>
        <v>-0.5583982246</v>
      </c>
      <c r="V37" s="9">
        <f t="shared" si="34"/>
        <v>-1.226759307</v>
      </c>
      <c r="W37" s="9">
        <f t="shared" si="34"/>
        <v>-2.169069742</v>
      </c>
      <c r="X37" s="9" t="str">
        <f t="shared" si="34"/>
        <v>#N/A</v>
      </c>
      <c r="Y37" s="9" t="str">
        <f t="shared" si="34"/>
        <v>#N/A</v>
      </c>
      <c r="Z37" s="9" t="str">
        <f t="shared" si="34"/>
        <v>#N/A</v>
      </c>
      <c r="AA37" s="9" t="str">
        <f t="shared" si="34"/>
        <v>#N/A</v>
      </c>
      <c r="AB37" s="9" t="str">
        <f t="shared" si="34"/>
        <v>#N/A</v>
      </c>
      <c r="AC37" s="9" t="str">
        <f t="shared" si="34"/>
        <v>#N/A</v>
      </c>
      <c r="AD37" s="9" t="str">
        <f t="shared" si="34"/>
        <v>#N/A</v>
      </c>
      <c r="AE37" s="9" t="str">
        <f t="shared" si="34"/>
        <v>#N/A</v>
      </c>
      <c r="AF37" s="9" t="str">
        <f t="shared" si="34"/>
        <v>#N/A</v>
      </c>
      <c r="AG37" s="9" t="str">
        <f t="shared" si="34"/>
        <v>#N/A</v>
      </c>
      <c r="AH37" s="9" t="str">
        <f t="shared" si="34"/>
        <v>#N/A</v>
      </c>
      <c r="AI37" s="9" t="str">
        <f t="shared" si="34"/>
        <v>#N/A</v>
      </c>
      <c r="AJ37" s="9" t="str">
        <f t="shared" si="34"/>
        <v>#N/A</v>
      </c>
      <c r="AK37" s="9" t="str">
        <f t="shared" si="34"/>
        <v>#N/A</v>
      </c>
      <c r="AL37" s="9" t="str">
        <f t="shared" si="34"/>
        <v>#N/A</v>
      </c>
      <c r="AM37" s="9" t="str">
        <f t="shared" si="34"/>
        <v>#N/A</v>
      </c>
      <c r="AN37" s="9" t="str">
        <f t="shared" si="34"/>
        <v>#N/A</v>
      </c>
    </row>
    <row r="38" ht="15.75" customHeight="1">
      <c r="H38" s="63"/>
    </row>
    <row r="39" ht="15.75" customHeight="1">
      <c r="H39" s="63"/>
    </row>
    <row r="40" ht="15.75" customHeight="1">
      <c r="H40" s="63"/>
    </row>
    <row r="41" ht="15.75" customHeight="1">
      <c r="H41" s="63"/>
    </row>
    <row r="42" ht="15.75" customHeight="1">
      <c r="H42" s="63"/>
    </row>
    <row r="43" ht="15.75" customHeight="1">
      <c r="H43" s="63"/>
    </row>
    <row r="44" ht="15.75" customHeight="1">
      <c r="H44" s="63"/>
    </row>
    <row r="45" ht="15.75" customHeight="1">
      <c r="H45" s="63"/>
    </row>
    <row r="46" ht="15.75" customHeight="1">
      <c r="H46" s="63"/>
    </row>
    <row r="47" ht="15.75" customHeight="1">
      <c r="H47" s="63"/>
    </row>
    <row r="48" ht="15.75" customHeight="1">
      <c r="H48" s="63"/>
    </row>
    <row r="49" ht="15.75" customHeight="1">
      <c r="H49" s="63"/>
    </row>
    <row r="50" ht="15.75" customHeight="1">
      <c r="H50" s="63"/>
    </row>
    <row r="51" ht="15.75" customHeight="1">
      <c r="H51" s="63"/>
    </row>
    <row r="52" ht="15.75" customHeight="1">
      <c r="H52" s="63"/>
    </row>
    <row r="53" ht="15.75" customHeight="1">
      <c r="H53" s="63"/>
    </row>
    <row r="54" ht="15.75" customHeight="1">
      <c r="H54" s="63"/>
    </row>
    <row r="55" ht="15.75" customHeight="1">
      <c r="H55" s="63"/>
    </row>
    <row r="56" ht="15.75" customHeight="1">
      <c r="H56" s="63"/>
    </row>
    <row r="57" ht="15.75" customHeight="1">
      <c r="H57" s="63"/>
    </row>
    <row r="58" ht="15.75" customHeight="1">
      <c r="H58" s="63"/>
    </row>
    <row r="59" ht="15.75" customHeight="1">
      <c r="H59" s="63"/>
    </row>
    <row r="60" ht="15.75" customHeight="1">
      <c r="H60" s="63"/>
    </row>
    <row r="61" ht="15.75" customHeight="1">
      <c r="H61" s="63"/>
    </row>
    <row r="62" ht="15.75" customHeight="1">
      <c r="H62" s="63"/>
    </row>
    <row r="63" ht="15.75" customHeight="1">
      <c r="H63" s="63"/>
    </row>
    <row r="64" ht="15.75" customHeight="1">
      <c r="H64" s="63"/>
    </row>
    <row r="65" ht="15.75" customHeight="1">
      <c r="H65" s="63"/>
    </row>
    <row r="66" ht="15.75" customHeight="1">
      <c r="H66" s="63"/>
    </row>
    <row r="67" ht="15.75" customHeight="1">
      <c r="H67" s="63"/>
    </row>
    <row r="68" ht="15.75" customHeight="1">
      <c r="H68" s="63"/>
    </row>
    <row r="69" ht="15.75" customHeight="1">
      <c r="H69" s="63"/>
    </row>
    <row r="70" ht="15.75" customHeight="1">
      <c r="H70" s="63"/>
    </row>
    <row r="71" ht="15.75" customHeight="1">
      <c r="H71" s="63"/>
    </row>
    <row r="72" ht="15.75" customHeight="1">
      <c r="H72" s="63"/>
    </row>
    <row r="73" ht="15.75" customHeight="1">
      <c r="H73" s="63"/>
    </row>
    <row r="74" ht="15.75" customHeight="1">
      <c r="H74" s="63"/>
    </row>
    <row r="75" ht="15.75" customHeight="1">
      <c r="H75" s="63"/>
    </row>
    <row r="76" ht="15.75" customHeight="1">
      <c r="H76" s="63"/>
    </row>
    <row r="77" ht="15.75" customHeight="1">
      <c r="H77" s="63"/>
    </row>
    <row r="78" ht="15.75" customHeight="1">
      <c r="H78" s="63"/>
    </row>
    <row r="79" ht="15.75" customHeight="1">
      <c r="H79" s="63"/>
    </row>
    <row r="80" ht="15.75" customHeight="1">
      <c r="H80" s="63"/>
    </row>
    <row r="81" ht="15.75" customHeight="1">
      <c r="H81" s="63"/>
    </row>
    <row r="82" ht="15.75" customHeight="1">
      <c r="H82" s="63"/>
    </row>
    <row r="83" ht="15.75" customHeight="1">
      <c r="H83" s="63"/>
    </row>
    <row r="84" ht="15.75" customHeight="1">
      <c r="H84" s="63"/>
    </row>
    <row r="85" ht="15.75" customHeight="1">
      <c r="H85" s="63"/>
    </row>
    <row r="86" ht="15.75" customHeight="1">
      <c r="H86" s="63"/>
    </row>
    <row r="87" ht="15.75" customHeight="1">
      <c r="H87" s="63"/>
    </row>
    <row r="88" ht="15.75" customHeight="1">
      <c r="H88" s="63"/>
    </row>
    <row r="89" ht="15.75" customHeight="1">
      <c r="H89" s="63"/>
    </row>
    <row r="90" ht="15.75" customHeight="1">
      <c r="H90" s="63"/>
    </row>
    <row r="91" ht="15.75" customHeight="1">
      <c r="H91" s="63"/>
    </row>
    <row r="92" ht="15.75" customHeight="1">
      <c r="H92" s="63"/>
    </row>
    <row r="93" ht="15.75" customHeight="1">
      <c r="H93" s="63"/>
    </row>
    <row r="94" ht="15.75" customHeight="1">
      <c r="H94" s="63"/>
    </row>
    <row r="95" ht="15.75" customHeight="1">
      <c r="H95" s="63"/>
    </row>
    <row r="96" ht="15.75" customHeight="1">
      <c r="H96" s="63"/>
    </row>
    <row r="97" ht="15.75" customHeight="1">
      <c r="H97" s="63"/>
    </row>
    <row r="98" ht="15.75" customHeight="1">
      <c r="H98" s="63"/>
    </row>
    <row r="99" ht="15.75" customHeight="1">
      <c r="H99" s="63"/>
    </row>
    <row r="100" ht="15.75" customHeight="1">
      <c r="H100" s="63"/>
    </row>
    <row r="101" ht="15.75" customHeight="1">
      <c r="H101" s="63"/>
    </row>
    <row r="102" ht="15.75" customHeight="1">
      <c r="H102" s="63"/>
    </row>
    <row r="103" ht="15.75" customHeight="1">
      <c r="H103" s="63"/>
    </row>
    <row r="104" ht="15.75" customHeight="1">
      <c r="H104" s="63"/>
    </row>
    <row r="105" ht="15.75" customHeight="1">
      <c r="H105" s="63"/>
    </row>
    <row r="106" ht="15.75" customHeight="1">
      <c r="H106" s="63"/>
    </row>
    <row r="107" ht="15.75" customHeight="1">
      <c r="H107" s="63"/>
    </row>
    <row r="108" ht="15.75" customHeight="1">
      <c r="H108" s="63"/>
    </row>
    <row r="109" ht="15.75" customHeight="1">
      <c r="H109" s="63"/>
    </row>
    <row r="110" ht="15.75" customHeight="1">
      <c r="H110" s="63"/>
    </row>
    <row r="111" ht="15.75" customHeight="1">
      <c r="H111" s="63"/>
    </row>
    <row r="112" ht="15.75" customHeight="1">
      <c r="H112" s="63"/>
    </row>
    <row r="113" ht="15.75" customHeight="1">
      <c r="H113" s="63"/>
    </row>
    <row r="114" ht="15.75" customHeight="1">
      <c r="H114" s="63"/>
    </row>
    <row r="115" ht="15.75" customHeight="1">
      <c r="H115" s="63"/>
    </row>
    <row r="116" ht="15.75" customHeight="1">
      <c r="H116" s="63"/>
    </row>
    <row r="117" ht="15.75" customHeight="1">
      <c r="H117" s="63"/>
    </row>
    <row r="118" ht="15.75" customHeight="1">
      <c r="H118" s="63"/>
    </row>
    <row r="119" ht="15.75" customHeight="1">
      <c r="H119" s="63"/>
    </row>
    <row r="120" ht="15.75" customHeight="1">
      <c r="H120" s="63"/>
    </row>
    <row r="121" ht="15.75" customHeight="1">
      <c r="H121" s="63"/>
    </row>
    <row r="122" ht="15.75" customHeight="1">
      <c r="H122" s="63"/>
    </row>
    <row r="123" ht="15.75" customHeight="1">
      <c r="H123" s="63"/>
    </row>
    <row r="124" ht="15.75" customHeight="1">
      <c r="H124" s="63"/>
    </row>
    <row r="125" ht="15.75" customHeight="1">
      <c r="H125" s="63"/>
    </row>
    <row r="126" ht="15.75" customHeight="1">
      <c r="H126" s="63"/>
    </row>
    <row r="127" ht="15.75" customHeight="1">
      <c r="H127" s="63"/>
    </row>
    <row r="128" ht="15.75" customHeight="1">
      <c r="H128" s="63"/>
    </row>
    <row r="129" ht="15.75" customHeight="1">
      <c r="H129" s="63"/>
    </row>
    <row r="130" ht="15.75" customHeight="1">
      <c r="H130" s="63"/>
    </row>
    <row r="131" ht="15.75" customHeight="1">
      <c r="H131" s="63"/>
    </row>
    <row r="132" ht="15.75" customHeight="1">
      <c r="H132" s="63"/>
    </row>
    <row r="133" ht="15.75" customHeight="1">
      <c r="H133" s="63"/>
    </row>
    <row r="134" ht="15.75" customHeight="1">
      <c r="H134" s="63"/>
    </row>
    <row r="135" ht="15.75" customHeight="1">
      <c r="H135" s="63"/>
    </row>
    <row r="136" ht="15.75" customHeight="1">
      <c r="H136" s="63"/>
    </row>
    <row r="137" ht="15.75" customHeight="1">
      <c r="H137" s="63"/>
    </row>
    <row r="138" ht="15.75" customHeight="1">
      <c r="H138" s="63"/>
    </row>
    <row r="139" ht="15.75" customHeight="1">
      <c r="H139" s="63"/>
    </row>
    <row r="140" ht="15.75" customHeight="1">
      <c r="H140" s="63"/>
    </row>
    <row r="141" ht="15.75" customHeight="1">
      <c r="H141" s="63"/>
    </row>
    <row r="142" ht="15.75" customHeight="1">
      <c r="H142" s="63"/>
    </row>
    <row r="143" ht="15.75" customHeight="1">
      <c r="H143" s="63"/>
    </row>
    <row r="144" ht="15.75" customHeight="1">
      <c r="H144" s="63"/>
    </row>
    <row r="145" ht="15.75" customHeight="1">
      <c r="H145" s="63"/>
    </row>
    <row r="146" ht="15.75" customHeight="1">
      <c r="H146" s="63"/>
    </row>
    <row r="147" ht="15.75" customHeight="1">
      <c r="H147" s="63"/>
    </row>
    <row r="148" ht="15.75" customHeight="1">
      <c r="H148" s="63"/>
    </row>
    <row r="149" ht="15.75" customHeight="1">
      <c r="H149" s="63"/>
    </row>
    <row r="150" ht="15.75" customHeight="1">
      <c r="H150" s="63"/>
    </row>
    <row r="151" ht="15.75" customHeight="1">
      <c r="H151" s="63"/>
    </row>
    <row r="152" ht="15.75" customHeight="1">
      <c r="H152" s="63"/>
    </row>
    <row r="153" ht="15.75" customHeight="1">
      <c r="H153" s="63"/>
    </row>
    <row r="154" ht="15.75" customHeight="1">
      <c r="H154" s="63"/>
    </row>
    <row r="155" ht="15.75" customHeight="1">
      <c r="H155" s="63"/>
    </row>
    <row r="156" ht="15.75" customHeight="1">
      <c r="H156" s="63"/>
    </row>
    <row r="157" ht="15.75" customHeight="1">
      <c r="H157" s="63"/>
    </row>
    <row r="158" ht="15.75" customHeight="1">
      <c r="H158" s="63"/>
    </row>
    <row r="159" ht="15.75" customHeight="1">
      <c r="H159" s="63"/>
    </row>
    <row r="160" ht="15.75" customHeight="1">
      <c r="H160" s="63"/>
    </row>
    <row r="161" ht="15.75" customHeight="1">
      <c r="H161" s="63"/>
    </row>
    <row r="162" ht="15.75" customHeight="1">
      <c r="H162" s="63"/>
    </row>
    <row r="163" ht="15.75" customHeight="1">
      <c r="H163" s="63"/>
    </row>
    <row r="164" ht="15.75" customHeight="1">
      <c r="H164" s="63"/>
    </row>
    <row r="165" ht="15.75" customHeight="1">
      <c r="H165" s="63"/>
    </row>
    <row r="166" ht="15.75" customHeight="1">
      <c r="H166" s="63"/>
    </row>
    <row r="167" ht="15.75" customHeight="1">
      <c r="H167" s="63"/>
    </row>
    <row r="168" ht="15.75" customHeight="1">
      <c r="H168" s="63"/>
    </row>
    <row r="169" ht="15.75" customHeight="1">
      <c r="H169" s="63"/>
    </row>
    <row r="170" ht="15.75" customHeight="1">
      <c r="H170" s="63"/>
    </row>
    <row r="171" ht="15.75" customHeight="1">
      <c r="H171" s="63"/>
    </row>
    <row r="172" ht="15.75" customHeight="1">
      <c r="H172" s="63"/>
    </row>
    <row r="173" ht="15.75" customHeight="1">
      <c r="H173" s="63"/>
    </row>
    <row r="174" ht="15.75" customHeight="1">
      <c r="H174" s="63"/>
    </row>
    <row r="175" ht="15.75" customHeight="1">
      <c r="H175" s="63"/>
    </row>
    <row r="176" ht="15.75" customHeight="1">
      <c r="H176" s="63"/>
    </row>
    <row r="177" ht="15.75" customHeight="1">
      <c r="H177" s="63"/>
    </row>
    <row r="178" ht="15.75" customHeight="1">
      <c r="H178" s="63"/>
    </row>
    <row r="179" ht="15.75" customHeight="1">
      <c r="H179" s="63"/>
    </row>
    <row r="180" ht="15.75" customHeight="1">
      <c r="H180" s="63"/>
    </row>
    <row r="181" ht="15.75" customHeight="1">
      <c r="H181" s="63"/>
    </row>
    <row r="182" ht="15.75" customHeight="1">
      <c r="H182" s="63"/>
    </row>
    <row r="183" ht="15.75" customHeight="1">
      <c r="H183" s="63"/>
    </row>
    <row r="184" ht="15.75" customHeight="1">
      <c r="H184" s="63"/>
    </row>
    <row r="185" ht="15.75" customHeight="1">
      <c r="H185" s="63"/>
    </row>
    <row r="186" ht="15.75" customHeight="1">
      <c r="H186" s="63"/>
    </row>
    <row r="187" ht="15.75" customHeight="1">
      <c r="H187" s="63"/>
    </row>
    <row r="188" ht="15.75" customHeight="1">
      <c r="H188" s="63"/>
    </row>
    <row r="189" ht="15.75" customHeight="1">
      <c r="H189" s="63"/>
    </row>
    <row r="190" ht="15.75" customHeight="1">
      <c r="H190" s="63"/>
    </row>
    <row r="191" ht="15.75" customHeight="1">
      <c r="H191" s="63"/>
    </row>
    <row r="192" ht="15.75" customHeight="1">
      <c r="H192" s="63"/>
    </row>
    <row r="193" ht="15.75" customHeight="1">
      <c r="H193" s="63"/>
    </row>
    <row r="194" ht="15.75" customHeight="1">
      <c r="H194" s="63"/>
    </row>
    <row r="195" ht="15.75" customHeight="1">
      <c r="H195" s="63"/>
    </row>
    <row r="196" ht="15.75" customHeight="1">
      <c r="H196" s="63"/>
    </row>
    <row r="197" ht="15.75" customHeight="1">
      <c r="H197" s="63"/>
    </row>
    <row r="198" ht="15.75" customHeight="1">
      <c r="H198" s="63"/>
    </row>
    <row r="199" ht="15.75" customHeight="1">
      <c r="H199" s="63"/>
    </row>
    <row r="200" ht="15.75" customHeight="1">
      <c r="H200" s="63"/>
    </row>
    <row r="201" ht="15.75" customHeight="1">
      <c r="H201" s="63"/>
    </row>
    <row r="202" ht="15.75" customHeight="1">
      <c r="H202" s="63"/>
    </row>
    <row r="203" ht="15.75" customHeight="1">
      <c r="H203" s="63"/>
    </row>
    <row r="204" ht="15.75" customHeight="1">
      <c r="H204" s="63"/>
    </row>
    <row r="205" ht="15.75" customHeight="1">
      <c r="H205" s="63"/>
    </row>
    <row r="206" ht="15.75" customHeight="1">
      <c r="H206" s="63"/>
    </row>
    <row r="207" ht="15.75" customHeight="1">
      <c r="H207" s="63"/>
    </row>
    <row r="208" ht="15.75" customHeight="1">
      <c r="H208" s="63"/>
    </row>
    <row r="209" ht="15.75" customHeight="1">
      <c r="H209" s="63"/>
    </row>
    <row r="210" ht="15.75" customHeight="1">
      <c r="H210" s="63"/>
    </row>
    <row r="211" ht="15.75" customHeight="1">
      <c r="H211" s="63"/>
    </row>
    <row r="212" ht="15.75" customHeight="1">
      <c r="H212" s="63"/>
    </row>
    <row r="213" ht="15.75" customHeight="1">
      <c r="H213" s="63"/>
    </row>
    <row r="214" ht="15.75" customHeight="1">
      <c r="H214" s="63"/>
    </row>
    <row r="215" ht="15.75" customHeight="1">
      <c r="H215" s="63"/>
    </row>
    <row r="216" ht="15.75" customHeight="1">
      <c r="H216" s="63"/>
    </row>
    <row r="217" ht="15.75" customHeight="1">
      <c r="H217" s="63"/>
    </row>
    <row r="218" ht="15.75" customHeight="1">
      <c r="H218" s="63"/>
    </row>
    <row r="219" ht="15.75" customHeight="1">
      <c r="H219" s="63"/>
    </row>
    <row r="220" ht="15.75" customHeight="1">
      <c r="H220" s="63"/>
    </row>
    <row r="221" ht="15.75" customHeight="1">
      <c r="H221" s="63"/>
    </row>
    <row r="222" ht="15.75" customHeight="1">
      <c r="H222" s="63"/>
    </row>
    <row r="223" ht="15.75" customHeight="1">
      <c r="H223" s="63"/>
    </row>
    <row r="224" ht="15.75" customHeight="1">
      <c r="H224" s="63"/>
    </row>
    <row r="225" ht="15.75" customHeight="1">
      <c r="H225" s="63"/>
    </row>
    <row r="226" ht="15.75" customHeight="1">
      <c r="H226" s="63"/>
    </row>
    <row r="227" ht="15.75" customHeight="1">
      <c r="H227" s="63"/>
    </row>
    <row r="228" ht="15.75" customHeight="1">
      <c r="H228" s="63"/>
    </row>
    <row r="229" ht="15.75" customHeight="1">
      <c r="H229" s="63"/>
    </row>
    <row r="230" ht="15.75" customHeight="1">
      <c r="H230" s="63"/>
    </row>
    <row r="231" ht="15.75" customHeight="1">
      <c r="H231" s="63"/>
    </row>
    <row r="232" ht="15.75" customHeight="1">
      <c r="H232" s="63"/>
    </row>
    <row r="233" ht="15.75" customHeight="1">
      <c r="H233" s="63"/>
    </row>
    <row r="234" ht="15.75" customHeight="1">
      <c r="H234" s="63"/>
    </row>
    <row r="235" ht="15.75" customHeight="1">
      <c r="H235" s="63"/>
    </row>
    <row r="236" ht="15.75" customHeight="1">
      <c r="H236" s="63"/>
    </row>
    <row r="237" ht="15.75" customHeight="1">
      <c r="H237" s="6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C3"/>
    <mergeCell ref="A13:E13"/>
    <mergeCell ref="A17:E17"/>
  </mergeCells>
  <conditionalFormatting sqref="K23:AN23 B34:B35 K35:AN35 K37:AN37">
    <cfRule type="colorScale" priority="1">
      <colorScale>
        <cfvo type="formula" val="0"/>
        <cfvo type="formula" val="0.1"/>
        <cfvo type="formula" val="0.2"/>
        <color rgb="FFE67C73"/>
        <color rgb="FFFFFFFF"/>
        <color rgb="FF57BB8A"/>
      </colorScale>
    </cfRule>
  </conditionalFormatting>
  <dataValidations>
    <dataValidation type="decimal" operator="lessThanOrEqual" allowBlank="1" showDropDown="1" showInputMessage="1" showErrorMessage="1" prompt="HOA fees must have a negative impact on rental income." sqref="C18">
      <formula1>0.0</formula1>
    </dataValidation>
  </dataValidations>
  <drawing r:id="rId1"/>
</worksheet>
</file>