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fileSharing readOnlyRecommended="1"/>
  <workbookPr defaultThemeVersion="124226"/>
  <bookViews>
    <workbookView xWindow="9465" yWindow="-15" windowWidth="9510" windowHeight="11340"/>
  </bookViews>
  <sheets>
    <sheet name="Sheet1" sheetId="1" r:id="rId1"/>
    <sheet name="Sheet3" sheetId="5" r:id="rId2"/>
    <sheet name="Test Data" sheetId="4" r:id="rId3"/>
    <sheet name="Version Notes" sheetId="6" r:id="rId4"/>
  </sheets>
  <definedNames>
    <definedName name="_xlnm._FilterDatabase" localSheetId="0" hidden="1">Sheet1!$W$97:$W$98</definedName>
    <definedName name="_xlnm._FilterDatabase" localSheetId="2" hidden="1">'Test Data'!$A$1:$A$2</definedName>
    <definedName name="AP">Sheet1!$I$46</definedName>
    <definedName name="AsCha">Sheet1!$H$56</definedName>
    <definedName name="AsDes">Sheet1!$H$53</definedName>
    <definedName name="AsRes">Sheet1!$H$52</definedName>
    <definedName name="AsRev">Sheet1!$H$55</definedName>
    <definedName name="AsScr">Sheet1!$H$54</definedName>
    <definedName name="CD">Sheet1!$I$40</definedName>
    <definedName name="Co508Com">Sheet1!$J$31</definedName>
    <definedName name="CoAud">Sheet1!$J$23</definedName>
    <definedName name="CoCli">Sheet1!$J$26</definedName>
    <definedName name="CoDif">Sheet1!$J$14</definedName>
    <definedName name="CoDis">Sheet1!$J$13</definedName>
    <definedName name="CoGui">Sheet1!$J$21</definedName>
    <definedName name="CoImg">Sheet1!#REF!</definedName>
    <definedName name="CoInt">Sheet1!$J$19</definedName>
    <definedName name="CoIntFreq">Sheet1!$J$20</definedName>
    <definedName name="CoKic">Sheet1!$J$27</definedName>
    <definedName name="CoLMS">Sheet1!$J$30</definedName>
    <definedName name="CoLoc">Sheet1!$J$18</definedName>
    <definedName name="CoMed">Sheet1!$J$15</definedName>
    <definedName name="CoMus">Sheet1!$J$24</definedName>
    <definedName name="CoPho">Sheet1!$J$16</definedName>
    <definedName name="CoSDes">Sheet1!$J$25</definedName>
    <definedName name="CoSeg">Sheet1!$J$12</definedName>
    <definedName name="CoTal">Sheet1!$J$17</definedName>
    <definedName name="CoTech">Sheet1!$J$36</definedName>
    <definedName name="CoVo">Sheet1!$J$22</definedName>
    <definedName name="CoWks">Sheet1!$J$29</definedName>
    <definedName name="_xlnm.Criteria" localSheetId="2">'Test Data'!$H$2:$K$2</definedName>
    <definedName name="CtPro">Sheet1!$I$109</definedName>
    <definedName name="CtProClean">Sheet1!$I$110</definedName>
    <definedName name="CtRes">Sheet1!$I$108</definedName>
    <definedName name="CtRev">Sheet1!$I$116</definedName>
    <definedName name="DeAlph">Sheet1!$I$8</definedName>
    <definedName name="DeCon">Sheet1!$I$6</definedName>
    <definedName name="DePRO">Sheet1!$I$7</definedName>
    <definedName name="DeVid">Sheet1!$J$9</definedName>
    <definedName name="ID">Sheet1!$I$38</definedName>
    <definedName name="MMBeCha">Sheet1!$I$161</definedName>
    <definedName name="MMInt">Sheet1!$I$154</definedName>
    <definedName name="MML">Sheet1!$I$41</definedName>
    <definedName name="MMP">Sheet1!$I$42</definedName>
    <definedName name="PR">Sheet1!$I$45</definedName>
    <definedName name="Projects">'Test Data'!$B$2:$AF$2</definedName>
    <definedName name="QA">Sheet1!$I$47</definedName>
    <definedName name="SampleProjects">'Test Data'!$C$2:$AF$2</definedName>
    <definedName name="SCD">Sheet1!$I$39</definedName>
    <definedName name="Seg">Sheet1!$I$12</definedName>
    <definedName name="TeCustInt">Sheet1!$I$209</definedName>
    <definedName name="TL">Sheet1!$I$43</definedName>
    <definedName name="TP">Sheet1!$I$44</definedName>
    <definedName name="TT">Sheet1!$I$48</definedName>
  </definedNames>
  <calcPr calcId="125725"/>
</workbook>
</file>

<file path=xl/calcChain.xml><?xml version="1.0" encoding="utf-8"?>
<calcChain xmlns="http://schemas.openxmlformats.org/spreadsheetml/2006/main">
  <c r="O307" i="1"/>
  <c r="I278"/>
  <c r="I113"/>
  <c r="O37"/>
  <c r="O38"/>
  <c r="O40"/>
  <c r="O41"/>
  <c r="O36"/>
  <c r="L41"/>
  <c r="L38"/>
  <c r="L37"/>
  <c r="L36"/>
  <c r="I7"/>
  <c r="I250" s="1"/>
  <c r="R250" s="1"/>
  <c r="I12"/>
  <c r="J12" s="1"/>
  <c r="I19"/>
  <c r="J19" s="1"/>
  <c r="AE11"/>
  <c r="I22"/>
  <c r="J22" s="1"/>
  <c r="O179" s="1"/>
  <c r="I23"/>
  <c r="J23" s="1"/>
  <c r="I38"/>
  <c r="I39"/>
  <c r="I40"/>
  <c r="I41"/>
  <c r="I42"/>
  <c r="I43"/>
  <c r="I44"/>
  <c r="I200" s="1"/>
  <c r="R200" s="1"/>
  <c r="I45"/>
  <c r="I46"/>
  <c r="I273" s="1"/>
  <c r="R273" s="1"/>
  <c r="I47"/>
  <c r="I256" s="1"/>
  <c r="R256" s="1"/>
  <c r="I14"/>
  <c r="J14" s="1"/>
  <c r="I27"/>
  <c r="J27" s="1"/>
  <c r="I6"/>
  <c r="I8"/>
  <c r="I288" s="1"/>
  <c r="R288" s="1"/>
  <c r="I26"/>
  <c r="J26" s="1"/>
  <c r="I13"/>
  <c r="J13" s="1"/>
  <c r="I295"/>
  <c r="I301"/>
  <c r="I239"/>
  <c r="R239" s="1"/>
  <c r="I258"/>
  <c r="I262"/>
  <c r="I263"/>
  <c r="I36"/>
  <c r="J36" s="1"/>
  <c r="I199" s="1"/>
  <c r="I30"/>
  <c r="J30" s="1"/>
  <c r="I216" s="1"/>
  <c r="R216" s="1"/>
  <c r="I21"/>
  <c r="J21" s="1"/>
  <c r="I9"/>
  <c r="J9" s="1"/>
  <c r="I20"/>
  <c r="J20" s="1"/>
  <c r="I218"/>
  <c r="R218" s="1"/>
  <c r="I227"/>
  <c r="I229"/>
  <c r="R229" s="1"/>
  <c r="I15"/>
  <c r="J15" s="1"/>
  <c r="I151" s="1"/>
  <c r="I158"/>
  <c r="I167"/>
  <c r="I169"/>
  <c r="I101"/>
  <c r="K101" s="1"/>
  <c r="I29"/>
  <c r="J29" s="1"/>
  <c r="I104" s="1"/>
  <c r="R104" s="1"/>
  <c r="I111"/>
  <c r="R111" s="1"/>
  <c r="I117"/>
  <c r="R117" s="1"/>
  <c r="I123"/>
  <c r="I127"/>
  <c r="N9"/>
  <c r="J366"/>
  <c r="R295"/>
  <c r="R301"/>
  <c r="R306"/>
  <c r="R258"/>
  <c r="R262"/>
  <c r="R263"/>
  <c r="R208"/>
  <c r="R227"/>
  <c r="R123"/>
  <c r="R127"/>
  <c r="AE15"/>
  <c r="AE14"/>
  <c r="AE13"/>
  <c r="AE12"/>
  <c r="AE10"/>
  <c r="AE9"/>
  <c r="AE8"/>
  <c r="AE7"/>
  <c r="AE6"/>
  <c r="AE5"/>
  <c r="AE4"/>
  <c r="AE3"/>
  <c r="J17"/>
  <c r="J25"/>
  <c r="I181" s="1"/>
  <c r="J24"/>
  <c r="J16"/>
  <c r="O188" s="1"/>
  <c r="R188" s="1"/>
  <c r="J18"/>
  <c r="R137"/>
  <c r="R169" s="1"/>
  <c r="J31"/>
  <c r="R307"/>
  <c r="I31"/>
  <c r="N15"/>
  <c r="N16"/>
  <c r="N17"/>
  <c r="N18"/>
  <c r="N19"/>
  <c r="N14"/>
  <c r="K345"/>
  <c r="L86"/>
  <c r="P86" s="1"/>
  <c r="L78"/>
  <c r="L79"/>
  <c r="P79" s="1"/>
  <c r="L70"/>
  <c r="L71"/>
  <c r="L72"/>
  <c r="L64"/>
  <c r="L65"/>
  <c r="L68" s="1"/>
  <c r="L66"/>
  <c r="P66"/>
  <c r="L74"/>
  <c r="L83"/>
  <c r="L67"/>
  <c r="L75"/>
  <c r="L87"/>
  <c r="N8"/>
  <c r="C39" i="4"/>
  <c r="C37"/>
  <c r="I28" i="1"/>
  <c r="J28" s="1"/>
  <c r="I24"/>
  <c r="A2" i="4"/>
  <c r="M67" i="1"/>
  <c r="M87"/>
  <c r="M86"/>
  <c r="M78"/>
  <c r="R78" s="1"/>
  <c r="M79"/>
  <c r="M81" s="1"/>
  <c r="M70"/>
  <c r="M72" s="1"/>
  <c r="M71"/>
  <c r="M64"/>
  <c r="R64" s="1"/>
  <c r="M65"/>
  <c r="R65" s="1"/>
  <c r="M66"/>
  <c r="M74"/>
  <c r="R74" s="1"/>
  <c r="M83"/>
  <c r="M75"/>
  <c r="K86"/>
  <c r="K78"/>
  <c r="K79"/>
  <c r="K81" s="1"/>
  <c r="K70"/>
  <c r="K71"/>
  <c r="O71" s="1"/>
  <c r="K64"/>
  <c r="K65"/>
  <c r="O65" s="1"/>
  <c r="K66"/>
  <c r="O66" s="1"/>
  <c r="K83"/>
  <c r="K67"/>
  <c r="K75"/>
  <c r="K87"/>
  <c r="K74"/>
  <c r="R86"/>
  <c r="O86"/>
  <c r="O79"/>
  <c r="O78"/>
  <c r="P74"/>
  <c r="O74"/>
  <c r="R71"/>
  <c r="P70"/>
  <c r="O70"/>
  <c r="P65"/>
  <c r="R66"/>
  <c r="R63"/>
  <c r="P63"/>
  <c r="O63"/>
  <c r="P64"/>
  <c r="P71"/>
  <c r="R79"/>
  <c r="L81"/>
  <c r="L89" s="1"/>
  <c r="K68"/>
  <c r="O64"/>
  <c r="R70"/>
  <c r="P78"/>
  <c r="N20"/>
  <c r="K234"/>
  <c r="L234" s="1"/>
  <c r="I177" l="1"/>
  <c r="I153"/>
  <c r="I224"/>
  <c r="R224" s="1"/>
  <c r="I303"/>
  <c r="R303" s="1"/>
  <c r="I297"/>
  <c r="R297" s="1"/>
  <c r="I289"/>
  <c r="R289" s="1"/>
  <c r="P90"/>
  <c r="R181"/>
  <c r="R167"/>
  <c r="R151"/>
  <c r="I165"/>
  <c r="R165" s="1"/>
  <c r="I120"/>
  <c r="L120" s="1"/>
  <c r="I246"/>
  <c r="R246" s="1"/>
  <c r="K173"/>
  <c r="L173" s="1"/>
  <c r="R158"/>
  <c r="I115"/>
  <c r="R115" s="1"/>
  <c r="I271"/>
  <c r="R271" s="1"/>
  <c r="I180"/>
  <c r="I260"/>
  <c r="R260" s="1"/>
  <c r="M120"/>
  <c r="M101"/>
  <c r="I129"/>
  <c r="I125"/>
  <c r="I48"/>
  <c r="I270" s="1"/>
  <c r="R270" s="1"/>
  <c r="I185"/>
  <c r="I138"/>
  <c r="R138" s="1"/>
  <c r="I114"/>
  <c r="M114" s="1"/>
  <c r="R114" s="1"/>
  <c r="I279"/>
  <c r="R279" s="1"/>
  <c r="I176"/>
  <c r="R176" s="1"/>
  <c r="I222"/>
  <c r="R222" s="1"/>
  <c r="I240"/>
  <c r="I275"/>
  <c r="R275" s="1"/>
  <c r="I139"/>
  <c r="R139" s="1"/>
  <c r="I274"/>
  <c r="R274" s="1"/>
  <c r="I201"/>
  <c r="R201" s="1"/>
  <c r="I102"/>
  <c r="L102" s="1"/>
  <c r="I162"/>
  <c r="R162" s="1"/>
  <c r="L345"/>
  <c r="K366"/>
  <c r="I206"/>
  <c r="R206" s="1"/>
  <c r="I281"/>
  <c r="R281" s="1"/>
  <c r="K364"/>
  <c r="K362"/>
  <c r="M133"/>
  <c r="K133"/>
  <c r="R185"/>
  <c r="I207"/>
  <c r="R207" s="1"/>
  <c r="I147"/>
  <c r="R147" s="1"/>
  <c r="I152"/>
  <c r="R152" s="1"/>
  <c r="R199"/>
  <c r="I286"/>
  <c r="R286" s="1"/>
  <c r="I298"/>
  <c r="R298" s="1"/>
  <c r="I300"/>
  <c r="R300" s="1"/>
  <c r="I282"/>
  <c r="R282" s="1"/>
  <c r="I292"/>
  <c r="R292" s="1"/>
  <c r="I294"/>
  <c r="R294" s="1"/>
  <c r="I161"/>
  <c r="I149"/>
  <c r="R149" s="1"/>
  <c r="R240"/>
  <c r="R179"/>
  <c r="I254"/>
  <c r="R254" s="1"/>
  <c r="I245"/>
  <c r="R245" s="1"/>
  <c r="I272"/>
  <c r="R272" s="1"/>
  <c r="I243"/>
  <c r="R243" s="1"/>
  <c r="I140"/>
  <c r="R140" s="1"/>
  <c r="I116"/>
  <c r="I259"/>
  <c r="R259" s="1"/>
  <c r="I248"/>
  <c r="R248" s="1"/>
  <c r="I277"/>
  <c r="R277" s="1"/>
  <c r="I280"/>
  <c r="R280" s="1"/>
  <c r="I285"/>
  <c r="R285" s="1"/>
  <c r="I241"/>
  <c r="R241" s="1"/>
  <c r="I244"/>
  <c r="R244" s="1"/>
  <c r="I202"/>
  <c r="R202" s="1"/>
  <c r="I205"/>
  <c r="R205" s="1"/>
  <c r="I154"/>
  <c r="I142"/>
  <c r="R142" s="1"/>
  <c r="I108"/>
  <c r="I144" s="1"/>
  <c r="R144" s="1"/>
  <c r="I109"/>
  <c r="I110"/>
  <c r="I103"/>
  <c r="L103" s="1"/>
  <c r="I106"/>
  <c r="I122"/>
  <c r="R122" s="1"/>
  <c r="I178"/>
  <c r="R178" s="1"/>
  <c r="K103"/>
  <c r="K72"/>
  <c r="K89" s="1"/>
  <c r="O90" s="1"/>
  <c r="P91" s="1"/>
  <c r="M68"/>
  <c r="M89" s="1"/>
  <c r="R90" s="1"/>
  <c r="R91" s="1"/>
  <c r="L133"/>
  <c r="I187"/>
  <c r="R187" s="1"/>
  <c r="I155"/>
  <c r="R155" s="1"/>
  <c r="I214"/>
  <c r="R214" s="1"/>
  <c r="I287"/>
  <c r="R287" s="1"/>
  <c r="O193"/>
  <c r="R193" s="1"/>
  <c r="O191"/>
  <c r="R191" s="1"/>
  <c r="O189"/>
  <c r="R189" s="1"/>
  <c r="O180"/>
  <c r="R180" s="1"/>
  <c r="I253"/>
  <c r="R253" s="1"/>
  <c r="I255"/>
  <c r="R255" s="1"/>
  <c r="I261"/>
  <c r="R261" s="1"/>
  <c r="M129"/>
  <c r="M125"/>
  <c r="L101"/>
  <c r="R101" s="1"/>
  <c r="I186"/>
  <c r="R186" s="1"/>
  <c r="R177"/>
  <c r="I128"/>
  <c r="I126"/>
  <c r="R126" s="1"/>
  <c r="I121"/>
  <c r="R121" s="1"/>
  <c r="I118"/>
  <c r="I112"/>
  <c r="R112" s="1"/>
  <c r="I107"/>
  <c r="M107" s="1"/>
  <c r="I168"/>
  <c r="R168" s="1"/>
  <c r="I166"/>
  <c r="R166" s="1"/>
  <c r="I163"/>
  <c r="R163" s="1"/>
  <c r="I160"/>
  <c r="R160" s="1"/>
  <c r="I157"/>
  <c r="R157" s="1"/>
  <c r="R153"/>
  <c r="I148"/>
  <c r="R148" s="1"/>
  <c r="I143"/>
  <c r="R143" s="1"/>
  <c r="I230"/>
  <c r="R230" s="1"/>
  <c r="I228"/>
  <c r="R228" s="1"/>
  <c r="I226"/>
  <c r="R226" s="1"/>
  <c r="I223"/>
  <c r="R223" s="1"/>
  <c r="I220"/>
  <c r="R220" s="1"/>
  <c r="I217"/>
  <c r="I215"/>
  <c r="R215" s="1"/>
  <c r="I213"/>
  <c r="R213" s="1"/>
  <c r="I209"/>
  <c r="R209" s="1"/>
  <c r="I204"/>
  <c r="R204" s="1"/>
  <c r="I302"/>
  <c r="R302" s="1"/>
  <c r="I293"/>
  <c r="R293" s="1"/>
  <c r="I291"/>
  <c r="R291" s="1"/>
  <c r="I283"/>
  <c r="R283" s="1"/>
  <c r="I276"/>
  <c r="R276" s="1"/>
  <c r="O192"/>
  <c r="R192" s="1"/>
  <c r="O190"/>
  <c r="R190" s="1"/>
  <c r="I249"/>
  <c r="R249" s="1"/>
  <c r="I251"/>
  <c r="R251" s="1"/>
  <c r="K120" l="1"/>
  <c r="L108"/>
  <c r="I299"/>
  <c r="R299" s="1"/>
  <c r="K129"/>
  <c r="L129"/>
  <c r="K125"/>
  <c r="L125"/>
  <c r="M108"/>
  <c r="K102"/>
  <c r="M102"/>
  <c r="R182"/>
  <c r="O311"/>
  <c r="M21" s="1"/>
  <c r="R265"/>
  <c r="L118"/>
  <c r="K118"/>
  <c r="M118"/>
  <c r="K106"/>
  <c r="M106"/>
  <c r="L106"/>
  <c r="I146"/>
  <c r="R146" s="1"/>
  <c r="R110"/>
  <c r="I211"/>
  <c r="R211" s="1"/>
  <c r="R154"/>
  <c r="I212"/>
  <c r="R212" s="1"/>
  <c r="I156"/>
  <c r="R156" s="1"/>
  <c r="R116"/>
  <c r="M103"/>
  <c r="K108"/>
  <c r="R108" s="1"/>
  <c r="K107"/>
  <c r="I194"/>
  <c r="I131"/>
  <c r="I309"/>
  <c r="K128"/>
  <c r="M128"/>
  <c r="L128"/>
  <c r="I145"/>
  <c r="R145" s="1"/>
  <c r="R109"/>
  <c r="I221"/>
  <c r="R221" s="1"/>
  <c r="R232" s="1"/>
  <c r="R161"/>
  <c r="L107"/>
  <c r="R103"/>
  <c r="I265"/>
  <c r="M19" s="1"/>
  <c r="O19" s="1"/>
  <c r="R195"/>
  <c r="I182"/>
  <c r="M16" s="1"/>
  <c r="O16" s="1"/>
  <c r="R309"/>
  <c r="R125" l="1"/>
  <c r="R129"/>
  <c r="R102"/>
  <c r="R171"/>
  <c r="R118"/>
  <c r="M17"/>
  <c r="O17" s="1"/>
  <c r="M14"/>
  <c r="M132"/>
  <c r="K132"/>
  <c r="L132"/>
  <c r="I232"/>
  <c r="R128"/>
  <c r="I171"/>
  <c r="R107"/>
  <c r="R106"/>
  <c r="R131" l="1"/>
  <c r="R311" s="1"/>
  <c r="S265" s="1"/>
  <c r="L172"/>
  <c r="M15"/>
  <c r="O15" s="1"/>
  <c r="K172"/>
  <c r="M18"/>
  <c r="O18" s="1"/>
  <c r="L233"/>
  <c r="K233"/>
  <c r="O14"/>
  <c r="I381"/>
  <c r="I379"/>
  <c r="I378"/>
  <c r="I376"/>
  <c r="I380"/>
  <c r="I377"/>
  <c r="I311"/>
  <c r="M20" l="1"/>
  <c r="S131"/>
  <c r="S171"/>
  <c r="S195"/>
  <c r="S182"/>
  <c r="S309"/>
  <c r="S232"/>
  <c r="M345"/>
  <c r="L364"/>
  <c r="L366"/>
  <c r="L362"/>
  <c r="K381"/>
  <c r="J381"/>
  <c r="H381"/>
  <c r="K380"/>
  <c r="H380"/>
  <c r="J380"/>
  <c r="M9"/>
  <c r="K378"/>
  <c r="H378"/>
  <c r="J378"/>
  <c r="O20"/>
  <c r="M10"/>
  <c r="O11"/>
  <c r="P11"/>
  <c r="H377"/>
  <c r="J377"/>
  <c r="K377"/>
  <c r="N10"/>
  <c r="J376"/>
  <c r="N11"/>
  <c r="M8"/>
  <c r="K376"/>
  <c r="H376"/>
  <c r="K379"/>
  <c r="H379"/>
  <c r="J379"/>
  <c r="O8" l="1"/>
  <c r="P8"/>
  <c r="O9"/>
  <c r="P9"/>
  <c r="O10"/>
  <c r="P10"/>
</calcChain>
</file>

<file path=xl/comments1.xml><?xml version="1.0" encoding="utf-8"?>
<comments xmlns="http://schemas.openxmlformats.org/spreadsheetml/2006/main">
  <authors>
    <author>Deaton Bednar</author>
    <author>Julia Preston</author>
    <author>Adrian Taylor</author>
    <author>Allison Dunavant</author>
    <author>Author</author>
  </authors>
  <commentList>
    <comment ref="G6" authorId="0">
      <text>
        <r>
          <rPr>
            <b/>
            <sz val="8"/>
            <color indexed="81"/>
            <rFont val="Tahoma"/>
            <family val="2"/>
          </rPr>
          <t>Deaton Bednar:</t>
        </r>
        <r>
          <rPr>
            <sz val="8"/>
            <color indexed="81"/>
            <rFont val="Tahoma"/>
            <family val="2"/>
          </rPr>
          <t xml:space="preserve">
While the new process does not require a concept doc, sometimes it is needed.  Put a 1 here if the client needs a concept document </t>
        </r>
      </text>
    </comment>
    <comment ref="G7" authorId="0">
      <text>
        <r>
          <rPr>
            <b/>
            <sz val="8"/>
            <color indexed="81"/>
            <rFont val="Tahoma"/>
            <family val="2"/>
          </rPr>
          <t>Deaton Bednar:</t>
        </r>
        <r>
          <rPr>
            <sz val="8"/>
            <color indexed="81"/>
            <rFont val="Tahoma"/>
            <family val="2"/>
          </rPr>
          <t xml:space="preserve">
This is the first visual of the end solution.  Essentially it is a design document with storyboards in the GUI.  Put a one if that is all that is going to be produced.  Put a two if there will be a first look also </t>
        </r>
      </text>
    </comment>
    <comment ref="L8" authorId="0">
      <text>
        <r>
          <rPr>
            <b/>
            <sz val="8"/>
            <color indexed="81"/>
            <rFont val="Tahoma"/>
            <family val="2"/>
          </rPr>
          <t>Deaton Bednar:</t>
        </r>
        <r>
          <rPr>
            <sz val="8"/>
            <color indexed="81"/>
            <rFont val="Tahoma"/>
            <family val="2"/>
          </rPr>
          <t xml:space="preserve">
This cannot be compared to the old estimate tool since the new tool is built on acutal cost and utilization data as assessed by our McKinsey consultant.   It does cover all our actual costs including bonuses, R &amp; D, etc which was formerly covered by the 25% profit margin. </t>
        </r>
      </text>
    </comment>
    <comment ref="L9" authorId="0">
      <text>
        <r>
          <rPr>
            <b/>
            <sz val="8"/>
            <color indexed="81"/>
            <rFont val="Tahoma"/>
            <family val="2"/>
          </rPr>
          <t>Deaton Bednar:</t>
        </r>
        <r>
          <rPr>
            <sz val="8"/>
            <color indexed="81"/>
            <rFont val="Tahoma"/>
            <family val="2"/>
          </rPr>
          <t xml:space="preserve">
This is what we should try to get and is truly a profit margin.  Change the quoted price and you'll see the margin change.</t>
        </r>
      </text>
    </comment>
    <comment ref="L10" authorId="1">
      <text>
        <r>
          <rPr>
            <b/>
            <sz val="8"/>
            <color indexed="81"/>
            <rFont val="Tahoma"/>
            <family val="2"/>
          </rPr>
          <t>Julia Preston:</t>
        </r>
        <r>
          <rPr>
            <sz val="8"/>
            <color indexed="81"/>
            <rFont val="Tahoma"/>
            <family val="2"/>
          </rPr>
          <t xml:space="preserve">
This is $95/hr for Rev/hr, which is the current sales agreement, not (Rev-OOP)/hr.</t>
        </r>
      </text>
    </comment>
    <comment ref="G12" authorId="0">
      <text>
        <r>
          <rPr>
            <b/>
            <sz val="8"/>
            <color indexed="81"/>
            <rFont val="Tahoma"/>
            <family val="2"/>
          </rPr>
          <t>Deaton Bednar:</t>
        </r>
        <r>
          <rPr>
            <sz val="8"/>
            <color indexed="81"/>
            <rFont val="Tahoma"/>
            <family val="2"/>
          </rPr>
          <t xml:space="preserve">
At Aug 18, 2006, there are 120 segments in an hour for our standard courses.</t>
        </r>
      </text>
    </comment>
    <comment ref="G13" authorId="0">
      <text>
        <r>
          <rPr>
            <b/>
            <sz val="8"/>
            <color indexed="81"/>
            <rFont val="Tahoma"/>
            <family val="2"/>
          </rPr>
          <t>Deaton Bednar:</t>
        </r>
        <r>
          <rPr>
            <sz val="8"/>
            <color indexed="81"/>
            <rFont val="Tahoma"/>
            <family val="2"/>
          </rPr>
          <t xml:space="preserve">
One represents perfect content.  Scripts are written and do not need editing.  Five represents a client that says "I sort of know what we want but not sure" or "We have 15 SMEs and they don't agree". </t>
        </r>
      </text>
    </comment>
    <comment ref="G14" authorId="0">
      <text>
        <r>
          <rPr>
            <b/>
            <sz val="8"/>
            <color indexed="81"/>
            <rFont val="Tahoma"/>
            <family val="2"/>
          </rPr>
          <t>Deaton Bednar:</t>
        </r>
        <r>
          <rPr>
            <sz val="8"/>
            <color indexed="81"/>
            <rFont val="Tahoma"/>
            <family val="2"/>
          </rPr>
          <t xml:space="preserve">
One would be something like a social skill and for a five, think of a difficult to understand topic such as the Minitab statistical software. </t>
        </r>
      </text>
    </comment>
    <comment ref="G15" authorId="0">
      <text>
        <r>
          <rPr>
            <b/>
            <sz val="8"/>
            <color indexed="81"/>
            <rFont val="Tahoma"/>
            <family val="2"/>
          </rPr>
          <t>Adrian Taylor:</t>
        </r>
        <r>
          <rPr>
            <sz val="8"/>
            <color indexed="81"/>
            <rFont val="Tahoma"/>
            <family val="2"/>
          </rPr>
          <t xml:space="preserve">
1 =  Static graphics, illustration, or photography
2 = Simple animations
3 = Sophisticated animation
</t>
        </r>
      </text>
    </comment>
    <comment ref="G19" authorId="0">
      <text>
        <r>
          <rPr>
            <b/>
            <sz val="8"/>
            <color indexed="81"/>
            <rFont val="Tahoma"/>
            <family val="2"/>
          </rPr>
          <t>Adrian Taylor:</t>
        </r>
        <r>
          <rPr>
            <sz val="8"/>
            <color indexed="81"/>
            <rFont val="Tahoma"/>
            <family val="2"/>
          </rPr>
          <t xml:space="preserve">
1 =pre-developed templates
2 = customizing the templates, could include some simple branching
3 = custom developed interactivities, could include more complex branching. For more details see N:\Operations\process docs\Multimedia\Multimedia process docs\InteractivityLevels</t>
        </r>
      </text>
    </comment>
    <comment ref="G20" authorId="0">
      <text>
        <r>
          <rPr>
            <b/>
            <sz val="8"/>
            <color indexed="81"/>
            <rFont val="Tahoma"/>
            <family val="2"/>
          </rPr>
          <t>Adrian Taylor:</t>
        </r>
        <r>
          <rPr>
            <sz val="8"/>
            <color indexed="81"/>
            <rFont val="Tahoma"/>
            <family val="2"/>
          </rPr>
          <t xml:space="preserve">
1 = not very often (every 9 - 13 segs)
2 = more often (every 5 - 9 segs)
3 = very frequently (every 2 - 4)</t>
        </r>
      </text>
    </comment>
    <comment ref="G21" authorId="0">
      <text>
        <r>
          <rPr>
            <b/>
            <sz val="8"/>
            <color indexed="81"/>
            <rFont val="Tahoma"/>
            <family val="2"/>
          </rPr>
          <t>Deaton Bednar:</t>
        </r>
        <r>
          <rPr>
            <sz val="8"/>
            <color indexed="81"/>
            <rFont val="Tahoma"/>
            <family val="2"/>
          </rPr>
          <t xml:space="preserve">
This is just asking if we have to develop a new one or say no if we can use one they already have</t>
        </r>
      </text>
    </comment>
    <comment ref="G23" authorId="2">
      <text>
        <r>
          <rPr>
            <b/>
            <sz val="8"/>
            <color indexed="81"/>
            <rFont val="Tahoma"/>
            <family val="2"/>
          </rPr>
          <t>Adrian Taylor:</t>
        </r>
        <r>
          <rPr>
            <sz val="8"/>
            <color indexed="81"/>
            <rFont val="Tahoma"/>
            <family val="2"/>
          </rPr>
          <t xml:space="preserve">
Will the course have several characters that each require a separate voice talent? Enter the number of additional voice talent.</t>
        </r>
      </text>
    </comment>
    <comment ref="G24" authorId="3">
      <text>
        <r>
          <rPr>
            <b/>
            <sz val="8"/>
            <color indexed="81"/>
            <rFont val="Tahoma"/>
            <family val="2"/>
          </rPr>
          <t>Allison Dunavant:
This is for stock music only. Up to 2 stock music selections. Consult David for any additional or custom music costs.</t>
        </r>
      </text>
    </comment>
    <comment ref="G25" authorId="0">
      <text>
        <r>
          <rPr>
            <b/>
            <sz val="8"/>
            <color indexed="81"/>
            <rFont val="Tahoma"/>
            <family val="2"/>
          </rPr>
          <t>Deaton Bednar:</t>
        </r>
        <r>
          <rPr>
            <sz val="8"/>
            <color indexed="81"/>
            <rFont val="Tahoma"/>
            <family val="2"/>
          </rPr>
          <t xml:space="preserve">
Put yes, if you want sound effects, and actual design thought to create a realistic sounding solution.  Think birds chirping in an outdoor restaurant scene.  Consult with David if the course is to have a large sound design component. </t>
        </r>
      </text>
    </comment>
    <comment ref="G26" authorId="0">
      <text>
        <r>
          <rPr>
            <b/>
            <sz val="8"/>
            <color indexed="81"/>
            <rFont val="Tahoma"/>
            <family val="2"/>
          </rPr>
          <t>Deaton Bednar:</t>
        </r>
        <r>
          <rPr>
            <sz val="8"/>
            <color indexed="81"/>
            <rFont val="Tahoma"/>
            <family val="2"/>
          </rPr>
          <t xml:space="preserve">
One is the client who gets it, is prepared, knows what they want and lets us do our job.  Five is the client who has to have a lot of hand holding or could be a client who is not reacheable and yet demanding.  </t>
        </r>
      </text>
    </comment>
    <comment ref="G27" authorId="0">
      <text>
        <r>
          <rPr>
            <b/>
            <sz val="8"/>
            <color indexed="81"/>
            <rFont val="Tahoma"/>
            <family val="2"/>
          </rPr>
          <t>Deaton Bednar:</t>
        </r>
        <r>
          <rPr>
            <sz val="8"/>
            <color indexed="81"/>
            <rFont val="Tahoma"/>
            <family val="2"/>
          </rPr>
          <t xml:space="preserve">
This is hours.  Team prep and psst meeting time is automatically figured into this.  </t>
        </r>
      </text>
    </comment>
    <comment ref="G29" authorId="0">
      <text>
        <r>
          <rPr>
            <b/>
            <sz val="8"/>
            <color indexed="81"/>
            <rFont val="Tahoma"/>
            <family val="2"/>
          </rPr>
          <t>Deaton Bednar:</t>
        </r>
        <r>
          <rPr>
            <sz val="8"/>
            <color indexed="81"/>
            <rFont val="Tahoma"/>
            <family val="2"/>
          </rPr>
          <t xml:space="preserve">
When possible, if the content is in dissary, they would benefit from upfront instructional design or strategy.  This should happen before the project gets officially kicked off.  The appropriate design should drive everything else. </t>
        </r>
      </text>
    </comment>
    <comment ref="G31" authorId="0">
      <text>
        <r>
          <rPr>
            <b/>
            <sz val="8"/>
            <color indexed="81"/>
            <rFont val="Tahoma"/>
            <family val="2"/>
          </rPr>
          <t>Deaton Bednar:</t>
        </r>
        <r>
          <rPr>
            <sz val="8"/>
            <color indexed="81"/>
            <rFont val="Tahoma"/>
            <family val="2"/>
          </rPr>
          <t xml:space="preserve">
If this is a governmental agency or federal funds, they answer probably should be yes. </t>
        </r>
      </text>
    </comment>
    <comment ref="G36" authorId="0">
      <text>
        <r>
          <rPr>
            <b/>
            <sz val="8"/>
            <color indexed="81"/>
            <rFont val="Tahoma"/>
            <family val="2"/>
          </rPr>
          <t>Jason Craft:</t>
        </r>
        <r>
          <rPr>
            <sz val="8"/>
            <color indexed="81"/>
            <rFont val="Tahoma"/>
            <family val="2"/>
          </rPr>
          <t xml:space="preserve">
- Federated wants us to write learner progress to a text file on the user's computer.  That's about a 2.
- Capital One's calculation spreadsheet (I think it was for Structdeal) would be a 3 to 3.5.
- Lilly's spreadsheet wizard tool for the course, as originally scoped, was a 5.
- The "Tamagotchi" we proposed for the Nurses Association (I can't remember the name of the client exactly) would be around a 5.</t>
        </r>
      </text>
    </comment>
    <comment ref="E37" authorId="3">
      <text>
        <r>
          <rPr>
            <b/>
            <sz val="8"/>
            <color indexed="81"/>
            <rFont val="Tahoma"/>
            <family val="2"/>
          </rPr>
          <t>Allison Dunavant:</t>
        </r>
        <r>
          <rPr>
            <sz val="8"/>
            <color indexed="81"/>
            <rFont val="Tahoma"/>
            <family val="2"/>
          </rPr>
          <t xml:space="preserve">
This staffing is representative of a 120 segment course in a timeperiod representative of: 
Level 1: 10 Weeks
Level 2: 14 Weeks
Level 3: 16 Weeks
Do Not Adjust without speaking with track lead</t>
        </r>
      </text>
    </comment>
    <comment ref="G42" authorId="0">
      <text>
        <r>
          <rPr>
            <b/>
            <sz val="8"/>
            <color indexed="81"/>
            <rFont val="Tahoma"/>
            <family val="2"/>
          </rPr>
          <t>Adrian Taylor:</t>
        </r>
        <r>
          <rPr>
            <sz val="8"/>
            <color indexed="81"/>
            <rFont val="Tahoma"/>
            <family val="2"/>
          </rPr>
          <t xml:space="preserve">
This is the number of MM team members that will work under the lead.  Large projects or projects that have tight deadlines will require additional staff, this reduces efficiency increasing cost.</t>
        </r>
      </text>
    </comment>
    <comment ref="G44" authorId="0">
      <text>
        <r>
          <rPr>
            <b/>
            <sz val="8"/>
            <color indexed="81"/>
            <rFont val="Tahoma"/>
            <family val="2"/>
          </rPr>
          <t>Deaton Bednar:</t>
        </r>
        <r>
          <rPr>
            <sz val="8"/>
            <color indexed="81"/>
            <rFont val="Tahoma"/>
            <family val="2"/>
          </rPr>
          <t xml:space="preserve">
This is the number of tech people who will work under the tech project lead </t>
        </r>
      </text>
    </comment>
    <comment ref="G45" authorId="0">
      <text>
        <r>
          <rPr>
            <b/>
            <sz val="8"/>
            <color indexed="81"/>
            <rFont val="Tahoma"/>
            <family val="2"/>
          </rPr>
          <t>Deaton Bednar:</t>
        </r>
        <r>
          <rPr>
            <sz val="8"/>
            <color indexed="81"/>
            <rFont val="Tahoma"/>
            <family val="2"/>
          </rPr>
          <t xml:space="preserve">
Put one here if you have a zero at associate producer or if the project consists of more than 20 hours of content.  Then you may have one of each. </t>
        </r>
      </text>
    </comment>
    <comment ref="G46" authorId="0">
      <text>
        <r>
          <rPr>
            <b/>
            <sz val="8"/>
            <color indexed="81"/>
            <rFont val="Tahoma"/>
            <family val="2"/>
          </rPr>
          <t>Deaton Bednar:</t>
        </r>
        <r>
          <rPr>
            <sz val="8"/>
            <color indexed="81"/>
            <rFont val="Tahoma"/>
            <family val="2"/>
          </rPr>
          <t xml:space="preserve">
Put a zero here if you have a producer.  Put a one here if it is a very small, simple project.  Not a new client.  Or you may put a one here if the project has more than 20 hours of content to be deliveree and you have a producer. </t>
        </r>
      </text>
    </comment>
    <comment ref="G47" authorId="0">
      <text>
        <r>
          <rPr>
            <b/>
            <sz val="8"/>
            <color indexed="81"/>
            <rFont val="Tahoma"/>
            <family val="2"/>
          </rPr>
          <t>Deaton Bednar:</t>
        </r>
        <r>
          <rPr>
            <sz val="8"/>
            <color indexed="81"/>
            <rFont val="Tahoma"/>
            <family val="2"/>
          </rPr>
          <t xml:space="preserve">
This should always be one unless the project is 20 hours or more of final content to be delivered</t>
        </r>
      </text>
    </comment>
    <comment ref="G50" authorId="0">
      <text>
        <r>
          <rPr>
            <b/>
            <sz val="8"/>
            <color indexed="81"/>
            <rFont val="Tahoma"/>
            <family val="2"/>
          </rPr>
          <t>Deaton Bednar:</t>
        </r>
        <r>
          <rPr>
            <sz val="8"/>
            <color indexed="81"/>
            <rFont val="Tahoma"/>
            <family val="2"/>
          </rPr>
          <t xml:space="preserve">
I wouldn't change these with out talking to the director of the department. </t>
        </r>
      </text>
    </comment>
    <comment ref="I63" authorId="4">
      <text>
        <r>
          <rPr>
            <b/>
            <sz val="8"/>
            <color indexed="81"/>
            <rFont val="Tahoma"/>
            <family val="2"/>
          </rPr>
          <t>Author:</t>
        </r>
        <r>
          <rPr>
            <sz val="8"/>
            <color indexed="81"/>
            <rFont val="Tahoma"/>
            <family val="2"/>
          </rPr>
          <t xml:space="preserve">
Includes average salary, benefits, and payroll expenses; 
all figures rounded up</t>
        </r>
      </text>
    </comment>
  </commentList>
</comments>
</file>

<file path=xl/sharedStrings.xml><?xml version="1.0" encoding="utf-8"?>
<sst xmlns="http://schemas.openxmlformats.org/spreadsheetml/2006/main" count="707" uniqueCount="371">
  <si>
    <t>Basic estimation parameters</t>
  </si>
  <si>
    <t>SOW deliverables</t>
  </si>
  <si>
    <t>Amount</t>
  </si>
  <si>
    <t>Yes/no</t>
  </si>
  <si>
    <t>Concept Doc</t>
  </si>
  <si>
    <t>Script</t>
  </si>
  <si>
    <t>Does it require a new UI?</t>
  </si>
  <si>
    <t>Does it require a photo shoot?</t>
  </si>
  <si>
    <t>Are we doing a video?</t>
  </si>
  <si>
    <t>Key variables</t>
  </si>
  <si>
    <t>Rating</t>
  </si>
  <si>
    <t>Coefficient</t>
  </si>
  <si>
    <t>Segments</t>
  </si>
  <si>
    <t>Content Disarray (1-5)</t>
  </si>
  <si>
    <t>Content Difficulty (1-5)</t>
  </si>
  <si>
    <t>Client Difficulty (1-5)</t>
  </si>
  <si>
    <t>Staff</t>
  </si>
  <si>
    <t>CD</t>
  </si>
  <si>
    <t>Assumptions</t>
  </si>
  <si>
    <t>Content</t>
  </si>
  <si>
    <t>Research</t>
  </si>
  <si>
    <t>Design</t>
  </si>
  <si>
    <t>Scripting</t>
  </si>
  <si>
    <t>Review</t>
  </si>
  <si>
    <t>Changes</t>
  </si>
  <si>
    <t>Production rates</t>
  </si>
  <si>
    <t>Billable hours*</t>
  </si>
  <si>
    <t>Cost per hour billed</t>
  </si>
  <si>
    <t>Department</t>
  </si>
  <si>
    <t>Role</t>
  </si>
  <si>
    <t>C1</t>
  </si>
  <si>
    <t>C2</t>
  </si>
  <si>
    <t>C3</t>
  </si>
  <si>
    <t>Multimedia</t>
  </si>
  <si>
    <t>MM1</t>
  </si>
  <si>
    <t>MM2</t>
  </si>
  <si>
    <t>AU</t>
  </si>
  <si>
    <t>Technology</t>
  </si>
  <si>
    <t>T1</t>
  </si>
  <si>
    <t>T2</t>
  </si>
  <si>
    <t>QA</t>
  </si>
  <si>
    <t>Project Management</t>
  </si>
  <si>
    <t>PM</t>
  </si>
  <si>
    <t xml:space="preserve"> * Based on 40hr workweek, billable hours as a percent of total hours (total hours includes vacation, training, etc.)</t>
  </si>
  <si>
    <t>Estimate of hours, role requirements, and production costs</t>
  </si>
  <si>
    <t>Process stage</t>
  </si>
  <si>
    <t>Step</t>
  </si>
  <si>
    <t>Hours</t>
  </si>
  <si>
    <t>Hour requirements by role</t>
  </si>
  <si>
    <t>OOP</t>
  </si>
  <si>
    <t>Production costs</t>
  </si>
  <si>
    <t>Expenses</t>
  </si>
  <si>
    <t>Preparation</t>
  </si>
  <si>
    <t>Pre-kickoff</t>
  </si>
  <si>
    <t>Kickoff</t>
  </si>
  <si>
    <t>Post-kickoff</t>
  </si>
  <si>
    <t>Content workshop</t>
  </si>
  <si>
    <t>Implementation plan</t>
  </si>
  <si>
    <t>Release Day</t>
  </si>
  <si>
    <t>Revisions</t>
  </si>
  <si>
    <t>Alpha</t>
  </si>
  <si>
    <t>Celebration</t>
  </si>
  <si>
    <t>Beta</t>
  </si>
  <si>
    <t>Audio script</t>
  </si>
  <si>
    <t>Final</t>
  </si>
  <si>
    <t>Post-mortem</t>
  </si>
  <si>
    <t>Content Total</t>
  </si>
  <si>
    <t>GUI Mock-up</t>
  </si>
  <si>
    <t>Storyboard clean-up</t>
  </si>
  <si>
    <t>Visual media assets</t>
  </si>
  <si>
    <t>Clips</t>
  </si>
  <si>
    <t>Audio synch</t>
  </si>
  <si>
    <t>Multimedia Total</t>
  </si>
  <si>
    <t>Feasibility study</t>
  </si>
  <si>
    <t>Deployment analysis</t>
  </si>
  <si>
    <t>GUI hook-up</t>
  </si>
  <si>
    <t>Interactivity templates</t>
  </si>
  <si>
    <t>Custom interactivity</t>
  </si>
  <si>
    <t>Deployment release</t>
  </si>
  <si>
    <t>Revised deploy. Proof</t>
  </si>
  <si>
    <t>Build to dep. Env.</t>
  </si>
  <si>
    <t>Technology Total</t>
  </si>
  <si>
    <t>Quality Assurance</t>
  </si>
  <si>
    <t>Review script</t>
  </si>
  <si>
    <t>Review Alpha</t>
  </si>
  <si>
    <t>Review audio script</t>
  </si>
  <si>
    <t>Review Beta</t>
  </si>
  <si>
    <t>Review Final</t>
  </si>
  <si>
    <t xml:space="preserve"> QA Total</t>
  </si>
  <si>
    <t>Organize team</t>
  </si>
  <si>
    <t>Project set-up</t>
  </si>
  <si>
    <t>What we know doc</t>
  </si>
  <si>
    <t>Meeting notes</t>
  </si>
  <si>
    <t>Project plan</t>
  </si>
  <si>
    <t>Change reqs in JIRA</t>
  </si>
  <si>
    <t xml:space="preserve"> Project Management Total</t>
  </si>
  <si>
    <t>Grand Total</t>
  </si>
  <si>
    <t>Cost of sales</t>
  </si>
  <si>
    <t>Direct sales costs</t>
  </si>
  <si>
    <t>Rate/Hr*</t>
  </si>
  <si>
    <t>Costs</t>
  </si>
  <si>
    <t>Direct selling expenses (e.g., travel)</t>
  </si>
  <si>
    <t>Sales &amp; Marketing time allocation</t>
  </si>
  <si>
    <t>VP-Sales</t>
  </si>
  <si>
    <t>Sales personnel</t>
  </si>
  <si>
    <t>VP-Marketing</t>
  </si>
  <si>
    <t>Marketing personnel</t>
  </si>
  <si>
    <t>CEO</t>
  </si>
  <si>
    <t>Other</t>
  </si>
  <si>
    <t>Sales commission</t>
  </si>
  <si>
    <t>Project Manager time</t>
  </si>
  <si>
    <t>Content time</t>
  </si>
  <si>
    <t>Multi-media time</t>
  </si>
  <si>
    <t>Total direct sales costs</t>
  </si>
  <si>
    <t>Indirect sales costs</t>
  </si>
  <si>
    <t>Marketing expenses</t>
  </si>
  <si>
    <t>Sales expenses not allocated to wins</t>
  </si>
  <si>
    <t>Sales &amp; Marketing time not directly allocated</t>
  </si>
  <si>
    <t>Total indirect sales costs</t>
  </si>
  <si>
    <t>Total cost of sales</t>
  </si>
  <si>
    <t>and a net utilization of 80% for sales/marketing (after training and holidays)</t>
  </si>
  <si>
    <t>Overhead allocation</t>
  </si>
  <si>
    <t>General overhead expenses</t>
  </si>
  <si>
    <t>Rate/Hr**</t>
  </si>
  <si>
    <t>Costs*</t>
  </si>
  <si>
    <t>Office</t>
  </si>
  <si>
    <t>Building expenses</t>
  </si>
  <si>
    <t>Rent &amp; utilities</t>
  </si>
  <si>
    <t>Parking</t>
  </si>
  <si>
    <t>Other (e.g., bank charges, employee meals)</t>
  </si>
  <si>
    <t>Information technology</t>
  </si>
  <si>
    <t>Time allocated from Tech. department</t>
  </si>
  <si>
    <t>IT supplies and computers</t>
  </si>
  <si>
    <t>Overhead sub-total</t>
  </si>
  <si>
    <t>Target bonus pool for the year</t>
  </si>
  <si>
    <t>Total overhead costs</t>
  </si>
  <si>
    <t>Margin allocation</t>
  </si>
  <si>
    <t>Price increment to achieve target margins of:</t>
  </si>
  <si>
    <t>MM Lead</t>
  </si>
  <si>
    <t>MM Production</t>
  </si>
  <si>
    <t>Interactivity Level (1-3)</t>
  </si>
  <si>
    <t>GUI (1=Custom, 0=template)</t>
  </si>
  <si>
    <t>GUI Hook-up</t>
  </si>
  <si>
    <t>Interactivity Development</t>
  </si>
  <si>
    <t>Audio Production</t>
  </si>
  <si>
    <t>Talent Cost</t>
  </si>
  <si>
    <t>Music</t>
  </si>
  <si>
    <t>Audio Total</t>
  </si>
  <si>
    <t>Visual Media Level (1-3)</t>
  </si>
  <si>
    <t>Concepting</t>
  </si>
  <si>
    <t>Music (1=yes, 0=no)</t>
  </si>
  <si>
    <t>Prep</t>
  </si>
  <si>
    <t>Record / Edit</t>
  </si>
  <si>
    <t>Voice Over (1=yes, 0=no)</t>
  </si>
  <si>
    <t>Additional voice talent</t>
  </si>
  <si>
    <t>Prototype</t>
  </si>
  <si>
    <t>Special Content Workshop (enter hours here)</t>
  </si>
  <si>
    <t>Prototyping</t>
  </si>
  <si>
    <t>Design Doc cleanup</t>
  </si>
  <si>
    <t>Kickoff length</t>
  </si>
  <si>
    <t>Producer</t>
  </si>
  <si>
    <t>Style guide</t>
  </si>
  <si>
    <t>Prototype/DD review</t>
  </si>
  <si>
    <t>Team meeting</t>
  </si>
  <si>
    <t>Tech Lead</t>
  </si>
  <si>
    <t>Tech Production</t>
  </si>
  <si>
    <t>Deployment contact</t>
  </si>
  <si>
    <t>Associate Producer</t>
  </si>
  <si>
    <t>Total</t>
  </si>
  <si>
    <t>Kickoff Location (1=phone, 2=enspire, 3=client)</t>
  </si>
  <si>
    <t>Coordination</t>
  </si>
  <si>
    <t>Client communication</t>
  </si>
  <si>
    <t>Additional Tool/Technology Dev (1-5)</t>
  </si>
  <si>
    <t>Deployment Context (1=No LMS; 2=SCORM LMS; 3=Custom LMS or Reporting)</t>
  </si>
  <si>
    <t>Custom tool development</t>
  </si>
  <si>
    <t>Custom tool integration</t>
  </si>
  <si>
    <t>FTEs</t>
  </si>
  <si>
    <t>available</t>
  </si>
  <si>
    <t>Contractor**</t>
  </si>
  <si>
    <t>na</t>
  </si>
  <si>
    <t>QA (Contractor)**</t>
  </si>
  <si>
    <t>Total production hours available***</t>
  </si>
  <si>
    <t>Weighted average cost per hour (excluding contractors)</t>
  </si>
  <si>
    <t xml:space="preserve"> ** Contractor cost based on average hourly rate within each department at 85% billable utilization; High variability within Content may require additional role breakdown</t>
  </si>
  <si>
    <t>Sales estimation tool (area in Green)</t>
  </si>
  <si>
    <t>Cost</t>
  </si>
  <si>
    <t xml:space="preserve">Cost per </t>
  </si>
  <si>
    <t>Allocated</t>
  </si>
  <si>
    <t>base***</t>
  </si>
  <si>
    <t>Prod. Hr</t>
  </si>
  <si>
    <t>M1</t>
  </si>
  <si>
    <t>M2</t>
  </si>
  <si>
    <t>Technology (T2) time</t>
  </si>
  <si>
    <t>Sr. Mgnt. (eventually charge time to sales as well)</t>
  </si>
  <si>
    <t xml:space="preserve"> * Costs allocated to this project based on 75% billable hours in production</t>
  </si>
  <si>
    <t xml:space="preserve"> ** Rate/hr assumes management available 85% of time (Other is vacation, sick leave, trainings, holidays, etc.)</t>
  </si>
  <si>
    <t>*** Cost base is total cost available in the year</t>
  </si>
  <si>
    <t>Margin charge-up</t>
  </si>
  <si>
    <t>Sensitivity</t>
  </si>
  <si>
    <t>Production hours to drive profitability to zero</t>
  </si>
  <si>
    <t>Note: Hours available assume all hours consumed by specific role</t>
  </si>
  <si>
    <t>Contractor</t>
  </si>
  <si>
    <t>Sub-total</t>
  </si>
  <si>
    <t>Percent of hours available by role</t>
  </si>
  <si>
    <t>Total cost</t>
  </si>
  <si>
    <t>per FTE</t>
  </si>
  <si>
    <t>Total project</t>
  </si>
  <si>
    <t>price</t>
  </si>
  <si>
    <t>hour</t>
  </si>
  <si>
    <t>MM Contractor**</t>
  </si>
  <si>
    <t>*** Includes FTEs and contractors (Assumes 90% billable utilization on contractors)</t>
  </si>
  <si>
    <t>SCD</t>
  </si>
  <si>
    <t>ID</t>
  </si>
  <si>
    <t xml:space="preserve">* Rate per hour assumes a billable utilization of based on L98 hours (and equiv. utilization) for production personnel </t>
  </si>
  <si>
    <t>Predicted</t>
  </si>
  <si>
    <t>Actual</t>
  </si>
  <si>
    <t>CT</t>
  </si>
  <si>
    <t>MM</t>
  </si>
  <si>
    <t>Tech</t>
  </si>
  <si>
    <t>Safeguard: Envelopes</t>
  </si>
  <si>
    <t>Safeguard: Cards</t>
  </si>
  <si>
    <t>SAP: Virtual Teams</t>
  </si>
  <si>
    <t>Safeguard: Laserforms</t>
  </si>
  <si>
    <t>Whole Foods: DSHEA</t>
  </si>
  <si>
    <t>THR: CDR</t>
  </si>
  <si>
    <t>CapOne: PacDeal</t>
  </si>
  <si>
    <t>AHA: orientation</t>
  </si>
  <si>
    <t>UTC: ITO</t>
  </si>
  <si>
    <t>Yahoo: FocalReview</t>
  </si>
  <si>
    <t>ECI: SocDev</t>
  </si>
  <si>
    <t>Safeguard: Laserchecks</t>
  </si>
  <si>
    <t>Pitney: Data Security</t>
  </si>
  <si>
    <t>Effective Edge: Refresher</t>
  </si>
  <si>
    <t>Canon: Techsales</t>
  </si>
  <si>
    <t>AHA: Instructor</t>
  </si>
  <si>
    <t>Canon: B&amp;W</t>
  </si>
  <si>
    <t>KLA: MyTime</t>
  </si>
  <si>
    <t>Orthoclear: Cert Training</t>
  </si>
  <si>
    <t>Pitney: FlowCom</t>
  </si>
  <si>
    <t>CapOne: NPV</t>
  </si>
  <si>
    <t>Flashvue: Video Interview</t>
  </si>
  <si>
    <t>Projects</t>
  </si>
  <si>
    <t>SampleProjects</t>
  </si>
  <si>
    <t>Total Hours</t>
  </si>
  <si>
    <t>%Diff</t>
  </si>
  <si>
    <t>Safeguard: Bus Stationary</t>
  </si>
  <si>
    <t>Whole Foods: QS</t>
  </si>
  <si>
    <t>ISD: Advanstar</t>
  </si>
  <si>
    <t>NewEstimate</t>
  </si>
  <si>
    <t>Additional Voice Talent</t>
  </si>
  <si>
    <t>Entry Field</t>
  </si>
  <si>
    <t>508 Compliance</t>
  </si>
  <si>
    <t>508 Compliance (1=yes, 0=no)</t>
  </si>
  <si>
    <t>Audio</t>
  </si>
  <si>
    <t>Interactivity Frequency (1-3)</t>
  </si>
  <si>
    <t>Hours/120 segs</t>
  </si>
  <si>
    <t>CapOne:Info Security</t>
  </si>
  <si>
    <t>Dropdown Data</t>
  </si>
  <si>
    <t>yes</t>
  </si>
  <si>
    <t>no</t>
  </si>
  <si>
    <t>Image Acquisition</t>
  </si>
  <si>
    <t>Photographer</t>
  </si>
  <si>
    <t xml:space="preserve">Talent </t>
  </si>
  <si>
    <t>Location</t>
  </si>
  <si>
    <t>Version</t>
  </si>
  <si>
    <t>Notes</t>
  </si>
  <si>
    <t>Makeup</t>
  </si>
  <si>
    <t>Food</t>
  </si>
  <si>
    <t>Photoshoot</t>
  </si>
  <si>
    <t>Talent</t>
  </si>
  <si>
    <t>Locations</t>
  </si>
  <si>
    <t>Locations (0=Green screen)</t>
  </si>
  <si>
    <t>Phtotoshoot</t>
  </si>
  <si>
    <t>Other images</t>
  </si>
  <si>
    <t>Other (illustrations or purchased stock photos)</t>
  </si>
  <si>
    <t>oop --&gt;</t>
  </si>
  <si>
    <t>Added a total of 3 hours (1.5 design, 1.5 hook-up) if template GUI is used
Added dollars for illustrations and photo shoots (if no photo shoot then automatic dollars for image acquisition based on visual media level</t>
  </si>
  <si>
    <t>Added sound design
Removed non-functional old Photo shoot line</t>
  </si>
  <si>
    <t>Sound Design</t>
  </si>
  <si>
    <t>Quoted</t>
  </si>
  <si>
    <t>Price</t>
  </si>
  <si>
    <t>Margin</t>
  </si>
  <si>
    <t>At Cost</t>
  </si>
  <si>
    <t>Removed celebration and debrief modifier for historical projects
Lowered design time from 9 hours/120 segs to 8 hours/120 segs
Pricing Overview reformatted</t>
  </si>
  <si>
    <t>$/hour</t>
  </si>
  <si>
    <t>Percent of hours in each role (Blank cells filled in to lowest role)</t>
  </si>
  <si>
    <t>Pricing Overview</t>
  </si>
  <si>
    <t>GUI (yes/no)</t>
  </si>
  <si>
    <t>Voice Over (yes/no)</t>
  </si>
  <si>
    <t>Music (yes/no)</t>
  </si>
  <si>
    <t>Team Events (includes SB days)</t>
  </si>
  <si>
    <t>Travel</t>
  </si>
  <si>
    <t>Add back in OOP expenses for PM Team Events and Travel</t>
  </si>
  <si>
    <t>Instructional Designer</t>
  </si>
  <si>
    <t>Senior Content Developer</t>
  </si>
  <si>
    <t>Content Developer</t>
  </si>
  <si>
    <t>MM Project Lead</t>
  </si>
  <si>
    <t>Tech Project Lead</t>
  </si>
  <si>
    <t>Fixed error in OOP photographer expense.</t>
  </si>
  <si>
    <t>Initial</t>
  </si>
  <si>
    <t>AT</t>
  </si>
  <si>
    <t>Notes added</t>
  </si>
  <si>
    <t>DB</t>
  </si>
  <si>
    <t>6.9.1</t>
  </si>
  <si>
    <t>Edited 0176 (OOP for voice talent) was not scaling properly. Did not feel that this was a big enough change to go to version 7.</t>
  </si>
  <si>
    <t>removed staffing option &amp; custom tool configuration choice from green area</t>
  </si>
  <si>
    <t>AD</t>
  </si>
  <si>
    <t>Minitab: QT</t>
  </si>
  <si>
    <t>SAP: Business One</t>
  </si>
  <si>
    <t>Orbis: Clinical Management</t>
  </si>
  <si>
    <t>Clorox: Process</t>
  </si>
  <si>
    <t>Added data for Clorox, Minitab, Orbis; amended Flashview data</t>
  </si>
  <si>
    <t>NK</t>
  </si>
  <si>
    <t>Deployment Context (1=No LMS or SCORM Level 1 Support; 2=SCORM Level 2 Support)</t>
  </si>
  <si>
    <t>Revised LMS category for new SOW language</t>
  </si>
  <si>
    <t>JC</t>
  </si>
  <si>
    <t>Audio and photo OOP and hours adjusted</t>
  </si>
  <si>
    <t>DC</t>
  </si>
  <si>
    <t>Casting/Scheduling</t>
  </si>
  <si>
    <t>Shoot</t>
  </si>
  <si>
    <t>Keying/Color Correct</t>
  </si>
  <si>
    <t>Added hours for photo production and adjusted sound design/music hours</t>
  </si>
  <si>
    <t>Photoshoot Total</t>
  </si>
  <si>
    <t>Multimedia Level Descriptions</t>
  </si>
  <si>
    <t>Level 1 Multimedia: Audiovisual production including static illustrations, iconographics, stock photography, and client-provided assets.</t>
  </si>
  <si>
    <t>Level 2 Multimedia: Audiovisual production such as basic animations and some custom-developed images including iconographics, illustrations, and photography.</t>
  </si>
  <si>
    <t>Level 3 Multimedia: Audiovisual production such as complex animations and a frequent custom developed images including illustrations, iconographics, and photography.</t>
  </si>
  <si>
    <t xml:space="preserve">Level 1 Interactivity: All interactivities are based on Enspire's interactivity templates (e.g. multiple choice, true/false). The appearance of interactivity templates is aligned with that of the interface and does not vary from instance to instance. </t>
  </si>
  <si>
    <t>Level 2 Interactivity: Interactive elements are tailored from advanced templates and may include dynamic assessments, drag-and-drop elements, and basic learning games, demonstrations of software, template-based and custom.</t>
  </si>
  <si>
    <t>Level 3 Interactivity: The overall course is typically linear, but the learning experience may be substantially built around advanced non-linear activities such as learning games and simple simulations. Interactivities are mostly based on advanced templates but may include a limited number of entirely custom-designed interactivities such as interactive graphs and spreadsheets.</t>
  </si>
  <si>
    <t>Added the automatically generating line item descriptors starting at AE3</t>
  </si>
  <si>
    <t>Line Items for Proposal (Automatically Generated)</t>
  </si>
  <si>
    <t>Interactivity Level Descriptions</t>
  </si>
  <si>
    <t>SVP</t>
  </si>
  <si>
    <t>Changed Audio sum to SVP total hours to include I194 photo hours which weren't populating anywhere in total hours before</t>
  </si>
  <si>
    <t>JP</t>
  </si>
  <si>
    <t>SR</t>
  </si>
  <si>
    <t>incorporates the sum of OOP expenses into the three $/hr cells in column P</t>
  </si>
  <si>
    <t>($-OOP)/hour</t>
  </si>
  <si>
    <t>numbers from Bjorn, 1/11/08</t>
  </si>
  <si>
    <t>Overhead Costs</t>
  </si>
  <si>
    <t>Rev/prod.</t>
  </si>
  <si>
    <t>(Rev-OOP)/</t>
  </si>
  <si>
    <t>prod hour</t>
  </si>
  <si>
    <t>At Minimum</t>
  </si>
  <si>
    <t>At $95/hr</t>
  </si>
  <si>
    <t xml:space="preserve">  Total OOP Exp.</t>
  </si>
  <si>
    <t>-</t>
  </si>
  <si>
    <t>New margins based on new costs 1/11/08; outputs at the top pricing area changed to reflect margin minimums and $95/hr sales agreement; added the total oop expenses to the top box.</t>
  </si>
  <si>
    <t>Added to cover greater OOP expenses for food/celebrations</t>
  </si>
  <si>
    <t>Changed auto-populated text related to video lever</t>
  </si>
  <si>
    <t>NOTE: If there is a video estimate included that isn't a separate line item, consider adding this text too, "Custom video shoot with advanced features"</t>
  </si>
  <si>
    <t>Design Prototype (Storyboards)</t>
  </si>
  <si>
    <t>Updated low QA output error</t>
  </si>
  <si>
    <t>If we could convince the client, something with more MM including silhouette avatars placed in a shoot of the actual DAU campus would be cool, but it would require a different $</t>
  </si>
  <si>
    <t>3-4 main characters with some extra people to interact with</t>
  </si>
  <si>
    <t>The price in the proposal will have $11k on top to account for what we would owe UCF</t>
  </si>
  <si>
    <t>Includes a Needs Analysis phase -- majority content, some PM</t>
  </si>
  <si>
    <t>Needs Analysis</t>
  </si>
  <si>
    <t>About 1.5 hr seat time</t>
  </si>
  <si>
    <t>Now includes travel hours and an expense budget for 3 trips</t>
  </si>
  <si>
    <t>1.       Kickoff, CT and PM, 1 day event, content stay one extra day for jump starting needs analysis</t>
  </si>
  <si>
    <t>2.       Needs analysis – 2 days for CT, maybe focus group</t>
  </si>
  <si>
    <t>3.       Student/Instructor pilot – we don’t know when, CT and PM, 1.5 days – may need to be there longer than just the one day in order to help facilitate feedback review</t>
  </si>
  <si>
    <t>Days</t>
  </si>
  <si>
    <t>Nights</t>
  </si>
  <si>
    <t>Airfare</t>
  </si>
  <si>
    <t>Per diem</t>
  </si>
  <si>
    <t>Hotel</t>
  </si>
  <si>
    <t>CT Hours</t>
  </si>
  <si>
    <t>PM Hours</t>
  </si>
</sst>
</file>

<file path=xl/styles.xml><?xml version="1.0" encoding="utf-8"?>
<styleSheet xmlns="http://schemas.openxmlformats.org/spreadsheetml/2006/main">
  <numFmts count="11">
    <numFmt numFmtId="5" formatCode="&quot;$&quot;#,##0_);\(&quot;$&quot;#,##0\)"/>
    <numFmt numFmtId="7" formatCode="&quot;$&quot;#,##0.00_);\(&quot;$&quot;#,##0.00\)"/>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0.0%"/>
    <numFmt numFmtId="167" formatCode="&quot;$&quot;#,##0.0_);\(&quot;$&quot;#,##0.0\)"/>
    <numFmt numFmtId="168" formatCode="_(* #,##0_);_(* \(#,##0\);_(* &quot;-&quot;??_);_(@_)"/>
    <numFmt numFmtId="169" formatCode="&quot;$&quot;#,##0.00"/>
  </numFmts>
  <fonts count="15">
    <font>
      <sz val="10"/>
      <name val="Arial"/>
    </font>
    <font>
      <sz val="10"/>
      <name val="Arial"/>
      <family val="2"/>
    </font>
    <font>
      <b/>
      <sz val="10"/>
      <name val="Arial"/>
      <family val="2"/>
    </font>
    <font>
      <b/>
      <sz val="10"/>
      <color indexed="9"/>
      <name val="Arial"/>
      <family val="2"/>
    </font>
    <font>
      <sz val="10"/>
      <color indexed="9"/>
      <name val="Arial"/>
      <family val="2"/>
    </font>
    <font>
      <sz val="10"/>
      <color indexed="10"/>
      <name val="Arial"/>
      <family val="2"/>
    </font>
    <font>
      <sz val="10"/>
      <name val="Arial"/>
      <family val="2"/>
    </font>
    <font>
      <i/>
      <sz val="10"/>
      <name val="Arial"/>
      <family val="2"/>
    </font>
    <font>
      <b/>
      <sz val="8"/>
      <color indexed="81"/>
      <name val="Tahoma"/>
      <family val="2"/>
    </font>
    <font>
      <sz val="8"/>
      <color indexed="81"/>
      <name val="Tahoma"/>
      <family val="2"/>
    </font>
    <font>
      <b/>
      <sz val="8"/>
      <name val="Arial"/>
      <family val="2"/>
    </font>
    <font>
      <b/>
      <u/>
      <sz val="10"/>
      <name val="Arial"/>
      <family val="2"/>
    </font>
    <font>
      <u/>
      <sz val="10"/>
      <name val="Arial"/>
      <family val="2"/>
    </font>
    <font>
      <sz val="8"/>
      <name val="Arial"/>
      <family val="2"/>
    </font>
    <font>
      <sz val="10"/>
      <name val="Arial"/>
      <family val="2"/>
    </font>
  </fonts>
  <fills count="15">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indexed="10"/>
        <bgColor indexed="64"/>
      </patternFill>
    </fill>
    <fill>
      <patternFill patternType="solid">
        <fgColor indexed="8"/>
        <bgColor indexed="64"/>
      </patternFill>
    </fill>
    <fill>
      <patternFill patternType="solid">
        <fgColor indexed="42"/>
        <bgColor indexed="64"/>
      </patternFill>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45"/>
        <bgColor indexed="64"/>
      </patternFill>
    </fill>
    <fill>
      <patternFill patternType="solid">
        <fgColor indexed="31"/>
        <bgColor indexed="64"/>
      </patternFill>
    </fill>
    <fill>
      <patternFill patternType="solid">
        <fgColor indexed="30"/>
        <bgColor indexed="64"/>
      </patternFill>
    </fill>
    <fill>
      <patternFill patternType="solid">
        <fgColor indexed="47"/>
        <bgColor indexed="64"/>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2">
    <xf numFmtId="0" fontId="0" fillId="0" borderId="0" xfId="0"/>
    <xf numFmtId="0" fontId="2" fillId="0" borderId="0" xfId="0" applyFont="1"/>
    <xf numFmtId="0" fontId="3" fillId="2" borderId="1" xfId="0" applyFont="1" applyFill="1" applyBorder="1"/>
    <xf numFmtId="0" fontId="3" fillId="2" borderId="2" xfId="0" applyFont="1" applyFill="1" applyBorder="1"/>
    <xf numFmtId="0" fontId="4" fillId="2" borderId="2" xfId="0" applyFont="1" applyFill="1" applyBorder="1"/>
    <xf numFmtId="0" fontId="0" fillId="0" borderId="2" xfId="0" applyBorder="1"/>
    <xf numFmtId="0" fontId="0" fillId="0" borderId="3" xfId="0" applyBorder="1"/>
    <xf numFmtId="0" fontId="0" fillId="0" borderId="4" xfId="0" applyBorder="1"/>
    <xf numFmtId="0" fontId="2" fillId="0" borderId="0" xfId="0" applyFont="1" applyBorder="1"/>
    <xf numFmtId="0" fontId="0" fillId="0" borderId="0" xfId="0" applyBorder="1"/>
    <xf numFmtId="0" fontId="2" fillId="0" borderId="0" xfId="0" applyFont="1" applyBorder="1" applyAlignment="1">
      <alignment horizontal="right"/>
    </xf>
    <xf numFmtId="0" fontId="0" fillId="0" borderId="5" xfId="0" applyBorder="1"/>
    <xf numFmtId="0" fontId="0" fillId="3" borderId="0" xfId="0" applyFill="1" applyBorder="1"/>
    <xf numFmtId="0" fontId="0" fillId="0" borderId="0" xfId="0" applyFill="1" applyBorder="1"/>
    <xf numFmtId="0" fontId="0" fillId="0" borderId="5" xfId="0" applyFill="1" applyBorder="1"/>
    <xf numFmtId="0" fontId="0" fillId="0" borderId="0" xfId="0" applyFill="1"/>
    <xf numFmtId="0" fontId="0" fillId="0" borderId="6" xfId="0" applyBorder="1"/>
    <xf numFmtId="0" fontId="0" fillId="0" borderId="7" xfId="0" applyBorder="1"/>
    <xf numFmtId="0" fontId="0" fillId="0" borderId="8" xfId="0" applyFill="1" applyBorder="1"/>
    <xf numFmtId="0" fontId="0" fillId="0" borderId="3" xfId="0" applyFill="1" applyBorder="1"/>
    <xf numFmtId="0" fontId="2" fillId="0" borderId="0" xfId="0" applyFont="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alignment horizontal="center"/>
    </xf>
    <xf numFmtId="0" fontId="2" fillId="0" borderId="5" xfId="0" applyFont="1" applyFill="1" applyBorder="1" applyAlignment="1">
      <alignment horizontal="center"/>
    </xf>
    <xf numFmtId="0" fontId="6" fillId="0" borderId="0" xfId="0" applyFont="1" applyBorder="1"/>
    <xf numFmtId="0" fontId="0" fillId="0" borderId="7" xfId="0" applyFill="1" applyBorder="1"/>
    <xf numFmtId="0" fontId="0" fillId="0" borderId="2" xfId="0" applyFill="1" applyBorder="1"/>
    <xf numFmtId="0" fontId="0" fillId="0" borderId="0" xfId="0" applyBorder="1" applyAlignment="1">
      <alignment horizontal="center"/>
    </xf>
    <xf numFmtId="0" fontId="2" fillId="0" borderId="0" xfId="0" applyFont="1" applyFill="1" applyBorder="1"/>
    <xf numFmtId="0" fontId="7" fillId="0" borderId="0" xfId="0" applyFont="1" applyFill="1" applyBorder="1"/>
    <xf numFmtId="0" fontId="2" fillId="0" borderId="7" xfId="0" applyFont="1" applyBorder="1"/>
    <xf numFmtId="0" fontId="0" fillId="0" borderId="8" xfId="0" applyBorder="1"/>
    <xf numFmtId="0" fontId="2" fillId="0" borderId="4" xfId="0" applyFont="1" applyBorder="1"/>
    <xf numFmtId="0" fontId="3" fillId="0" borderId="4" xfId="0" applyFont="1" applyFill="1" applyBorder="1"/>
    <xf numFmtId="0" fontId="3" fillId="0" borderId="0" xfId="0" applyFont="1" applyFill="1" applyBorder="1"/>
    <xf numFmtId="0" fontId="4" fillId="0" borderId="0" xfId="0" applyFont="1" applyFill="1" applyBorder="1"/>
    <xf numFmtId="9" fontId="0" fillId="0" borderId="0" xfId="0" applyNumberFormat="1" applyBorder="1"/>
    <xf numFmtId="9" fontId="0" fillId="0" borderId="0" xfId="0" applyNumberFormat="1" applyBorder="1" applyAlignment="1">
      <alignment horizontal="left"/>
    </xf>
    <xf numFmtId="165" fontId="0" fillId="0" borderId="0" xfId="0" applyNumberFormat="1" applyBorder="1"/>
    <xf numFmtId="1" fontId="0" fillId="0" borderId="0" xfId="0" applyNumberFormat="1" applyFill="1" applyBorder="1"/>
    <xf numFmtId="1" fontId="7" fillId="0" borderId="0" xfId="0" applyNumberFormat="1" applyFont="1" applyFill="1" applyBorder="1"/>
    <xf numFmtId="1" fontId="2" fillId="0" borderId="0" xfId="0" applyNumberFormat="1" applyFont="1" applyFill="1" applyBorder="1"/>
    <xf numFmtId="1" fontId="7" fillId="0" borderId="0" xfId="0" applyNumberFormat="1" applyFont="1" applyBorder="1"/>
    <xf numFmtId="1" fontId="0" fillId="0" borderId="0" xfId="0" applyNumberFormat="1" applyBorder="1"/>
    <xf numFmtId="1" fontId="2" fillId="0" borderId="0" xfId="0" applyNumberFormat="1" applyFont="1" applyBorder="1"/>
    <xf numFmtId="0" fontId="6" fillId="0" borderId="0" xfId="0" applyFont="1" applyFill="1" applyBorder="1"/>
    <xf numFmtId="9" fontId="2" fillId="0" borderId="0" xfId="0" applyNumberFormat="1" applyFont="1" applyFill="1" applyBorder="1" applyAlignment="1">
      <alignment horizontal="center"/>
    </xf>
    <xf numFmtId="5" fontId="0" fillId="0" borderId="0" xfId="0" applyNumberFormat="1" applyBorder="1" applyAlignment="1">
      <alignment horizontal="center"/>
    </xf>
    <xf numFmtId="3" fontId="0" fillId="0" borderId="0" xfId="0" applyNumberFormat="1" applyBorder="1" applyAlignment="1">
      <alignment horizontal="center"/>
    </xf>
    <xf numFmtId="0" fontId="0" fillId="0" borderId="0" xfId="0" applyFill="1" applyBorder="1" applyAlignment="1">
      <alignment horizontal="center"/>
    </xf>
    <xf numFmtId="3" fontId="2" fillId="0" borderId="0" xfId="0" applyNumberFormat="1" applyFont="1" applyBorder="1" applyAlignment="1">
      <alignment horizontal="center"/>
    </xf>
    <xf numFmtId="0" fontId="2" fillId="0" borderId="5" xfId="0" applyFont="1" applyBorder="1" applyAlignment="1">
      <alignment horizontal="center"/>
    </xf>
    <xf numFmtId="0" fontId="0" fillId="3" borderId="5" xfId="0" applyFill="1" applyBorder="1"/>
    <xf numFmtId="0" fontId="2" fillId="0" borderId="0" xfId="0" applyFont="1" applyAlignment="1">
      <alignment horizontal="center"/>
    </xf>
    <xf numFmtId="5" fontId="2" fillId="0" borderId="0" xfId="0" applyNumberFormat="1" applyFont="1" applyAlignment="1">
      <alignment horizontal="center"/>
    </xf>
    <xf numFmtId="5" fontId="0" fillId="0" borderId="0" xfId="0" applyNumberFormat="1"/>
    <xf numFmtId="167" fontId="0" fillId="0" borderId="0" xfId="0" applyNumberFormat="1" applyAlignment="1">
      <alignment horizontal="center"/>
    </xf>
    <xf numFmtId="0" fontId="6" fillId="0" borderId="4" xfId="0" applyFont="1" applyBorder="1"/>
    <xf numFmtId="167" fontId="6" fillId="0" borderId="0" xfId="0" applyNumberFormat="1" applyFont="1" applyAlignment="1">
      <alignment horizontal="center"/>
    </xf>
    <xf numFmtId="9" fontId="0" fillId="0" borderId="0" xfId="0" applyNumberFormat="1" applyFill="1" applyBorder="1" applyAlignment="1">
      <alignment horizontal="left"/>
    </xf>
    <xf numFmtId="0" fontId="10" fillId="0" borderId="0" xfId="0" applyFont="1" applyFill="1" applyBorder="1"/>
    <xf numFmtId="9" fontId="0" fillId="0" borderId="0" xfId="3" applyFont="1" applyFill="1" applyBorder="1"/>
    <xf numFmtId="9" fontId="0" fillId="0" borderId="0" xfId="3" applyFont="1" applyBorder="1"/>
    <xf numFmtId="9" fontId="7" fillId="0" borderId="0" xfId="3" applyFont="1" applyFill="1" applyBorder="1"/>
    <xf numFmtId="0" fontId="7" fillId="0" borderId="0" xfId="0" applyFont="1" applyBorder="1"/>
    <xf numFmtId="3" fontId="7" fillId="0" borderId="0" xfId="0" applyNumberFormat="1" applyFont="1" applyBorder="1" applyAlignment="1">
      <alignment horizontal="center"/>
    </xf>
    <xf numFmtId="166" fontId="2" fillId="0" borderId="0" xfId="3" applyNumberFormat="1" applyFont="1" applyBorder="1"/>
    <xf numFmtId="166" fontId="2" fillId="0" borderId="0" xfId="0" applyNumberFormat="1" applyFont="1" applyBorder="1"/>
    <xf numFmtId="166" fontId="2" fillId="4" borderId="0" xfId="3" applyNumberFormat="1" applyFont="1" applyFill="1" applyBorder="1"/>
    <xf numFmtId="9" fontId="7" fillId="0" borderId="0" xfId="0" applyNumberFormat="1" applyFont="1" applyBorder="1" applyAlignment="1">
      <alignment horizontal="right"/>
    </xf>
    <xf numFmtId="9" fontId="7" fillId="0" borderId="0" xfId="3" applyFont="1" applyBorder="1"/>
    <xf numFmtId="7" fontId="0" fillId="0" borderId="0" xfId="0" applyNumberFormat="1" applyBorder="1"/>
    <xf numFmtId="0" fontId="11" fillId="0" borderId="0" xfId="0" applyFont="1" applyFill="1" applyBorder="1" applyAlignment="1">
      <alignment horizontal="right"/>
    </xf>
    <xf numFmtId="0" fontId="11" fillId="0" borderId="0" xfId="0" applyFont="1" applyBorder="1" applyAlignment="1">
      <alignment horizontal="right"/>
    </xf>
    <xf numFmtId="0" fontId="11" fillId="0" borderId="0" xfId="0" applyFont="1" applyFill="1" applyBorder="1" applyAlignment="1">
      <alignment horizontal="center"/>
    </xf>
    <xf numFmtId="0" fontId="12" fillId="0" borderId="0" xfId="0" applyFont="1" applyBorder="1"/>
    <xf numFmtId="9" fontId="11" fillId="0" borderId="0" xfId="0" applyNumberFormat="1" applyFont="1" applyFill="1" applyBorder="1" applyAlignment="1">
      <alignment horizontal="center"/>
    </xf>
    <xf numFmtId="5" fontId="0" fillId="0" borderId="0" xfId="0" applyNumberFormat="1" applyBorder="1"/>
    <xf numFmtId="5" fontId="2" fillId="0" borderId="0" xfId="0" applyNumberFormat="1" applyFont="1" applyBorder="1"/>
    <xf numFmtId="5" fontId="0" fillId="0" borderId="0" xfId="0" applyNumberFormat="1" applyFill="1" applyBorder="1" applyAlignment="1">
      <alignment horizontal="right"/>
    </xf>
    <xf numFmtId="0" fontId="0" fillId="0" borderId="0" xfId="0" applyFill="1" applyBorder="1" applyAlignment="1">
      <alignment horizontal="right"/>
    </xf>
    <xf numFmtId="0" fontId="0" fillId="0" borderId="0" xfId="0" applyBorder="1" applyAlignment="1">
      <alignment horizontal="right"/>
    </xf>
    <xf numFmtId="5" fontId="2" fillId="0" borderId="0" xfId="0" applyNumberFormat="1" applyFont="1" applyBorder="1" applyAlignment="1">
      <alignment horizontal="right"/>
    </xf>
    <xf numFmtId="0" fontId="0" fillId="5" borderId="0" xfId="0" applyFill="1" applyBorder="1"/>
    <xf numFmtId="166" fontId="2" fillId="4" borderId="0" xfId="0" applyNumberFormat="1" applyFont="1" applyFill="1" applyBorder="1"/>
    <xf numFmtId="0" fontId="11" fillId="0" borderId="0" xfId="0" applyFont="1" applyBorder="1" applyAlignment="1">
      <alignment horizontal="center"/>
    </xf>
    <xf numFmtId="5" fontId="2" fillId="0" borderId="0" xfId="0" applyNumberFormat="1" applyFont="1" applyFill="1" applyBorder="1" applyAlignment="1">
      <alignment horizontal="right"/>
    </xf>
    <xf numFmtId="1" fontId="2" fillId="0" borderId="7" xfId="0" applyNumberFormat="1" applyFont="1" applyBorder="1"/>
    <xf numFmtId="5" fontId="2" fillId="0" borderId="7" xfId="0" applyNumberFormat="1" applyFont="1" applyBorder="1"/>
    <xf numFmtId="166" fontId="7" fillId="0" borderId="5" xfId="3" applyNumberFormat="1" applyFont="1" applyBorder="1"/>
    <xf numFmtId="7" fontId="2" fillId="0" borderId="0" xfId="0" applyNumberFormat="1" applyFont="1" applyBorder="1"/>
    <xf numFmtId="5" fontId="2" fillId="0" borderId="5" xfId="0" applyNumberFormat="1" applyFont="1" applyBorder="1"/>
    <xf numFmtId="7" fontId="6" fillId="0" borderId="0" xfId="0" applyNumberFormat="1" applyFont="1" applyBorder="1"/>
    <xf numFmtId="5" fontId="6" fillId="0" borderId="5" xfId="0" applyNumberFormat="1" applyFont="1" applyBorder="1"/>
    <xf numFmtId="0" fontId="6" fillId="0" borderId="5" xfId="0" applyFont="1" applyBorder="1"/>
    <xf numFmtId="0" fontId="2" fillId="3" borderId="0" xfId="0" applyFont="1" applyFill="1" applyBorder="1"/>
    <xf numFmtId="0" fontId="2" fillId="3" borderId="0" xfId="0" applyFont="1" applyFill="1" applyBorder="1" applyAlignment="1">
      <alignment horizontal="center"/>
    </xf>
    <xf numFmtId="9" fontId="2" fillId="3" borderId="0" xfId="0" applyNumberFormat="1" applyFont="1" applyFill="1" applyBorder="1" applyAlignment="1">
      <alignment horizontal="center"/>
    </xf>
    <xf numFmtId="9" fontId="2" fillId="3" borderId="5" xfId="0" applyNumberFormat="1" applyFont="1" applyFill="1" applyBorder="1" applyAlignment="1">
      <alignment horizontal="center"/>
    </xf>
    <xf numFmtId="7" fontId="0" fillId="3" borderId="0" xfId="0" applyNumberFormat="1" applyFill="1" applyBorder="1" applyAlignment="1">
      <alignment horizontal="center"/>
    </xf>
    <xf numFmtId="7" fontId="0" fillId="3" borderId="5" xfId="0" applyNumberFormat="1" applyFill="1" applyBorder="1" applyAlignment="1">
      <alignment horizontal="center"/>
    </xf>
    <xf numFmtId="7" fontId="2" fillId="3" borderId="0" xfId="0" applyNumberFormat="1" applyFont="1" applyFill="1" applyBorder="1" applyAlignment="1">
      <alignment horizontal="center"/>
    </xf>
    <xf numFmtId="7" fontId="2" fillId="3" borderId="5" xfId="0" applyNumberFormat="1" applyFont="1" applyFill="1" applyBorder="1" applyAlignment="1">
      <alignment horizontal="center"/>
    </xf>
    <xf numFmtId="166" fontId="0" fillId="3" borderId="0" xfId="3" applyNumberFormat="1" applyFont="1" applyFill="1" applyBorder="1" applyAlignment="1">
      <alignment horizontal="center"/>
    </xf>
    <xf numFmtId="166" fontId="0" fillId="3" borderId="5" xfId="3" applyNumberFormat="1" applyFont="1" applyFill="1" applyBorder="1" applyAlignment="1">
      <alignment horizontal="center"/>
    </xf>
    <xf numFmtId="0" fontId="0" fillId="0" borderId="0" xfId="0" applyAlignment="1">
      <alignment textRotation="90"/>
    </xf>
    <xf numFmtId="168" fontId="0" fillId="0" borderId="0" xfId="1" applyNumberFormat="1" applyFont="1" applyFill="1" applyBorder="1"/>
    <xf numFmtId="165" fontId="0" fillId="0" borderId="0" xfId="0" applyNumberFormat="1" applyFill="1" applyBorder="1"/>
    <xf numFmtId="165" fontId="7" fillId="0" borderId="0" xfId="0" applyNumberFormat="1" applyFont="1" applyFill="1" applyBorder="1"/>
    <xf numFmtId="165" fontId="6" fillId="0" borderId="0" xfId="0" applyNumberFormat="1" applyFont="1" applyFill="1" applyBorder="1"/>
    <xf numFmtId="165" fontId="7" fillId="0" borderId="0" xfId="0" applyNumberFormat="1" applyFont="1" applyBorder="1"/>
    <xf numFmtId="165" fontId="6" fillId="0" borderId="0" xfId="0" applyNumberFormat="1" applyFont="1" applyBorder="1"/>
    <xf numFmtId="165" fontId="2" fillId="0" borderId="0" xfId="0" applyNumberFormat="1" applyFont="1" applyBorder="1"/>
    <xf numFmtId="0" fontId="0" fillId="6" borderId="1" xfId="0" applyFill="1" applyBorder="1"/>
    <xf numFmtId="0" fontId="2" fillId="6" borderId="2" xfId="0" applyFont="1" applyFill="1" applyBorder="1"/>
    <xf numFmtId="0" fontId="0" fillId="6" borderId="2" xfId="0" applyFill="1" applyBorder="1"/>
    <xf numFmtId="0" fontId="0" fillId="6" borderId="3" xfId="0" applyFill="1" applyBorder="1"/>
    <xf numFmtId="0" fontId="0" fillId="6" borderId="4" xfId="0" applyFill="1" applyBorder="1"/>
    <xf numFmtId="0" fontId="0" fillId="6" borderId="0" xfId="0" applyFill="1" applyBorder="1"/>
    <xf numFmtId="0" fontId="0" fillId="6" borderId="0" xfId="0" applyFill="1"/>
    <xf numFmtId="0" fontId="0" fillId="6" borderId="5" xfId="0" applyFill="1" applyBorder="1"/>
    <xf numFmtId="0" fontId="2" fillId="6" borderId="0" xfId="0" applyFont="1" applyFill="1" applyBorder="1"/>
    <xf numFmtId="0" fontId="5" fillId="6" borderId="0" xfId="0" applyFont="1" applyFill="1" applyBorder="1"/>
    <xf numFmtId="0" fontId="5" fillId="6" borderId="5" xfId="0" applyFont="1" applyFill="1" applyBorder="1"/>
    <xf numFmtId="0" fontId="0" fillId="6" borderId="6" xfId="0" applyFill="1" applyBorder="1"/>
    <xf numFmtId="0" fontId="0" fillId="6" borderId="7" xfId="0" applyFill="1" applyBorder="1"/>
    <xf numFmtId="0" fontId="0" fillId="6" borderId="8" xfId="0" applyFill="1" applyBorder="1"/>
    <xf numFmtId="0" fontId="0" fillId="0" borderId="4" xfId="0" applyFill="1" applyBorder="1"/>
    <xf numFmtId="0" fontId="0" fillId="0" borderId="9" xfId="0" applyFill="1" applyBorder="1"/>
    <xf numFmtId="0" fontId="0" fillId="0" borderId="10" xfId="0" applyFill="1" applyBorder="1"/>
    <xf numFmtId="0" fontId="0" fillId="0" borderId="11" xfId="0" applyFill="1" applyBorder="1"/>
    <xf numFmtId="0" fontId="3" fillId="7" borderId="2" xfId="0" applyFont="1" applyFill="1" applyBorder="1"/>
    <xf numFmtId="0" fontId="4" fillId="7" borderId="2" xfId="0" applyFont="1" applyFill="1" applyBorder="1"/>
    <xf numFmtId="0" fontId="0" fillId="7" borderId="2" xfId="0" applyFill="1" applyBorder="1"/>
    <xf numFmtId="0" fontId="0" fillId="7" borderId="3" xfId="0" applyFill="1" applyBorder="1"/>
    <xf numFmtId="0" fontId="0" fillId="7" borderId="4" xfId="0" applyFill="1" applyBorder="1"/>
    <xf numFmtId="0" fontId="2" fillId="7" borderId="0" xfId="0" applyFont="1" applyFill="1" applyBorder="1"/>
    <xf numFmtId="0" fontId="0" fillId="7" borderId="0" xfId="0" applyFill="1" applyBorder="1"/>
    <xf numFmtId="0" fontId="2" fillId="7" borderId="0" xfId="0" applyFont="1" applyFill="1" applyBorder="1" applyAlignment="1">
      <alignment horizontal="right"/>
    </xf>
    <xf numFmtId="0" fontId="2" fillId="7" borderId="5" xfId="0" applyFont="1" applyFill="1" applyBorder="1"/>
    <xf numFmtId="0" fontId="0" fillId="7" borderId="5" xfId="0" applyFill="1" applyBorder="1"/>
    <xf numFmtId="165" fontId="0" fillId="7" borderId="5" xfId="0" applyNumberFormat="1" applyFill="1" applyBorder="1"/>
    <xf numFmtId="0" fontId="0" fillId="7" borderId="6" xfId="0" applyFill="1" applyBorder="1"/>
    <xf numFmtId="0" fontId="0" fillId="7" borderId="7" xfId="0" applyFill="1" applyBorder="1"/>
    <xf numFmtId="0" fontId="0" fillId="7" borderId="8" xfId="0" applyFill="1" applyBorder="1"/>
    <xf numFmtId="0" fontId="1" fillId="0" borderId="0" xfId="0" applyFont="1" applyFill="1"/>
    <xf numFmtId="0" fontId="2" fillId="7" borderId="1" xfId="0" applyFont="1" applyFill="1" applyBorder="1"/>
    <xf numFmtId="0" fontId="0" fillId="7" borderId="0" xfId="0" applyFill="1" applyAlignment="1">
      <alignment textRotation="90"/>
    </xf>
    <xf numFmtId="0" fontId="0" fillId="7" borderId="0" xfId="0" applyFill="1"/>
    <xf numFmtId="0" fontId="0" fillId="8" borderId="0" xfId="0" applyFill="1" applyBorder="1"/>
    <xf numFmtId="0" fontId="0" fillId="8" borderId="0" xfId="0" applyFill="1"/>
    <xf numFmtId="0" fontId="0" fillId="9" borderId="0" xfId="0" applyFill="1" applyBorder="1"/>
    <xf numFmtId="0" fontId="0" fillId="9" borderId="0" xfId="0" applyFill="1"/>
    <xf numFmtId="0" fontId="0" fillId="9" borderId="0" xfId="0" applyFill="1" applyAlignment="1">
      <alignment textRotation="90"/>
    </xf>
    <xf numFmtId="2" fontId="0" fillId="0" borderId="0" xfId="0" applyNumberFormat="1" applyFill="1" applyBorder="1"/>
    <xf numFmtId="0" fontId="0" fillId="0" borderId="0" xfId="0" applyAlignment="1">
      <alignment horizontal="center"/>
    </xf>
    <xf numFmtId="0" fontId="10" fillId="0" borderId="0" xfId="0" applyFont="1" applyAlignment="1">
      <alignment horizontal="right"/>
    </xf>
    <xf numFmtId="41" fontId="13" fillId="0" borderId="0" xfId="0" applyNumberFormat="1" applyFont="1" applyBorder="1"/>
    <xf numFmtId="0" fontId="0" fillId="8" borderId="1" xfId="0" applyFill="1" applyBorder="1"/>
    <xf numFmtId="0" fontId="0" fillId="8" borderId="3" xfId="0" applyFill="1" applyBorder="1"/>
    <xf numFmtId="0" fontId="0" fillId="8" borderId="4" xfId="0" applyFill="1" applyBorder="1"/>
    <xf numFmtId="0" fontId="0" fillId="8" borderId="5" xfId="0" applyFill="1" applyBorder="1"/>
    <xf numFmtId="0" fontId="0" fillId="8" borderId="2" xfId="0" applyFill="1" applyBorder="1"/>
    <xf numFmtId="0" fontId="0" fillId="0" borderId="9" xfId="0" applyFill="1" applyBorder="1" applyAlignment="1">
      <alignment horizontal="right"/>
    </xf>
    <xf numFmtId="0" fontId="0" fillId="0" borderId="10" xfId="0" applyFill="1" applyBorder="1" applyAlignment="1">
      <alignment horizontal="right"/>
    </xf>
    <xf numFmtId="0" fontId="0" fillId="0" borderId="11" xfId="0" applyFill="1" applyBorder="1" applyAlignment="1">
      <alignment horizontal="right"/>
    </xf>
    <xf numFmtId="0" fontId="0" fillId="7" borderId="0" xfId="0" applyFill="1" applyBorder="1" applyAlignment="1">
      <alignment horizontal="right"/>
    </xf>
    <xf numFmtId="0" fontId="6" fillId="0" borderId="0" xfId="0" applyFont="1"/>
    <xf numFmtId="0" fontId="0" fillId="0" borderId="0" xfId="0" applyAlignment="1">
      <alignment wrapText="1"/>
    </xf>
    <xf numFmtId="0" fontId="2" fillId="0" borderId="0" xfId="0" applyFont="1" applyAlignment="1">
      <alignment wrapText="1"/>
    </xf>
    <xf numFmtId="5" fontId="6" fillId="0" borderId="0" xfId="0" applyNumberFormat="1" applyFont="1" applyBorder="1"/>
    <xf numFmtId="10" fontId="7" fillId="0" borderId="5" xfId="0" applyNumberFormat="1" applyFont="1" applyBorder="1"/>
    <xf numFmtId="165" fontId="6" fillId="7" borderId="0" xfId="0" applyNumberFormat="1" applyFont="1" applyFill="1" applyBorder="1" applyAlignment="1">
      <alignment horizontal="center"/>
    </xf>
    <xf numFmtId="168" fontId="0" fillId="0" borderId="0" xfId="3" applyNumberFormat="1" applyFont="1" applyFill="1" applyBorder="1"/>
    <xf numFmtId="0" fontId="2" fillId="6" borderId="0" xfId="0" applyFont="1" applyFill="1" applyBorder="1" applyAlignment="1">
      <alignment horizontal="center"/>
    </xf>
    <xf numFmtId="5" fontId="0" fillId="6" borderId="0" xfId="0" applyNumberFormat="1" applyFill="1" applyBorder="1"/>
    <xf numFmtId="168" fontId="0" fillId="6" borderId="0" xfId="1" applyNumberFormat="1" applyFont="1" applyFill="1" applyBorder="1"/>
    <xf numFmtId="168" fontId="0" fillId="6" borderId="5" xfId="1" applyNumberFormat="1" applyFont="1" applyFill="1" applyBorder="1"/>
    <xf numFmtId="9" fontId="0" fillId="6" borderId="0" xfId="3" applyFont="1" applyFill="1" applyBorder="1"/>
    <xf numFmtId="9" fontId="0" fillId="6" borderId="5" xfId="3" applyFont="1" applyFill="1" applyBorder="1"/>
    <xf numFmtId="0" fontId="3" fillId="6" borderId="0" xfId="0" applyFont="1" applyFill="1" applyBorder="1"/>
    <xf numFmtId="0" fontId="4" fillId="6" borderId="0" xfId="0" applyFont="1" applyFill="1" applyBorder="1"/>
    <xf numFmtId="165" fontId="0" fillId="6" borderId="0" xfId="0" applyNumberFormat="1" applyFill="1" applyBorder="1"/>
    <xf numFmtId="0" fontId="2" fillId="0" borderId="1" xfId="0" applyFont="1" applyFill="1" applyBorder="1"/>
    <xf numFmtId="5" fontId="6" fillId="0" borderId="0" xfId="0" applyNumberFormat="1" applyFont="1" applyFill="1" applyBorder="1"/>
    <xf numFmtId="164" fontId="2" fillId="10" borderId="12" xfId="2" applyNumberFormat="1" applyFont="1" applyFill="1" applyBorder="1"/>
    <xf numFmtId="7" fontId="0" fillId="0" borderId="5" xfId="0" applyNumberFormat="1" applyBorder="1"/>
    <xf numFmtId="0" fontId="0" fillId="0" borderId="0" xfId="0" applyAlignment="1">
      <alignment horizontal="right"/>
    </xf>
    <xf numFmtId="0" fontId="5" fillId="0" borderId="0" xfId="0" applyFont="1" applyFill="1" applyBorder="1"/>
    <xf numFmtId="0" fontId="0" fillId="0" borderId="6" xfId="0" applyFill="1" applyBorder="1"/>
    <xf numFmtId="0" fontId="2" fillId="0" borderId="7" xfId="0" applyFont="1" applyFill="1" applyBorder="1"/>
    <xf numFmtId="0" fontId="2" fillId="0" borderId="7" xfId="0" applyFont="1" applyFill="1" applyBorder="1" applyAlignment="1">
      <alignment horizontal="left"/>
    </xf>
    <xf numFmtId="165" fontId="0" fillId="0" borderId="5" xfId="0" applyNumberFormat="1" applyFill="1" applyBorder="1"/>
    <xf numFmtId="0" fontId="0" fillId="0" borderId="1" xfId="0" applyFill="1" applyBorder="1"/>
    <xf numFmtId="0" fontId="2" fillId="0" borderId="2" xfId="0" applyFont="1" applyFill="1" applyBorder="1"/>
    <xf numFmtId="0" fontId="0" fillId="0" borderId="12" xfId="0" applyFill="1" applyBorder="1" applyAlignment="1">
      <alignment horizontal="right"/>
    </xf>
    <xf numFmtId="0" fontId="0" fillId="0" borderId="0" xfId="0" applyFill="1" applyAlignment="1">
      <alignment textRotation="90"/>
    </xf>
    <xf numFmtId="165" fontId="0" fillId="0" borderId="0" xfId="0" applyNumberFormat="1" applyBorder="1" applyAlignment="1">
      <alignment horizontal="center"/>
    </xf>
    <xf numFmtId="0" fontId="6" fillId="0" borderId="0" xfId="0" applyFont="1" applyAlignment="1">
      <alignment wrapText="1"/>
    </xf>
    <xf numFmtId="165" fontId="2" fillId="0" borderId="0" xfId="0" applyNumberFormat="1" applyFont="1" applyFill="1" applyBorder="1" applyAlignment="1">
      <alignment horizontal="right"/>
    </xf>
    <xf numFmtId="9" fontId="7" fillId="0" borderId="0" xfId="0" applyNumberFormat="1" applyFont="1" applyBorder="1"/>
    <xf numFmtId="0" fontId="2" fillId="11" borderId="1" xfId="0" applyFont="1" applyFill="1" applyBorder="1"/>
    <xf numFmtId="0" fontId="0" fillId="11" borderId="2" xfId="0" applyFill="1" applyBorder="1"/>
    <xf numFmtId="0" fontId="0" fillId="11" borderId="3" xfId="0" applyFill="1" applyBorder="1"/>
    <xf numFmtId="9" fontId="14" fillId="11" borderId="4" xfId="3" applyFont="1" applyFill="1" applyBorder="1"/>
    <xf numFmtId="0" fontId="0" fillId="11" borderId="0" xfId="0" applyFill="1" applyBorder="1"/>
    <xf numFmtId="0" fontId="0" fillId="11" borderId="5" xfId="0" applyFill="1" applyBorder="1"/>
    <xf numFmtId="0" fontId="0" fillId="11" borderId="4" xfId="0" applyFill="1" applyBorder="1"/>
    <xf numFmtId="0" fontId="6" fillId="11" borderId="4" xfId="0" applyFont="1" applyFill="1" applyBorder="1"/>
    <xf numFmtId="0" fontId="2" fillId="12" borderId="1" xfId="0" applyFont="1" applyFill="1" applyBorder="1"/>
    <xf numFmtId="0" fontId="0" fillId="12" borderId="2" xfId="0" applyFill="1" applyBorder="1"/>
    <xf numFmtId="0" fontId="0" fillId="12" borderId="3" xfId="0" applyFill="1" applyBorder="1"/>
    <xf numFmtId="0" fontId="6" fillId="12" borderId="4" xfId="0" applyFont="1" applyFill="1" applyBorder="1"/>
    <xf numFmtId="0" fontId="0" fillId="12" borderId="0" xfId="0" applyFill="1" applyBorder="1"/>
    <xf numFmtId="0" fontId="0" fillId="12" borderId="5" xfId="0" applyFill="1" applyBorder="1"/>
    <xf numFmtId="0" fontId="2" fillId="12" borderId="4" xfId="0" applyFont="1" applyFill="1" applyBorder="1"/>
    <xf numFmtId="0" fontId="0" fillId="12" borderId="4" xfId="0" applyFill="1" applyBorder="1"/>
    <xf numFmtId="0" fontId="0" fillId="12" borderId="6" xfId="0" applyFill="1" applyBorder="1"/>
    <xf numFmtId="0" fontId="0" fillId="12" borderId="7" xfId="0" applyFill="1" applyBorder="1"/>
    <xf numFmtId="0" fontId="0" fillId="12" borderId="8" xfId="0" applyFill="1" applyBorder="1"/>
    <xf numFmtId="0" fontId="2" fillId="0" borderId="2" xfId="0" applyFont="1" applyFill="1" applyBorder="1" applyAlignment="1">
      <alignment horizontal="center"/>
    </xf>
    <xf numFmtId="9" fontId="0" fillId="0" borderId="7" xfId="0" applyNumberFormat="1" applyFill="1" applyBorder="1" applyAlignment="1">
      <alignment horizontal="left"/>
    </xf>
    <xf numFmtId="7" fontId="0" fillId="0" borderId="7" xfId="0" applyNumberFormat="1" applyBorder="1"/>
    <xf numFmtId="0" fontId="0" fillId="0" borderId="1" xfId="0" applyBorder="1"/>
    <xf numFmtId="167" fontId="0" fillId="0" borderId="0" xfId="0" applyNumberFormat="1" applyBorder="1" applyAlignment="1">
      <alignment horizontal="center"/>
    </xf>
    <xf numFmtId="0" fontId="2" fillId="0" borderId="5" xfId="0" applyFont="1" applyBorder="1"/>
    <xf numFmtId="0" fontId="2" fillId="0" borderId="5" xfId="0" applyFont="1" applyBorder="1" applyAlignment="1">
      <alignment horizontal="right"/>
    </xf>
    <xf numFmtId="5" fontId="0" fillId="0" borderId="7" xfId="0" applyNumberFormat="1" applyBorder="1"/>
    <xf numFmtId="7" fontId="0" fillId="0" borderId="8" xfId="0" applyNumberFormat="1" applyBorder="1"/>
    <xf numFmtId="0" fontId="0" fillId="13" borderId="4" xfId="0" applyFill="1" applyBorder="1"/>
    <xf numFmtId="5" fontId="6" fillId="13" borderId="0" xfId="0" applyNumberFormat="1" applyFont="1" applyFill="1" applyBorder="1"/>
    <xf numFmtId="7" fontId="0" fillId="13" borderId="0" xfId="0" applyNumberFormat="1" applyFill="1" applyBorder="1"/>
    <xf numFmtId="7" fontId="0" fillId="13" borderId="5" xfId="0" applyNumberFormat="1" applyFill="1" applyBorder="1"/>
    <xf numFmtId="37" fontId="0" fillId="0" borderId="0" xfId="0" applyNumberFormat="1" applyBorder="1"/>
    <xf numFmtId="7" fontId="0" fillId="0" borderId="0" xfId="0" applyNumberFormat="1" applyFill="1" applyBorder="1"/>
    <xf numFmtId="7" fontId="0" fillId="0" borderId="5" xfId="0" applyNumberFormat="1" applyFill="1" applyBorder="1"/>
    <xf numFmtId="168" fontId="2" fillId="0" borderId="4" xfId="1" applyNumberFormat="1" applyFont="1" applyFill="1" applyBorder="1"/>
    <xf numFmtId="168" fontId="2" fillId="0" borderId="0" xfId="1" applyNumberFormat="1" applyFont="1" applyFill="1" applyBorder="1"/>
    <xf numFmtId="168" fontId="2" fillId="0" borderId="0" xfId="3" applyNumberFormat="1" applyFont="1" applyFill="1" applyBorder="1"/>
    <xf numFmtId="168" fontId="0" fillId="0" borderId="7" xfId="1" applyNumberFormat="1" applyFont="1" applyFill="1" applyBorder="1" applyAlignment="1">
      <alignment horizontal="center"/>
    </xf>
    <xf numFmtId="168" fontId="0" fillId="0" borderId="8" xfId="1" applyNumberFormat="1" applyFont="1" applyFill="1" applyBorder="1" applyAlignment="1">
      <alignment horizontal="center"/>
    </xf>
    <xf numFmtId="169" fontId="0" fillId="0" borderId="7" xfId="1" applyNumberFormat="1" applyFont="1" applyFill="1" applyBorder="1"/>
    <xf numFmtId="10" fontId="0" fillId="0" borderId="0" xfId="0" applyNumberFormat="1" applyFill="1" applyBorder="1"/>
    <xf numFmtId="10" fontId="0" fillId="13" borderId="0" xfId="0" applyNumberFormat="1" applyFill="1" applyBorder="1"/>
    <xf numFmtId="10" fontId="0" fillId="0" borderId="0" xfId="3" applyNumberFormat="1" applyFont="1" applyFill="1" applyBorder="1"/>
    <xf numFmtId="0" fontId="1" fillId="6" borderId="0" xfId="0" applyFont="1" applyFill="1" applyBorder="1"/>
    <xf numFmtId="0" fontId="7" fillId="14" borderId="0" xfId="0" applyFont="1" applyFill="1" applyBorder="1"/>
    <xf numFmtId="165" fontId="7" fillId="14" borderId="0" xfId="0" applyNumberFormat="1" applyFont="1" applyFill="1" applyBorder="1"/>
    <xf numFmtId="0" fontId="1" fillId="0" borderId="0" xfId="0" applyFont="1" applyFill="1" applyBorder="1"/>
    <xf numFmtId="0" fontId="0" fillId="14" borderId="0" xfId="0" applyFont="1" applyFill="1" applyBorder="1"/>
    <xf numFmtId="165" fontId="0" fillId="14" borderId="0" xfId="0" applyNumberFormat="1" applyFill="1" applyBorder="1"/>
    <xf numFmtId="0" fontId="0" fillId="0" borderId="0" xfId="0"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19050</xdr:colOff>
      <xdr:row>377</xdr:row>
      <xdr:rowOff>9525</xdr:rowOff>
    </xdr:from>
    <xdr:to>
      <xdr:col>10</xdr:col>
      <xdr:colOff>152400</xdr:colOff>
      <xdr:row>380</xdr:row>
      <xdr:rowOff>123825</xdr:rowOff>
    </xdr:to>
    <xdr:sp macro="" textlink="">
      <xdr:nvSpPr>
        <xdr:cNvPr id="1318" name="AutoShape 51"/>
        <xdr:cNvSpPr>
          <a:spLocks/>
        </xdr:cNvSpPr>
      </xdr:nvSpPr>
      <xdr:spPr bwMode="auto">
        <a:xfrm>
          <a:off x="9058275" y="45720000"/>
          <a:ext cx="133350" cy="600075"/>
        </a:xfrm>
        <a:prstGeom prst="rightBrace">
          <a:avLst>
            <a:gd name="adj1" fmla="val 37500"/>
            <a:gd name="adj2"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N393"/>
  <sheetViews>
    <sheetView tabSelected="1" zoomScale="85" zoomScaleNormal="85" workbookViewId="0">
      <selection activeCell="H37" sqref="H37"/>
    </sheetView>
  </sheetViews>
  <sheetFormatPr defaultRowHeight="12.75"/>
  <cols>
    <col min="1" max="2" width="2.7109375" customWidth="1"/>
    <col min="3" max="3" width="2.28515625" customWidth="1"/>
    <col min="4" max="5" width="3.28515625" customWidth="1"/>
    <col min="6" max="6" width="3.140625" customWidth="1"/>
    <col min="7" max="7" width="61.42578125" customWidth="1"/>
    <col min="8" max="8" width="28.85546875" customWidth="1"/>
    <col min="9" max="9" width="14.7109375" customWidth="1"/>
    <col min="10" max="10" width="13.140625" customWidth="1"/>
    <col min="11" max="11" width="11.7109375" customWidth="1"/>
    <col min="12" max="12" width="13.85546875" customWidth="1"/>
    <col min="13" max="13" width="13.5703125" customWidth="1"/>
    <col min="14" max="14" width="12.28515625" customWidth="1"/>
    <col min="15" max="15" width="11.85546875" customWidth="1"/>
    <col min="16" max="16" width="12" customWidth="1"/>
    <col min="17" max="17" width="4.7109375" customWidth="1"/>
    <col min="18" max="18" width="10.5703125" bestFit="1" customWidth="1"/>
    <col min="20" max="20" width="3.140625" customWidth="1"/>
    <col min="21" max="21" width="2.85546875" customWidth="1"/>
    <col min="22" max="22" width="3" customWidth="1"/>
    <col min="23" max="23" width="56.28515625" customWidth="1"/>
    <col min="24" max="29" width="5.5703125" customWidth="1"/>
    <col min="35" max="35" width="2.5703125" customWidth="1"/>
  </cols>
  <sheetData>
    <row r="1" spans="1:40" ht="13.5" thickBot="1">
      <c r="D1" s="1"/>
      <c r="E1" s="1"/>
    </row>
    <row r="2" spans="1:40">
      <c r="A2" s="9"/>
      <c r="B2" s="113"/>
      <c r="C2" s="114" t="s">
        <v>184</v>
      </c>
      <c r="D2" s="114"/>
      <c r="E2" s="114"/>
      <c r="F2" s="115"/>
      <c r="G2" s="115"/>
      <c r="H2" s="115"/>
      <c r="I2" s="115"/>
      <c r="J2" s="115"/>
      <c r="K2" s="115"/>
      <c r="L2" s="115"/>
      <c r="M2" s="115"/>
      <c r="N2" s="115"/>
      <c r="O2" s="115"/>
      <c r="P2" s="115"/>
      <c r="Q2" s="115"/>
      <c r="R2" s="115"/>
      <c r="S2" s="115"/>
      <c r="T2" s="116"/>
      <c r="W2" s="158" t="s">
        <v>257</v>
      </c>
      <c r="X2" s="162"/>
      <c r="Y2" s="162"/>
      <c r="Z2" s="162"/>
      <c r="AA2" s="162"/>
      <c r="AB2" s="162"/>
      <c r="AC2" s="159"/>
      <c r="AE2" s="201" t="s">
        <v>331</v>
      </c>
      <c r="AF2" s="202"/>
      <c r="AG2" s="202"/>
      <c r="AH2" s="202"/>
      <c r="AI2" s="202"/>
      <c r="AJ2" s="202"/>
      <c r="AK2" s="202"/>
      <c r="AL2" s="202"/>
      <c r="AM2" s="203"/>
    </row>
    <row r="3" spans="1:40" ht="13.5" thickBot="1">
      <c r="A3" s="9"/>
      <c r="B3" s="117"/>
      <c r="C3" s="118"/>
      <c r="D3" s="118"/>
      <c r="E3" s="118"/>
      <c r="F3" s="118"/>
      <c r="G3" s="118"/>
      <c r="H3" s="145" t="s">
        <v>248</v>
      </c>
      <c r="I3" s="118"/>
      <c r="J3" s="118"/>
      <c r="K3" s="118"/>
      <c r="L3" s="118"/>
      <c r="M3" s="118"/>
      <c r="N3" s="118"/>
      <c r="O3" s="118"/>
      <c r="P3" s="118"/>
      <c r="Q3" s="118"/>
      <c r="R3" s="118"/>
      <c r="S3" s="118"/>
      <c r="T3" s="120"/>
      <c r="W3" s="160"/>
      <c r="X3" s="149"/>
      <c r="Y3" s="149"/>
      <c r="Z3" s="149"/>
      <c r="AA3" s="149"/>
      <c r="AB3" s="149"/>
      <c r="AC3" s="161"/>
      <c r="AE3" s="204" t="str">
        <f>CONCATENATE("Custom e-learning lasting ",H12/2," minutes  of learner seat time (or approximately ",H12, " segments)")</f>
        <v>Custom e-learning lasting 75 minutes  of learner seat time (or approximately 150 segments)</v>
      </c>
      <c r="AF3" s="205"/>
      <c r="AG3" s="205"/>
      <c r="AH3" s="205"/>
      <c r="AI3" s="205"/>
      <c r="AJ3" s="205"/>
      <c r="AK3" s="205"/>
      <c r="AL3" s="205"/>
      <c r="AM3" s="206"/>
    </row>
    <row r="4" spans="1:40">
      <c r="A4" s="9"/>
      <c r="B4" s="117"/>
      <c r="C4" s="118"/>
      <c r="D4" s="146" t="s">
        <v>0</v>
      </c>
      <c r="E4" s="131"/>
      <c r="F4" s="132"/>
      <c r="G4" s="132"/>
      <c r="H4" s="133"/>
      <c r="I4" s="133"/>
      <c r="J4" s="134"/>
      <c r="K4" s="118"/>
      <c r="L4" s="118"/>
      <c r="M4" s="180"/>
      <c r="N4" s="180"/>
      <c r="O4" s="181"/>
      <c r="P4" s="118"/>
      <c r="Q4" s="118"/>
      <c r="R4" s="118"/>
      <c r="S4" s="118"/>
      <c r="T4" s="120"/>
      <c r="W4" s="160"/>
      <c r="X4" s="149"/>
      <c r="Y4" s="149"/>
      <c r="Z4" s="149"/>
      <c r="AA4" s="149"/>
      <c r="AB4" s="149"/>
      <c r="AC4" s="161"/>
      <c r="AE4" s="207" t="str">
        <f>IF(H15=1,AE18,IF(H15=2,AE19,IF(H15=3,AE20)))</f>
        <v>Level 2 Multimedia: Audiovisual production such as basic animations and some custom-developed images including iconographics, illustrations, and photography.</v>
      </c>
      <c r="AF4" s="205"/>
      <c r="AG4" s="205"/>
      <c r="AH4" s="205"/>
      <c r="AI4" s="205"/>
      <c r="AJ4" s="205"/>
      <c r="AK4" s="205"/>
      <c r="AL4" s="205"/>
      <c r="AM4" s="206"/>
    </row>
    <row r="5" spans="1:40" ht="13.5" thickBot="1">
      <c r="A5" s="9"/>
      <c r="B5" s="117"/>
      <c r="C5" s="118"/>
      <c r="D5" s="135"/>
      <c r="E5" s="136" t="s">
        <v>1</v>
      </c>
      <c r="F5" s="137"/>
      <c r="G5" s="137"/>
      <c r="H5" s="138" t="s">
        <v>250</v>
      </c>
      <c r="I5" s="137" t="s">
        <v>2</v>
      </c>
      <c r="J5" s="139" t="s">
        <v>3</v>
      </c>
      <c r="K5" s="118"/>
      <c r="L5" s="118"/>
      <c r="M5" s="118"/>
      <c r="N5" s="118"/>
      <c r="O5" s="118"/>
      <c r="P5" s="118"/>
      <c r="Q5" s="118"/>
      <c r="R5" s="118"/>
      <c r="S5" s="118"/>
      <c r="T5" s="120"/>
      <c r="W5" s="160"/>
      <c r="X5" s="149"/>
      <c r="Y5" s="149"/>
      <c r="Z5" s="149"/>
      <c r="AA5" s="149"/>
      <c r="AB5" s="149"/>
      <c r="AC5" s="161"/>
      <c r="AE5" s="207" t="str">
        <f>IF(H19=1,AE22,IF(H19=2,AE23,IF(H19=3,AE24)))</f>
        <v>Level 2 Interactivity: Interactive elements are tailored from advanced templates and may include dynamic assessments, drag-and-drop elements, and basic learning games, demonstrations of software, template-based and custom.</v>
      </c>
      <c r="AF5" s="205"/>
      <c r="AG5" s="205"/>
      <c r="AH5" s="205"/>
      <c r="AI5" s="205"/>
      <c r="AJ5" s="205"/>
      <c r="AK5" s="205"/>
      <c r="AL5" s="205"/>
      <c r="AM5" s="206"/>
    </row>
    <row r="6" spans="1:40">
      <c r="A6" s="9"/>
      <c r="B6" s="117"/>
      <c r="C6" s="118"/>
      <c r="D6" s="135"/>
      <c r="E6" s="137"/>
      <c r="F6" s="137" t="s">
        <v>4</v>
      </c>
      <c r="G6" s="137"/>
      <c r="H6" s="163">
        <v>1</v>
      </c>
      <c r="I6" s="166">
        <f>IF(H3="NewEstimate",H6,HLOOKUP($H$3,'Test Data'!$C$2:$AN$37,2,FALSE))</f>
        <v>1</v>
      </c>
      <c r="J6" s="140"/>
      <c r="K6" s="118"/>
      <c r="L6" s="183" t="s">
        <v>286</v>
      </c>
      <c r="M6" s="26"/>
      <c r="N6" s="26"/>
      <c r="O6" s="220"/>
      <c r="P6" s="19"/>
      <c r="Q6" s="174"/>
      <c r="R6" s="118"/>
      <c r="S6" s="118"/>
      <c r="T6" s="120"/>
      <c r="W6" s="160" t="s">
        <v>4</v>
      </c>
      <c r="X6" s="137"/>
      <c r="Y6" s="137"/>
      <c r="Z6" s="137"/>
      <c r="AA6" s="137"/>
      <c r="AB6" s="137"/>
      <c r="AC6" s="140"/>
      <c r="AE6" s="207" t="str">
        <f>CONCATENATE("Interactivities included every ",IF(H20=1,"9 - 13 segments",IF(H20=2,"5 - 9 segments",IF(H20=3,"2 - 4 segments"))))</f>
        <v>Interactivities included every 5 - 9 segments</v>
      </c>
      <c r="AF6" s="205"/>
      <c r="AG6" s="205"/>
      <c r="AH6" s="205"/>
      <c r="AI6" s="205"/>
      <c r="AJ6" s="205"/>
      <c r="AK6" s="205"/>
      <c r="AL6" s="205"/>
      <c r="AM6" s="206"/>
    </row>
    <row r="7" spans="1:40">
      <c r="A7" s="9"/>
      <c r="B7" s="117"/>
      <c r="C7" s="118"/>
      <c r="D7" s="135"/>
      <c r="E7" s="137"/>
      <c r="F7" s="137" t="s">
        <v>352</v>
      </c>
      <c r="G7" s="137"/>
      <c r="H7" s="164">
        <v>1</v>
      </c>
      <c r="I7" s="166">
        <f>IF(H3="NewEstimate",H7,HLOOKUP($H$3,'Test Data'!$C$2:$AN$37,3,FALSE))</f>
        <v>1</v>
      </c>
      <c r="J7" s="140"/>
      <c r="K7" s="118"/>
      <c r="L7" s="127"/>
      <c r="M7" s="13" t="s">
        <v>280</v>
      </c>
      <c r="N7" s="13" t="s">
        <v>281</v>
      </c>
      <c r="O7" s="13" t="s">
        <v>284</v>
      </c>
      <c r="P7" s="14" t="s">
        <v>338</v>
      </c>
      <c r="Q7" s="118"/>
      <c r="R7" s="118"/>
      <c r="S7" s="118"/>
      <c r="T7" s="120"/>
      <c r="W7" s="160" t="s">
        <v>155</v>
      </c>
      <c r="X7" s="137"/>
      <c r="Y7" s="137"/>
      <c r="Z7" s="137"/>
      <c r="AA7" s="137"/>
      <c r="AB7" s="137"/>
      <c r="AC7" s="140"/>
      <c r="AE7" s="207" t="str">
        <f>IF(H22="yes",CONCATENATE("Audio narration recording, editing, and integration using ",H23,IF(H23=1," voice actor"," voice actors")," in Enspire's in-house recording studio"),"")</f>
        <v>Audio narration recording, editing, and integration using 3 voice actors in Enspire's in-house recording studio</v>
      </c>
      <c r="AF7" s="205"/>
      <c r="AG7" s="205"/>
      <c r="AH7" s="205"/>
      <c r="AI7" s="205"/>
      <c r="AJ7" s="205"/>
      <c r="AK7" s="205"/>
      <c r="AL7" s="205"/>
      <c r="AM7" s="206"/>
    </row>
    <row r="8" spans="1:40">
      <c r="A8" s="9"/>
      <c r="B8" s="117"/>
      <c r="C8" s="118"/>
      <c r="D8" s="135"/>
      <c r="E8" s="137"/>
      <c r="F8" s="137" t="s">
        <v>60</v>
      </c>
      <c r="G8" s="137"/>
      <c r="H8" s="164">
        <v>1</v>
      </c>
      <c r="I8" s="166">
        <f>IF(H3="NewEstimate",H8,HLOOKUP($H$3,'Test Data'!$C$2:$AN$37,4,FALSE))</f>
        <v>1</v>
      </c>
      <c r="J8" s="140"/>
      <c r="K8" s="118"/>
      <c r="L8" s="127" t="s">
        <v>282</v>
      </c>
      <c r="M8" s="184">
        <f>I376</f>
        <v>100442.81686405945</v>
      </c>
      <c r="N8" s="242">
        <f>G376</f>
        <v>0</v>
      </c>
      <c r="O8" s="71">
        <f>M8/$M$20</f>
        <v>92.88503064901613</v>
      </c>
      <c r="P8" s="186">
        <f>(M8-$O$311)/$M$20</f>
        <v>83.392417146324519</v>
      </c>
      <c r="Q8" s="175"/>
      <c r="R8" s="118"/>
      <c r="S8" s="118"/>
      <c r="T8" s="120"/>
      <c r="W8" s="160" t="s">
        <v>60</v>
      </c>
      <c r="X8" s="137"/>
      <c r="Y8" s="137"/>
      <c r="Z8" s="137"/>
      <c r="AA8" s="137"/>
      <c r="AB8" s="137"/>
      <c r="AC8" s="140"/>
      <c r="AE8" s="208" t="str">
        <f>IF(H24="yes","Custom music design including intro and outro themes and background music.","")</f>
        <v>Custom music design including intro and outro themes and background music.</v>
      </c>
      <c r="AF8" s="205"/>
      <c r="AG8" s="205"/>
      <c r="AH8" s="205"/>
      <c r="AI8" s="205"/>
      <c r="AJ8" s="205"/>
      <c r="AK8" s="205"/>
      <c r="AL8" s="205"/>
      <c r="AM8" s="206"/>
    </row>
    <row r="9" spans="1:40" ht="13.5" thickBot="1">
      <c r="A9" s="9"/>
      <c r="B9" s="117"/>
      <c r="C9" s="118"/>
      <c r="D9" s="135"/>
      <c r="E9" s="137"/>
      <c r="F9" s="137" t="s">
        <v>8</v>
      </c>
      <c r="G9" s="137"/>
      <c r="H9" s="165" t="s">
        <v>259</v>
      </c>
      <c r="I9" s="166" t="str">
        <f>IF(H3="NewEstimate",H9,HLOOKUP($H$3,'Test Data'!$C$2:$AN$37,7,FALSE))</f>
        <v>no</v>
      </c>
      <c r="J9" s="141">
        <f>IF(I9="yes",1,0)</f>
        <v>0</v>
      </c>
      <c r="K9" s="118"/>
      <c r="L9" s="229" t="s">
        <v>344</v>
      </c>
      <c r="M9" s="230">
        <f>I378</f>
        <v>111603.12984895494</v>
      </c>
      <c r="N9" s="243">
        <f>G378</f>
        <v>0.1</v>
      </c>
      <c r="O9" s="231">
        <f>M9/$M$20</f>
        <v>103.20558961001791</v>
      </c>
      <c r="P9" s="232">
        <f>(M9-$O$311)/$M$20</f>
        <v>93.712976107326313</v>
      </c>
      <c r="Q9" s="118"/>
      <c r="R9" s="118"/>
      <c r="S9" s="118"/>
      <c r="T9" s="120"/>
      <c r="W9" s="117" t="s">
        <v>8</v>
      </c>
      <c r="X9" s="149" t="s">
        <v>259</v>
      </c>
      <c r="Y9" s="149" t="s">
        <v>258</v>
      </c>
      <c r="Z9" s="149"/>
      <c r="AA9" s="149"/>
      <c r="AB9" s="149"/>
      <c r="AC9" s="161"/>
      <c r="AE9" s="208" t="str">
        <f>IF(H25="yes","Custom sound design including audio feedback and sound effects (for example, button 'clicks' and sounds of machinery in a factory scenario)","")</f>
        <v>Custom sound design including audio feedback and sound effects (for example, button 'clicks' and sounds of machinery in a factory scenario)</v>
      </c>
      <c r="AF9" s="205"/>
      <c r="AG9" s="205"/>
      <c r="AH9" s="205"/>
      <c r="AI9" s="205"/>
      <c r="AJ9" s="205"/>
      <c r="AK9" s="205"/>
      <c r="AL9" s="205"/>
      <c r="AM9" s="206"/>
    </row>
    <row r="10" spans="1:40" ht="13.5" thickBot="1">
      <c r="A10" s="9"/>
      <c r="B10" s="117"/>
      <c r="C10" s="118"/>
      <c r="D10" s="135"/>
      <c r="E10" s="137"/>
      <c r="F10" s="137"/>
      <c r="G10" s="137"/>
      <c r="H10" s="137"/>
      <c r="I10" s="137"/>
      <c r="J10" s="140"/>
      <c r="K10" s="118"/>
      <c r="L10" s="7" t="s">
        <v>345</v>
      </c>
      <c r="M10" s="233">
        <f>M20*95</f>
        <v>102729.87515224253</v>
      </c>
      <c r="N10" s="244">
        <f>1-$I$376/M10</f>
        <v>2.226283527351447E-2</v>
      </c>
      <c r="O10" s="234">
        <f>M10/$M$20</f>
        <v>95</v>
      </c>
      <c r="P10" s="235">
        <f>(M10-$O$311)/$M$20</f>
        <v>85.507386497308389</v>
      </c>
      <c r="Q10" s="175"/>
      <c r="R10" s="118"/>
      <c r="S10" s="118"/>
      <c r="T10" s="120"/>
      <c r="W10" s="160"/>
      <c r="X10" s="149"/>
      <c r="Y10" s="149"/>
      <c r="Z10" s="149"/>
      <c r="AA10" s="149"/>
      <c r="AB10" s="149"/>
      <c r="AC10" s="161"/>
      <c r="AE10" s="207" t="str">
        <f>IF(H16="yes",CONCATENATE("Professional photo shoot at Enspire's in-house studio using a green screen ",IF(H18&gt;0,CONCATENATE("and at ",H18," additional ",IF(H18=1,"location","locations")),""),IF(H17&gt;0,CONCATENATE(" using ",H17,IF(H17=1," actor"," actors.")))))</f>
        <v>Professional photo shoot at Enspire's in-house studio using a green screen  using 6 actors.</v>
      </c>
      <c r="AF10" s="205"/>
      <c r="AG10" s="205"/>
      <c r="AH10" s="205"/>
      <c r="AI10" s="205"/>
      <c r="AJ10" s="205"/>
      <c r="AK10" s="205"/>
      <c r="AL10" s="205"/>
      <c r="AM10" s="206"/>
    </row>
    <row r="11" spans="1:40" ht="13.5" thickBot="1">
      <c r="A11" s="9"/>
      <c r="B11" s="117"/>
      <c r="C11" s="118"/>
      <c r="D11" s="135"/>
      <c r="E11" s="136" t="s">
        <v>9</v>
      </c>
      <c r="F11" s="137"/>
      <c r="G11" s="136"/>
      <c r="H11" s="138" t="s">
        <v>250</v>
      </c>
      <c r="I11" s="137" t="s">
        <v>10</v>
      </c>
      <c r="J11" s="139" t="s">
        <v>11</v>
      </c>
      <c r="K11" s="121"/>
      <c r="L11" s="127" t="s">
        <v>279</v>
      </c>
      <c r="M11" s="185">
        <v>111000</v>
      </c>
      <c r="N11" s="244">
        <f>1-$I$376/M11</f>
        <v>9.5109757981446386E-2</v>
      </c>
      <c r="O11" s="71">
        <f>M11/$M$20</f>
        <v>102.6478420651503</v>
      </c>
      <c r="P11" s="186">
        <f>(M11-$O$311)/$M$20</f>
        <v>93.155228562458703</v>
      </c>
      <c r="Q11" s="118"/>
      <c r="R11" s="118"/>
      <c r="S11" s="118"/>
      <c r="T11" s="120"/>
      <c r="W11" s="160"/>
      <c r="X11" s="149"/>
      <c r="Y11" s="149"/>
      <c r="Z11" s="149"/>
      <c r="AA11" s="149"/>
      <c r="AB11" s="149"/>
      <c r="AC11" s="161"/>
      <c r="AE11" s="208" t="str">
        <f>IF(H9="yes","Integration of edited video","")</f>
        <v/>
      </c>
      <c r="AF11" s="205"/>
      <c r="AG11" s="205"/>
      <c r="AH11" s="205"/>
      <c r="AI11" s="205"/>
      <c r="AJ11" s="205"/>
      <c r="AK11" s="205"/>
      <c r="AL11" s="205"/>
      <c r="AM11" s="206"/>
      <c r="AN11" t="s">
        <v>351</v>
      </c>
    </row>
    <row r="12" spans="1:40">
      <c r="A12" s="9"/>
      <c r="B12" s="117"/>
      <c r="C12" s="118"/>
      <c r="D12" s="135"/>
      <c r="E12" s="137"/>
      <c r="F12" s="137" t="s">
        <v>12</v>
      </c>
      <c r="G12" s="137"/>
      <c r="H12" s="163">
        <v>150</v>
      </c>
      <c r="I12" s="166">
        <f>IF(H3="NewEstimate", H12, HLOOKUP( $H$3, 'Test Data'!$C$2:$AN$37, 9, FALSE))</f>
        <v>150</v>
      </c>
      <c r="J12" s="141">
        <f>I12/120</f>
        <v>1.25</v>
      </c>
      <c r="K12" s="118"/>
      <c r="L12" s="7"/>
      <c r="M12" s="9"/>
      <c r="N12" s="9"/>
      <c r="O12" s="9"/>
      <c r="P12" s="11"/>
      <c r="Q12" s="118"/>
      <c r="R12" s="118"/>
      <c r="S12" s="122"/>
      <c r="T12" s="123"/>
      <c r="W12" s="160" t="s">
        <v>12</v>
      </c>
      <c r="X12" s="137"/>
      <c r="Y12" s="137"/>
      <c r="Z12" s="137"/>
      <c r="AA12" s="137"/>
      <c r="AB12" s="137"/>
      <c r="AC12" s="140"/>
      <c r="AE12" s="208" t="str">
        <f>IF(H21="yes","Custom GUI design with advanced features such as bookmarking, glossary, intuitive menu system, volume and navigation controls, resume functionality, and linking to embedded or external resources","")</f>
        <v>Custom GUI design with advanced features such as bookmarking, glossary, intuitive menu system, volume and navigation controls, resume functionality, and linking to embedded or external resources</v>
      </c>
      <c r="AF12" s="205"/>
      <c r="AG12" s="205"/>
      <c r="AH12" s="205"/>
      <c r="AI12" s="205"/>
      <c r="AJ12" s="205"/>
      <c r="AK12" s="205"/>
      <c r="AL12" s="205"/>
      <c r="AM12" s="206"/>
    </row>
    <row r="13" spans="1:40">
      <c r="A13" s="9"/>
      <c r="B13" s="117"/>
      <c r="C13" s="118"/>
      <c r="D13" s="135"/>
      <c r="E13" s="137"/>
      <c r="F13" s="137" t="s">
        <v>13</v>
      </c>
      <c r="G13" s="137"/>
      <c r="H13" s="164">
        <v>2</v>
      </c>
      <c r="I13" s="166">
        <f>IF(H3="NewEstimate",H13,HLOOKUP($H$3,'Test Data'!$C$2:$AN$37,10,FALSE))</f>
        <v>2</v>
      </c>
      <c r="J13" s="141">
        <f>(I13/3)^1.5</f>
        <v>0.54433105395181725</v>
      </c>
      <c r="K13" s="118"/>
      <c r="L13" s="127"/>
      <c r="M13" s="13" t="s">
        <v>214</v>
      </c>
      <c r="N13" s="13" t="s">
        <v>215</v>
      </c>
      <c r="O13" s="13" t="s">
        <v>244</v>
      </c>
      <c r="P13" s="14"/>
      <c r="Q13" s="176"/>
      <c r="R13" s="176"/>
      <c r="S13" s="122"/>
      <c r="T13" s="123"/>
      <c r="W13" s="160" t="s">
        <v>13</v>
      </c>
      <c r="X13" s="149">
        <v>1</v>
      </c>
      <c r="Y13" s="149">
        <v>2</v>
      </c>
      <c r="Z13" s="149">
        <v>3</v>
      </c>
      <c r="AA13" s="149">
        <v>4</v>
      </c>
      <c r="AB13" s="149">
        <v>5</v>
      </c>
      <c r="AC13" s="161"/>
      <c r="AE13" s="207" t="str">
        <f>CONCATENATE("Development process deliverables will include ",IF(H6&gt;0,CONCATENATE(H6," concept document",IF(H6&gt;1,"s","")),""),IF(OR(H7&gt;0,H8&gt;0)," and ",""),IF(H7&gt;0,CONCATENATE(H7," design prototype",IF(H7&gt;1,"s",""),IF(H8&gt;0," and ","")),""),IF(H8&gt;0,CONCATENATE(H8," alpha stage review",IF(H8&gt;1,"s","")),""))</f>
        <v>Development process deliverables will include 1 concept document and 1 design prototype and 1 alpha stage review</v>
      </c>
      <c r="AF13" s="205"/>
      <c r="AG13" s="205"/>
      <c r="AH13" s="205"/>
      <c r="AI13" s="205"/>
      <c r="AJ13" s="205"/>
      <c r="AK13" s="205"/>
      <c r="AL13" s="205"/>
      <c r="AM13" s="206"/>
    </row>
    <row r="14" spans="1:40">
      <c r="A14" s="9"/>
      <c r="B14" s="117"/>
      <c r="C14" s="118"/>
      <c r="D14" s="135"/>
      <c r="E14" s="137"/>
      <c r="F14" s="137" t="s">
        <v>14</v>
      </c>
      <c r="G14" s="137"/>
      <c r="H14" s="164">
        <v>2</v>
      </c>
      <c r="I14" s="166">
        <f>IF(H3="NewEstimate",H14,HLOOKUP($H$3,'Test Data'!$C$2:$AN$37,11,FALSE))</f>
        <v>2</v>
      </c>
      <c r="J14" s="141">
        <f>(I14/2)^1.5</f>
        <v>1</v>
      </c>
      <c r="K14" s="118"/>
      <c r="L14" s="127" t="s">
        <v>216</v>
      </c>
      <c r="M14" s="106">
        <f>$I$131</f>
        <v>386.9051315704815</v>
      </c>
      <c r="N14" s="106">
        <f>HLOOKUP(Sheet1!$H$3, 'Test Data'!$B$2:$AU$43, 37, FALSE)</f>
        <v>0</v>
      </c>
      <c r="O14" s="61">
        <f>(M14-N14)/M14</f>
        <v>1</v>
      </c>
      <c r="P14" s="14"/>
      <c r="Q14" s="176"/>
      <c r="R14" s="176"/>
      <c r="S14" s="118"/>
      <c r="T14" s="123"/>
      <c r="W14" s="160" t="s">
        <v>14</v>
      </c>
      <c r="X14" s="149">
        <v>1</v>
      </c>
      <c r="Y14" s="149">
        <v>2</v>
      </c>
      <c r="Z14" s="149">
        <v>3</v>
      </c>
      <c r="AA14" s="149">
        <v>4</v>
      </c>
      <c r="AB14" s="149">
        <v>5</v>
      </c>
      <c r="AC14" s="161"/>
      <c r="AE14" s="208" t="str">
        <f>IF(H31="yes","Full 508 Compliance","")</f>
        <v>Full 508 Compliance</v>
      </c>
      <c r="AF14" s="205"/>
      <c r="AG14" s="205"/>
      <c r="AH14" s="205"/>
      <c r="AI14" s="205"/>
      <c r="AJ14" s="205"/>
      <c r="AK14" s="205"/>
      <c r="AL14" s="205"/>
      <c r="AM14" s="206"/>
    </row>
    <row r="15" spans="1:40">
      <c r="A15" s="9"/>
      <c r="B15" s="117"/>
      <c r="C15" s="118"/>
      <c r="D15" s="135"/>
      <c r="E15" s="137"/>
      <c r="F15" s="137" t="s">
        <v>148</v>
      </c>
      <c r="G15" s="137"/>
      <c r="H15" s="164">
        <v>2</v>
      </c>
      <c r="I15" s="166">
        <f>IF(H3="NewEstimate",H15,HLOOKUP($H$3,'Test Data'!$C$2:$AN$37,12,FALSE))</f>
        <v>2</v>
      </c>
      <c r="J15" s="141">
        <f>I15</f>
        <v>2</v>
      </c>
      <c r="K15" s="118"/>
      <c r="L15" s="127" t="s">
        <v>217</v>
      </c>
      <c r="M15" s="106">
        <f>$I$171</f>
        <v>282.75281986916343</v>
      </c>
      <c r="N15" s="106">
        <f>HLOOKUP(Sheet1!$H$3, 'Test Data'!$B$2:$AU$43, 38, FALSE)</f>
        <v>0</v>
      </c>
      <c r="O15" s="61">
        <f t="shared" ref="O15:O20" si="0">(M15-N15)/M15</f>
        <v>1</v>
      </c>
      <c r="P15" s="14"/>
      <c r="Q15" s="178"/>
      <c r="R15" s="178"/>
      <c r="S15" s="118"/>
      <c r="T15" s="120"/>
      <c r="W15" s="160" t="s">
        <v>148</v>
      </c>
      <c r="X15" s="149">
        <v>1</v>
      </c>
      <c r="Y15" s="149">
        <v>2</v>
      </c>
      <c r="Z15" s="149">
        <v>3</v>
      </c>
      <c r="AA15" s="149"/>
      <c r="AB15" s="149"/>
      <c r="AC15" s="161"/>
      <c r="AE15" s="207" t="str">
        <f>IF(H30=1,"SCORM Level Support - Enspire provides SCORM- or AICC-compliant LMS test objects to your LMS administrator to help ensure successful integration","LMS Integration Support - Enspire technology works with your LMS administrator to ensure a successful integration")</f>
        <v>LMS Integration Support - Enspire technology works with your LMS administrator to ensure a successful integration</v>
      </c>
      <c r="AF15" s="205"/>
      <c r="AG15" s="205"/>
      <c r="AH15" s="205"/>
      <c r="AI15" s="205"/>
      <c r="AJ15" s="205"/>
      <c r="AK15" s="205"/>
      <c r="AL15" s="205"/>
      <c r="AM15" s="206"/>
    </row>
    <row r="16" spans="1:40" ht="13.5" thickBot="1">
      <c r="A16" s="9"/>
      <c r="B16" s="117"/>
      <c r="C16" s="118"/>
      <c r="D16" s="135"/>
      <c r="E16" s="137"/>
      <c r="F16" s="137" t="s">
        <v>268</v>
      </c>
      <c r="G16" s="137"/>
      <c r="H16" s="164" t="s">
        <v>258</v>
      </c>
      <c r="I16" s="166"/>
      <c r="J16" s="141">
        <f>IF(H16="yes",1,0)</f>
        <v>1</v>
      </c>
      <c r="K16" s="118"/>
      <c r="L16" s="127" t="s">
        <v>333</v>
      </c>
      <c r="M16" s="107">
        <f>$I$182+$I$194</f>
        <v>84.75</v>
      </c>
      <c r="N16" s="106">
        <f>HLOOKUP(Sheet1!$H$3, 'Test Data'!$B$2:$AU$43, 42, FALSE)</f>
        <v>0</v>
      </c>
      <c r="O16" s="61">
        <f t="shared" si="0"/>
        <v>1</v>
      </c>
      <c r="P16" s="14"/>
      <c r="Q16" s="178"/>
      <c r="R16" s="178"/>
      <c r="S16" s="118"/>
      <c r="T16" s="120"/>
      <c r="W16" s="160" t="s">
        <v>272</v>
      </c>
      <c r="X16" s="149" t="s">
        <v>259</v>
      </c>
      <c r="Y16" s="149" t="s">
        <v>258</v>
      </c>
      <c r="Z16" s="149"/>
      <c r="AA16" s="149"/>
      <c r="AB16" s="149"/>
      <c r="AC16" s="161"/>
      <c r="AE16" s="207"/>
      <c r="AF16" s="205"/>
      <c r="AG16" s="205"/>
      <c r="AH16" s="205"/>
      <c r="AI16" s="205"/>
      <c r="AJ16" s="205"/>
      <c r="AK16" s="205"/>
      <c r="AL16" s="205"/>
      <c r="AM16" s="206"/>
    </row>
    <row r="17" spans="1:39">
      <c r="A17" s="9"/>
      <c r="B17" s="117"/>
      <c r="C17" s="118"/>
      <c r="D17" s="135"/>
      <c r="E17" s="137"/>
      <c r="F17" s="137"/>
      <c r="G17" s="137" t="s">
        <v>269</v>
      </c>
      <c r="H17" s="164">
        <v>6</v>
      </c>
      <c r="I17" s="166"/>
      <c r="J17" s="141">
        <f>H17</f>
        <v>6</v>
      </c>
      <c r="K17" s="118"/>
      <c r="L17" s="127" t="s">
        <v>42</v>
      </c>
      <c r="M17" s="106">
        <f>$I$309</f>
        <v>157.04662493702045</v>
      </c>
      <c r="N17" s="106">
        <f>HLOOKUP(Sheet1!$H$3, 'Test Data'!$B$2:$AU$43, 39, FALSE)</f>
        <v>0</v>
      </c>
      <c r="O17" s="61">
        <f t="shared" si="0"/>
        <v>1</v>
      </c>
      <c r="P17" s="14"/>
      <c r="Q17" s="182"/>
      <c r="R17" s="176"/>
      <c r="S17" s="176"/>
      <c r="T17" s="177"/>
      <c r="W17" s="160" t="s">
        <v>269</v>
      </c>
      <c r="X17" s="149"/>
      <c r="Y17" s="149"/>
      <c r="Z17" s="149"/>
      <c r="AA17" s="149"/>
      <c r="AB17" s="149"/>
      <c r="AC17" s="161"/>
      <c r="AE17" s="209" t="s">
        <v>323</v>
      </c>
      <c r="AF17" s="210"/>
      <c r="AG17" s="210"/>
      <c r="AH17" s="210"/>
      <c r="AI17" s="210"/>
      <c r="AJ17" s="210"/>
      <c r="AK17" s="210"/>
      <c r="AL17" s="210"/>
      <c r="AM17" s="211"/>
    </row>
    <row r="18" spans="1:39">
      <c r="A18" s="9"/>
      <c r="B18" s="117"/>
      <c r="C18" s="118"/>
      <c r="D18" s="135"/>
      <c r="E18" s="137"/>
      <c r="F18" s="137"/>
      <c r="G18" s="137" t="s">
        <v>271</v>
      </c>
      <c r="H18" s="164">
        <v>0</v>
      </c>
      <c r="I18" s="166"/>
      <c r="J18" s="141">
        <f>H18</f>
        <v>0</v>
      </c>
      <c r="K18" s="118"/>
      <c r="L18" s="127" t="s">
        <v>218</v>
      </c>
      <c r="M18" s="106">
        <f>$I$232</f>
        <v>113.72616170045443</v>
      </c>
      <c r="N18" s="106">
        <f>HLOOKUP(Sheet1!$H$3, 'Test Data'!$B$2:$AU$43, 40, FALSE)</f>
        <v>0</v>
      </c>
      <c r="O18" s="61">
        <f t="shared" si="0"/>
        <v>1</v>
      </c>
      <c r="P18" s="14"/>
      <c r="Q18" s="176"/>
      <c r="R18" s="176"/>
      <c r="S18" s="176"/>
      <c r="T18" s="177"/>
      <c r="W18" s="160" t="s">
        <v>270</v>
      </c>
      <c r="X18" s="149"/>
      <c r="Y18" s="149"/>
      <c r="Z18" s="149"/>
      <c r="AA18" s="149"/>
      <c r="AB18" s="149"/>
      <c r="AC18" s="161"/>
      <c r="AE18" s="212" t="s">
        <v>324</v>
      </c>
      <c r="AF18" s="213"/>
      <c r="AG18" s="213"/>
      <c r="AH18" s="213"/>
      <c r="AI18" s="213"/>
      <c r="AJ18" s="213"/>
      <c r="AK18" s="213"/>
      <c r="AL18" s="213"/>
      <c r="AM18" s="214"/>
    </row>
    <row r="19" spans="1:39">
      <c r="A19" s="9"/>
      <c r="B19" s="117"/>
      <c r="C19" s="118"/>
      <c r="D19" s="135"/>
      <c r="E19" s="137"/>
      <c r="F19" s="137" t="s">
        <v>140</v>
      </c>
      <c r="G19" s="137"/>
      <c r="H19" s="164">
        <v>2</v>
      </c>
      <c r="I19" s="166">
        <f>IF(H3="NewEstimate",H19,HLOOKUP($H$3,'Test Data'!$C$2:$AN$37,13,FALSE))</f>
        <v>2</v>
      </c>
      <c r="J19" s="141">
        <f>(I19)^1.2</f>
        <v>2.2973967099940702</v>
      </c>
      <c r="K19" s="118"/>
      <c r="L19" s="127" t="s">
        <v>40</v>
      </c>
      <c r="M19" s="173">
        <f>I265</f>
        <v>56.186368788591125</v>
      </c>
      <c r="N19" s="106">
        <f>HLOOKUP(Sheet1!$H$3, 'Test Data'!$B$2:$AU$43, 41, FALSE)</f>
        <v>0</v>
      </c>
      <c r="O19" s="61">
        <f t="shared" si="0"/>
        <v>1</v>
      </c>
      <c r="P19" s="14"/>
      <c r="Q19" s="178"/>
      <c r="R19" s="178"/>
      <c r="S19" s="178"/>
      <c r="T19" s="179"/>
      <c r="W19" s="160" t="s">
        <v>140</v>
      </c>
      <c r="X19" s="149">
        <v>1</v>
      </c>
      <c r="Y19" s="149">
        <v>2</v>
      </c>
      <c r="Z19" s="149">
        <v>3</v>
      </c>
      <c r="AA19" s="149"/>
      <c r="AB19" s="149"/>
      <c r="AC19" s="161"/>
      <c r="AE19" s="212" t="s">
        <v>325</v>
      </c>
      <c r="AF19" s="213"/>
      <c r="AG19" s="213"/>
      <c r="AH19" s="213"/>
      <c r="AI19" s="213"/>
      <c r="AJ19" s="213"/>
      <c r="AK19" s="213"/>
      <c r="AL19" s="213"/>
      <c r="AM19" s="214"/>
    </row>
    <row r="20" spans="1:39">
      <c r="A20" s="9"/>
      <c r="B20" s="117"/>
      <c r="C20" s="118"/>
      <c r="D20" s="135"/>
      <c r="E20" s="137"/>
      <c r="F20" s="137" t="s">
        <v>254</v>
      </c>
      <c r="G20" s="137"/>
      <c r="H20" s="164">
        <v>2</v>
      </c>
      <c r="I20" s="166">
        <f>IF(H3="NewEstimate",H20,HLOOKUP($H$3,'Test Data'!$C$2:$AN$37,14,FALSE))</f>
        <v>2</v>
      </c>
      <c r="J20" s="141">
        <f>I20-1</f>
        <v>1</v>
      </c>
      <c r="K20" s="118"/>
      <c r="L20" s="236" t="s">
        <v>243</v>
      </c>
      <c r="M20" s="237">
        <f>SUM(M14:M19)</f>
        <v>1081.3671068657109</v>
      </c>
      <c r="N20" s="238">
        <f>SUM(N14:N19)</f>
        <v>0</v>
      </c>
      <c r="O20" s="61">
        <f t="shared" si="0"/>
        <v>1</v>
      </c>
      <c r="P20" s="14"/>
      <c r="Q20" s="176"/>
      <c r="R20" s="176"/>
      <c r="S20" s="118"/>
      <c r="T20" s="120"/>
      <c r="W20" s="160" t="s">
        <v>254</v>
      </c>
      <c r="X20" s="149">
        <v>1</v>
      </c>
      <c r="Y20" s="149">
        <v>2</v>
      </c>
      <c r="Z20" s="149">
        <v>3</v>
      </c>
      <c r="AA20" s="149"/>
      <c r="AB20" s="149"/>
      <c r="AC20" s="161"/>
      <c r="AE20" s="212" t="s">
        <v>326</v>
      </c>
      <c r="AF20" s="213"/>
      <c r="AG20" s="213"/>
      <c r="AH20" s="213"/>
      <c r="AI20" s="213"/>
      <c r="AJ20" s="213"/>
      <c r="AK20" s="213"/>
      <c r="AL20" s="213"/>
      <c r="AM20" s="214"/>
    </row>
    <row r="21" spans="1:39" ht="13.5" thickBot="1">
      <c r="A21" s="9"/>
      <c r="B21" s="117"/>
      <c r="C21" s="118"/>
      <c r="D21" s="135"/>
      <c r="E21" s="137"/>
      <c r="F21" s="137" t="s">
        <v>287</v>
      </c>
      <c r="G21" s="137"/>
      <c r="H21" s="164" t="s">
        <v>258</v>
      </c>
      <c r="I21" s="166" t="str">
        <f>IF(H3="NewEstimate",H21,HLOOKUP($H$3,'Test Data'!$C$2:$AN$37,15,FALSE))</f>
        <v>yes</v>
      </c>
      <c r="J21" s="141">
        <f>IF(I21="yes",1,0)</f>
        <v>1</v>
      </c>
      <c r="K21" s="118"/>
      <c r="L21" s="189" t="s">
        <v>346</v>
      </c>
      <c r="M21" s="241">
        <f>O311</f>
        <v>10265</v>
      </c>
      <c r="N21" s="239" t="s">
        <v>347</v>
      </c>
      <c r="O21" s="239" t="s">
        <v>347</v>
      </c>
      <c r="P21" s="240" t="s">
        <v>347</v>
      </c>
      <c r="Q21" s="176"/>
      <c r="R21" s="176"/>
      <c r="S21" s="118"/>
      <c r="T21" s="120"/>
      <c r="W21" s="117" t="s">
        <v>141</v>
      </c>
      <c r="X21" s="149" t="s">
        <v>259</v>
      </c>
      <c r="Y21" s="149" t="s">
        <v>258</v>
      </c>
      <c r="Z21" s="149"/>
      <c r="AA21" s="149"/>
      <c r="AB21" s="149"/>
      <c r="AC21" s="161"/>
      <c r="AE21" s="215" t="s">
        <v>332</v>
      </c>
      <c r="AF21" s="213"/>
      <c r="AG21" s="213"/>
      <c r="AH21" s="213"/>
      <c r="AI21" s="213"/>
      <c r="AJ21" s="213"/>
      <c r="AK21" s="213"/>
      <c r="AL21" s="213"/>
      <c r="AM21" s="214"/>
    </row>
    <row r="22" spans="1:39">
      <c r="A22" s="9"/>
      <c r="B22" s="117"/>
      <c r="C22" s="118"/>
      <c r="D22" s="135"/>
      <c r="E22" s="137"/>
      <c r="F22" s="137" t="s">
        <v>288</v>
      </c>
      <c r="G22" s="137"/>
      <c r="H22" s="164" t="s">
        <v>258</v>
      </c>
      <c r="I22" s="166" t="str">
        <f>IF(H3="NewEstimate",H22,HLOOKUP($H$3,'Test Data'!$C$2:$AN$37,16,FALSE))</f>
        <v>yes</v>
      </c>
      <c r="J22" s="141">
        <f>IF(I22="yes",1,0)</f>
        <v>1</v>
      </c>
      <c r="K22" s="118" t="s">
        <v>355</v>
      </c>
      <c r="L22" s="118"/>
      <c r="M22" s="178"/>
      <c r="N22" s="176"/>
      <c r="O22" s="176"/>
      <c r="P22" s="176"/>
      <c r="Q22" s="176"/>
      <c r="R22" s="176"/>
      <c r="S22" s="118"/>
      <c r="T22" s="120"/>
      <c r="W22" s="117" t="s">
        <v>153</v>
      </c>
      <c r="X22" s="149" t="s">
        <v>259</v>
      </c>
      <c r="Y22" s="149" t="s">
        <v>258</v>
      </c>
      <c r="Z22" s="149"/>
      <c r="AA22" s="149"/>
      <c r="AB22" s="149"/>
      <c r="AC22" s="161"/>
      <c r="AE22" s="216" t="s">
        <v>327</v>
      </c>
      <c r="AF22" s="213"/>
      <c r="AG22" s="213"/>
      <c r="AH22" s="213"/>
      <c r="AI22" s="213"/>
      <c r="AJ22" s="213"/>
      <c r="AK22" s="213"/>
      <c r="AL22" s="213"/>
      <c r="AM22" s="214"/>
    </row>
    <row r="23" spans="1:39">
      <c r="A23" s="9"/>
      <c r="B23" s="117"/>
      <c r="C23" s="118"/>
      <c r="D23" s="135"/>
      <c r="E23" s="137"/>
      <c r="F23" s="137"/>
      <c r="G23" s="137" t="s">
        <v>154</v>
      </c>
      <c r="H23" s="164">
        <v>3</v>
      </c>
      <c r="I23" s="166">
        <f>IF(H3="NewEstimate",H23,HLOOKUP($H$3,'Test Data'!$C$2:$AN$37,17,FALSE))</f>
        <v>3</v>
      </c>
      <c r="J23" s="141">
        <f>I23</f>
        <v>3</v>
      </c>
      <c r="K23" s="118" t="s">
        <v>354</v>
      </c>
      <c r="L23" s="118"/>
      <c r="M23" s="118"/>
      <c r="N23" s="118"/>
      <c r="O23" s="118"/>
      <c r="P23" s="118"/>
      <c r="Q23" s="118"/>
      <c r="R23" s="118"/>
      <c r="S23" s="118"/>
      <c r="T23" s="120"/>
      <c r="W23" s="160" t="s">
        <v>154</v>
      </c>
      <c r="X23" s="137"/>
      <c r="Y23" s="137"/>
      <c r="Z23" s="137"/>
      <c r="AA23" s="137"/>
      <c r="AB23" s="137"/>
      <c r="AC23" s="140"/>
      <c r="AE23" s="216" t="s">
        <v>328</v>
      </c>
      <c r="AF23" s="213"/>
      <c r="AG23" s="213"/>
      <c r="AH23" s="213"/>
      <c r="AI23" s="213"/>
      <c r="AJ23" s="213"/>
      <c r="AK23" s="213"/>
      <c r="AL23" s="213"/>
      <c r="AM23" s="214"/>
    </row>
    <row r="24" spans="1:39" ht="13.5" thickBot="1">
      <c r="A24" s="9"/>
      <c r="B24" s="117"/>
      <c r="C24" s="118"/>
      <c r="D24" s="135"/>
      <c r="E24" s="137"/>
      <c r="F24" s="137" t="s">
        <v>289</v>
      </c>
      <c r="G24" s="137"/>
      <c r="H24" s="164" t="s">
        <v>258</v>
      </c>
      <c r="I24" s="166" t="str">
        <f>IF(H3="NewEstimate",H24,HLOOKUP($H$3,'Test Data'!$C$2:$AN$37,18,FALSE))</f>
        <v>yes</v>
      </c>
      <c r="J24" s="141">
        <f>IF(H24="yes",1,0)</f>
        <v>1</v>
      </c>
      <c r="K24" s="245" t="s">
        <v>359</v>
      </c>
      <c r="L24" s="118"/>
      <c r="M24" s="118"/>
      <c r="N24" s="118"/>
      <c r="O24" s="118"/>
      <c r="P24" s="118"/>
      <c r="Q24" s="118"/>
      <c r="R24" s="118"/>
      <c r="S24" s="119"/>
      <c r="T24" s="120"/>
      <c r="W24" s="160" t="s">
        <v>150</v>
      </c>
      <c r="X24" s="149" t="s">
        <v>259</v>
      </c>
      <c r="Y24" s="149" t="s">
        <v>258</v>
      </c>
      <c r="Z24" s="149"/>
      <c r="AA24" s="149"/>
      <c r="AB24" s="149"/>
      <c r="AC24" s="161"/>
      <c r="AE24" s="217" t="s">
        <v>329</v>
      </c>
      <c r="AF24" s="218"/>
      <c r="AG24" s="218"/>
      <c r="AH24" s="218"/>
      <c r="AI24" s="218"/>
      <c r="AJ24" s="218"/>
      <c r="AK24" s="218"/>
      <c r="AL24" s="218"/>
      <c r="AM24" s="219"/>
    </row>
    <row r="25" spans="1:39">
      <c r="A25" s="9"/>
      <c r="B25" s="117"/>
      <c r="C25" s="118"/>
      <c r="D25" s="135"/>
      <c r="E25" s="137"/>
      <c r="F25" s="137" t="s">
        <v>278</v>
      </c>
      <c r="G25" s="137"/>
      <c r="H25" s="164" t="s">
        <v>258</v>
      </c>
      <c r="I25" s="166"/>
      <c r="J25" s="141">
        <f>IF(H25="yes",1,0)</f>
        <v>1</v>
      </c>
      <c r="K25" s="118"/>
      <c r="L25" s="118"/>
      <c r="M25" s="118"/>
      <c r="N25" s="118"/>
      <c r="O25" s="118"/>
      <c r="P25" s="118"/>
      <c r="Q25" s="118"/>
      <c r="R25" s="118"/>
      <c r="S25" s="119"/>
      <c r="T25" s="120"/>
      <c r="W25" s="160" t="s">
        <v>278</v>
      </c>
      <c r="X25" s="149" t="s">
        <v>259</v>
      </c>
      <c r="Y25" s="149" t="s">
        <v>258</v>
      </c>
      <c r="Z25" s="149"/>
      <c r="AA25" s="149"/>
      <c r="AB25" s="149"/>
      <c r="AC25" s="161"/>
      <c r="AE25" s="15"/>
      <c r="AF25" s="15"/>
      <c r="AG25" s="15"/>
      <c r="AH25" s="15"/>
      <c r="AI25" s="15"/>
      <c r="AJ25" s="15"/>
      <c r="AK25" s="15"/>
      <c r="AL25" s="15"/>
      <c r="AM25" s="15"/>
    </row>
    <row r="26" spans="1:39">
      <c r="A26" s="9"/>
      <c r="B26" s="117"/>
      <c r="C26" s="118"/>
      <c r="D26" s="135"/>
      <c r="E26" s="137"/>
      <c r="F26" s="137" t="s">
        <v>15</v>
      </c>
      <c r="G26" s="137"/>
      <c r="H26" s="164">
        <v>3</v>
      </c>
      <c r="I26" s="166">
        <f>IF(H3="NewEstimate",H26,HLOOKUP($H$3,'Test Data'!$C$2:$AN$37,19,FALSE))</f>
        <v>3</v>
      </c>
      <c r="J26" s="141">
        <f>(I26/2)^2.2</f>
        <v>2.4400614851948221</v>
      </c>
      <c r="K26" s="118" t="s">
        <v>356</v>
      </c>
      <c r="L26" s="118"/>
      <c r="M26" s="118"/>
      <c r="N26" s="118"/>
      <c r="O26" s="118"/>
      <c r="P26" s="118"/>
      <c r="Q26" s="118"/>
      <c r="R26" s="118"/>
      <c r="S26" s="118"/>
      <c r="T26" s="120"/>
      <c r="W26" s="160" t="s">
        <v>15</v>
      </c>
      <c r="X26" s="149">
        <v>1</v>
      </c>
      <c r="Y26" s="149">
        <v>2</v>
      </c>
      <c r="Z26" s="149">
        <v>3</v>
      </c>
      <c r="AA26" s="149">
        <v>4</v>
      </c>
      <c r="AB26" s="149">
        <v>5</v>
      </c>
      <c r="AC26" s="161"/>
      <c r="AE26" s="15"/>
      <c r="AF26" s="15"/>
      <c r="AG26" s="15"/>
      <c r="AH26" s="15"/>
      <c r="AI26" s="15"/>
      <c r="AJ26" s="15"/>
      <c r="AK26" s="15"/>
      <c r="AL26" s="15"/>
      <c r="AM26" s="15"/>
    </row>
    <row r="27" spans="1:39">
      <c r="A27" s="9"/>
      <c r="B27" s="117"/>
      <c r="C27" s="118"/>
      <c r="D27" s="135"/>
      <c r="E27" s="137"/>
      <c r="F27" s="137" t="s">
        <v>159</v>
      </c>
      <c r="G27" s="137"/>
      <c r="H27" s="164">
        <v>4</v>
      </c>
      <c r="I27" s="166">
        <f>IF(H3="NewEstimate",H27,HLOOKUP($H$3,'Test Data'!$C$2:$AN$37,20,FALSE))</f>
        <v>4</v>
      </c>
      <c r="J27" s="141">
        <f>I27</f>
        <v>4</v>
      </c>
      <c r="K27" s="118"/>
      <c r="L27" s="118"/>
      <c r="M27" s="118"/>
      <c r="N27" s="118"/>
      <c r="O27" s="118"/>
      <c r="P27" s="118"/>
      <c r="Q27" s="118"/>
      <c r="R27" s="118"/>
      <c r="S27" s="118"/>
      <c r="T27" s="120"/>
      <c r="W27" s="160" t="s">
        <v>159</v>
      </c>
      <c r="X27" s="137"/>
      <c r="Y27" s="137"/>
      <c r="Z27" s="137"/>
      <c r="AA27" s="137"/>
      <c r="AB27" s="137"/>
      <c r="AC27" s="140"/>
      <c r="AE27" s="15"/>
      <c r="AF27" s="15"/>
      <c r="AG27" s="15"/>
      <c r="AH27" s="15"/>
      <c r="AI27" s="15"/>
      <c r="AJ27" s="15"/>
      <c r="AK27" s="15"/>
      <c r="AL27" s="15"/>
      <c r="AM27" s="15"/>
    </row>
    <row r="28" spans="1:39">
      <c r="A28" s="9"/>
      <c r="B28" s="117"/>
      <c r="C28" s="118"/>
      <c r="D28" s="135"/>
      <c r="E28" s="137"/>
      <c r="F28" s="137" t="s">
        <v>169</v>
      </c>
      <c r="G28" s="137"/>
      <c r="H28" s="164">
        <v>1</v>
      </c>
      <c r="I28" s="166">
        <f>IF(H3="NewEstimate",H28,HLOOKUP($H$3,'Test Data'!$C$2:$AN$37,21,FALSE))</f>
        <v>1</v>
      </c>
      <c r="J28" s="141">
        <f>1+((I28-1)^2)/2</f>
        <v>1</v>
      </c>
      <c r="K28" s="245" t="s">
        <v>357</v>
      </c>
      <c r="L28" s="118"/>
      <c r="M28" s="118"/>
      <c r="N28" s="118"/>
      <c r="O28" s="118"/>
      <c r="P28" s="118"/>
      <c r="Q28" s="118"/>
      <c r="R28" s="118"/>
      <c r="S28" s="119"/>
      <c r="T28" s="120"/>
      <c r="W28" s="117" t="s">
        <v>169</v>
      </c>
      <c r="X28" s="149">
        <v>1</v>
      </c>
      <c r="Y28" s="149">
        <v>2</v>
      </c>
      <c r="Z28" s="149">
        <v>3</v>
      </c>
      <c r="AA28" s="149"/>
      <c r="AB28" s="149"/>
      <c r="AC28" s="161"/>
      <c r="AE28" s="15"/>
      <c r="AF28" s="15"/>
      <c r="AG28" s="15"/>
      <c r="AH28" s="15"/>
      <c r="AI28" s="15"/>
      <c r="AJ28" s="15"/>
      <c r="AK28" s="15"/>
      <c r="AL28" s="15"/>
      <c r="AM28" s="15"/>
    </row>
    <row r="29" spans="1:39">
      <c r="A29" s="9"/>
      <c r="B29" s="117"/>
      <c r="C29" s="118"/>
      <c r="D29" s="135"/>
      <c r="E29" s="137"/>
      <c r="F29" s="137" t="s">
        <v>156</v>
      </c>
      <c r="G29" s="137"/>
      <c r="H29" s="164">
        <v>0</v>
      </c>
      <c r="I29" s="166">
        <f>IF(H3="NewEstimate",H29,HLOOKUP($H$3,'Test Data'!$C$2:$AN$37,22,FALSE))</f>
        <v>0</v>
      </c>
      <c r="J29" s="141">
        <f>I29</f>
        <v>0</v>
      </c>
      <c r="K29" s="245" t="s">
        <v>360</v>
      </c>
      <c r="L29" s="118"/>
      <c r="M29" s="118"/>
      <c r="N29" s="118"/>
      <c r="O29" s="118"/>
      <c r="P29" s="118"/>
      <c r="Q29" s="118"/>
      <c r="R29" s="118"/>
      <c r="S29" s="118"/>
      <c r="T29" s="120"/>
      <c r="W29" s="160" t="s">
        <v>156</v>
      </c>
      <c r="X29" s="137"/>
      <c r="Y29" s="137"/>
      <c r="Z29" s="137"/>
      <c r="AA29" s="137"/>
      <c r="AB29" s="137"/>
      <c r="AC29" s="140"/>
    </row>
    <row r="30" spans="1:39">
      <c r="A30" s="9"/>
      <c r="B30" s="117"/>
      <c r="C30" s="118"/>
      <c r="D30" s="135"/>
      <c r="E30" s="137"/>
      <c r="F30" s="137" t="s">
        <v>313</v>
      </c>
      <c r="G30" s="137"/>
      <c r="H30" s="164">
        <v>2</v>
      </c>
      <c r="I30" s="166">
        <f>IF(H3="NewEstimate",H30,HLOOKUP($H$3,'Test Data'!$C$2:$AN$37,23,FALSE))</f>
        <v>2</v>
      </c>
      <c r="J30" s="141">
        <f>(I30-1)^2</f>
        <v>1</v>
      </c>
      <c r="K30" s="118"/>
      <c r="L30" s="118" t="s">
        <v>361</v>
      </c>
      <c r="M30" s="118"/>
      <c r="N30" s="118"/>
      <c r="O30" s="118"/>
      <c r="P30" s="118"/>
      <c r="Q30" s="118"/>
      <c r="R30" s="118"/>
      <c r="S30" s="118"/>
      <c r="T30" s="120"/>
      <c r="W30" s="117" t="s">
        <v>173</v>
      </c>
      <c r="X30" s="149">
        <v>1</v>
      </c>
      <c r="Y30" s="149">
        <v>2</v>
      </c>
      <c r="Z30" s="149">
        <v>3</v>
      </c>
      <c r="AA30" s="149"/>
      <c r="AB30" s="149"/>
      <c r="AC30" s="161"/>
    </row>
    <row r="31" spans="1:39" ht="13.5" thickBot="1">
      <c r="A31" s="9"/>
      <c r="B31" s="117"/>
      <c r="C31" s="118"/>
      <c r="D31" s="135"/>
      <c r="E31" s="137"/>
      <c r="F31" s="137" t="s">
        <v>252</v>
      </c>
      <c r="G31" s="137"/>
      <c r="H31" s="165" t="s">
        <v>258</v>
      </c>
      <c r="I31" s="166" t="str">
        <f>IF(H3="NewEstimate",H31,HLOOKUP($H$3,'Test Data'!$C$2:$AN$37,25,FALSE))</f>
        <v>yes</v>
      </c>
      <c r="J31" s="141">
        <f>IF(H31="yes",1,0)</f>
        <v>1</v>
      </c>
      <c r="K31" s="118"/>
      <c r="L31" s="118" t="s">
        <v>362</v>
      </c>
      <c r="M31" s="118"/>
      <c r="N31" s="118"/>
      <c r="O31" s="118"/>
      <c r="P31" s="118"/>
      <c r="Q31" s="118"/>
      <c r="R31" s="118"/>
      <c r="S31" s="118"/>
      <c r="T31" s="120"/>
      <c r="W31" s="117" t="s">
        <v>252</v>
      </c>
      <c r="X31" s="149" t="s">
        <v>259</v>
      </c>
      <c r="Y31" s="149" t="s">
        <v>258</v>
      </c>
      <c r="Z31" s="149"/>
      <c r="AA31" s="149"/>
      <c r="AB31" s="149"/>
      <c r="AC31" s="161"/>
    </row>
    <row r="32" spans="1:39" ht="13.5" thickBot="1">
      <c r="A32" s="9"/>
      <c r="B32" s="117"/>
      <c r="C32" s="118"/>
      <c r="D32" s="142"/>
      <c r="E32" s="143"/>
      <c r="F32" s="143"/>
      <c r="G32" s="143"/>
      <c r="H32" s="143"/>
      <c r="I32" s="143"/>
      <c r="J32" s="144"/>
      <c r="K32" s="118"/>
      <c r="L32" s="118" t="s">
        <v>363</v>
      </c>
      <c r="M32" s="118"/>
      <c r="N32" s="118"/>
      <c r="O32" s="118"/>
      <c r="P32" s="118"/>
      <c r="Q32" s="118"/>
      <c r="R32" s="118"/>
      <c r="S32" s="118"/>
      <c r="T32" s="120"/>
      <c r="W32" s="160"/>
      <c r="X32" s="149"/>
      <c r="Y32" s="149"/>
      <c r="Z32" s="149"/>
      <c r="AA32" s="149"/>
      <c r="AB32" s="149"/>
      <c r="AC32" s="161"/>
    </row>
    <row r="33" spans="1:29" ht="13.5" thickBot="1">
      <c r="A33" s="9"/>
      <c r="B33" s="124"/>
      <c r="C33" s="125"/>
      <c r="D33" s="125"/>
      <c r="E33" s="125"/>
      <c r="F33" s="125"/>
      <c r="G33" s="125"/>
      <c r="H33" s="125"/>
      <c r="I33" s="125"/>
      <c r="J33" s="125"/>
      <c r="K33" s="125"/>
      <c r="L33" s="125"/>
      <c r="M33" s="125"/>
      <c r="N33" s="125"/>
      <c r="O33" s="125"/>
      <c r="P33" s="125"/>
      <c r="Q33" s="125"/>
      <c r="R33" s="125"/>
      <c r="S33" s="125"/>
      <c r="T33" s="126"/>
      <c r="W33" s="160"/>
      <c r="X33" s="149"/>
      <c r="Y33" s="149"/>
      <c r="Z33" s="149"/>
      <c r="AA33" s="149"/>
      <c r="AB33" s="149"/>
      <c r="AC33" s="161"/>
    </row>
    <row r="34" spans="1:29" s="15" customFormat="1" ht="13.5" thickBot="1">
      <c r="A34" s="13"/>
      <c r="B34" s="127"/>
      <c r="C34" s="13"/>
      <c r="D34" s="13"/>
      <c r="E34" s="13"/>
      <c r="F34" s="13"/>
      <c r="G34" s="13"/>
      <c r="H34" s="13"/>
      <c r="I34" s="13"/>
      <c r="J34" s="25"/>
      <c r="K34" s="13"/>
      <c r="L34" s="13"/>
      <c r="M34" s="13"/>
      <c r="N34" s="13"/>
      <c r="O34" s="13"/>
      <c r="P34" s="13"/>
      <c r="Q34" s="13"/>
      <c r="R34" s="13"/>
      <c r="S34" s="13"/>
      <c r="T34" s="14"/>
      <c r="W34" s="127"/>
      <c r="X34" s="13"/>
      <c r="Y34" s="13"/>
      <c r="Z34" s="13"/>
      <c r="AA34" s="13"/>
      <c r="AB34" s="13"/>
      <c r="AC34" s="14"/>
    </row>
    <row r="35" spans="1:29" s="15" customFormat="1" ht="13.5" thickBot="1">
      <c r="A35" s="13"/>
      <c r="B35" s="127"/>
      <c r="C35" s="13"/>
      <c r="D35" s="193"/>
      <c r="E35" s="194" t="s">
        <v>218</v>
      </c>
      <c r="F35" s="26"/>
      <c r="G35" s="26"/>
      <c r="H35" s="26"/>
      <c r="I35" s="26"/>
      <c r="J35" s="19"/>
      <c r="K35" s="248"/>
      <c r="L35" s="245" t="s">
        <v>369</v>
      </c>
      <c r="M35" s="145" t="s">
        <v>364</v>
      </c>
      <c r="N35" s="248" t="s">
        <v>365</v>
      </c>
      <c r="O35" s="248" t="s">
        <v>49</v>
      </c>
      <c r="P35" s="13"/>
      <c r="Q35" s="13"/>
      <c r="R35" s="13"/>
      <c r="S35" s="13"/>
      <c r="T35" s="14"/>
      <c r="W35" s="127"/>
      <c r="X35" s="13"/>
      <c r="Y35" s="13"/>
      <c r="Z35" s="13"/>
      <c r="AA35" s="13"/>
      <c r="AB35" s="13"/>
      <c r="AC35" s="14"/>
    </row>
    <row r="36" spans="1:29" s="15" customFormat="1" ht="13.5" thickBot="1">
      <c r="A36" s="13"/>
      <c r="B36" s="127"/>
      <c r="C36" s="13"/>
      <c r="D36" s="127"/>
      <c r="E36" s="13"/>
      <c r="F36" s="13" t="s">
        <v>172</v>
      </c>
      <c r="G36" s="13"/>
      <c r="H36" s="195">
        <v>2</v>
      </c>
      <c r="I36" s="80">
        <f>IF(H3="NewEstimate",H36,HLOOKUP($H$3,'Test Data'!$C$2:$AN$37,24,FALSE))</f>
        <v>2</v>
      </c>
      <c r="J36" s="192">
        <f>((I36-1)^3)</f>
        <v>1</v>
      </c>
      <c r="K36" s="13"/>
      <c r="L36" s="13">
        <f>16+8</f>
        <v>24</v>
      </c>
      <c r="M36" s="15">
        <v>3</v>
      </c>
      <c r="N36" s="13">
        <v>2</v>
      </c>
      <c r="O36" s="13">
        <f>M36*$M$44+$M$43+$M$45*N36</f>
        <v>1050</v>
      </c>
      <c r="P36" s="13"/>
      <c r="Q36" s="13"/>
      <c r="R36" s="13"/>
      <c r="S36" s="13"/>
      <c r="T36" s="14"/>
      <c r="W36" s="127" t="s">
        <v>172</v>
      </c>
      <c r="X36" s="13">
        <v>1</v>
      </c>
      <c r="Y36" s="13">
        <v>2</v>
      </c>
      <c r="Z36" s="13">
        <v>3</v>
      </c>
      <c r="AA36" s="13">
        <v>4</v>
      </c>
      <c r="AB36" s="13">
        <v>5</v>
      </c>
      <c r="AC36" s="14"/>
    </row>
    <row r="37" spans="1:29" s="15" customFormat="1" ht="13.5" thickBot="1">
      <c r="A37" s="13"/>
      <c r="B37" s="127"/>
      <c r="C37" s="13"/>
      <c r="D37" s="127"/>
      <c r="E37" s="28" t="s">
        <v>16</v>
      </c>
      <c r="F37" s="13"/>
      <c r="G37" s="13"/>
      <c r="H37" s="13"/>
      <c r="I37" s="13"/>
      <c r="J37" s="14"/>
      <c r="K37" s="13"/>
      <c r="L37" s="13">
        <f>8+2*8</f>
        <v>24</v>
      </c>
      <c r="M37" s="15">
        <v>3</v>
      </c>
      <c r="N37" s="13">
        <v>2</v>
      </c>
      <c r="O37" s="13">
        <f t="shared" ref="O37:O41" si="1">M37*$M$44+$M$43+$M$45*N37</f>
        <v>1050</v>
      </c>
      <c r="P37" s="13"/>
      <c r="Q37" s="13"/>
      <c r="R37" s="13"/>
      <c r="S37" s="13"/>
      <c r="T37" s="14"/>
      <c r="W37" s="127"/>
      <c r="X37" s="13"/>
      <c r="Y37" s="13"/>
      <c r="Z37" s="13"/>
      <c r="AA37" s="13"/>
      <c r="AB37" s="13"/>
      <c r="AC37" s="14"/>
    </row>
    <row r="38" spans="1:29" s="15" customFormat="1">
      <c r="A38" s="13"/>
      <c r="B38" s="127"/>
      <c r="C38" s="13"/>
      <c r="D38" s="127"/>
      <c r="E38" s="13"/>
      <c r="F38" s="13" t="s">
        <v>293</v>
      </c>
      <c r="G38" s="13"/>
      <c r="H38" s="128">
        <v>1</v>
      </c>
      <c r="I38" s="13">
        <f>IF(H3="NewEstimate",H38,HLOOKUP($H$3,'Test Data'!$C$2:$AN$37,26,FALSE))</f>
        <v>1</v>
      </c>
      <c r="J38" s="14"/>
      <c r="K38" s="13"/>
      <c r="L38" s="13">
        <f>8+12</f>
        <v>20</v>
      </c>
      <c r="M38" s="15">
        <v>2.5</v>
      </c>
      <c r="N38" s="13">
        <v>2</v>
      </c>
      <c r="O38" s="13">
        <f t="shared" si="1"/>
        <v>1000</v>
      </c>
      <c r="P38" s="13"/>
      <c r="Q38" s="13"/>
      <c r="R38" s="13"/>
      <c r="S38" s="13"/>
      <c r="T38" s="14"/>
      <c r="W38" s="127" t="s">
        <v>212</v>
      </c>
      <c r="X38" s="13"/>
      <c r="Y38" s="13"/>
      <c r="Z38" s="13"/>
      <c r="AA38" s="13"/>
      <c r="AB38" s="13"/>
      <c r="AC38" s="14"/>
    </row>
    <row r="39" spans="1:29" s="15" customFormat="1">
      <c r="A39" s="13"/>
      <c r="B39" s="127"/>
      <c r="C39" s="13"/>
      <c r="D39" s="127"/>
      <c r="E39" s="13"/>
      <c r="F39" s="13" t="s">
        <v>294</v>
      </c>
      <c r="G39" s="13"/>
      <c r="H39" s="129">
        <v>1</v>
      </c>
      <c r="I39" s="13">
        <f>IF(H3="NewEstimate",H39,HLOOKUP($H$3,'Test Data'!$C$2:$AN$37,27,FALSE))</f>
        <v>1</v>
      </c>
      <c r="J39" s="14"/>
      <c r="K39" s="13"/>
      <c r="L39" s="248" t="s">
        <v>370</v>
      </c>
      <c r="M39" s="13"/>
      <c r="N39" s="13"/>
      <c r="O39" s="13"/>
      <c r="P39" s="13"/>
      <c r="Q39" s="13"/>
      <c r="R39" s="13"/>
      <c r="S39" s="13"/>
      <c r="T39" s="14"/>
      <c r="W39" s="127" t="s">
        <v>211</v>
      </c>
      <c r="X39" s="13"/>
      <c r="Y39" s="13"/>
      <c r="Z39" s="13"/>
      <c r="AA39" s="13"/>
      <c r="AB39" s="13"/>
      <c r="AC39" s="14"/>
    </row>
    <row r="40" spans="1:29" s="15" customFormat="1">
      <c r="A40" s="13"/>
      <c r="B40" s="127"/>
      <c r="C40" s="13"/>
      <c r="D40" s="127"/>
      <c r="E40" s="13"/>
      <c r="F40" s="13" t="s">
        <v>295</v>
      </c>
      <c r="G40" s="13"/>
      <c r="H40" s="129">
        <v>0</v>
      </c>
      <c r="I40" s="13">
        <f>IF(H3="NewEstimate",H40,HLOOKUP($H$3,'Test Data'!$C$2:$AN$37,28,FALSE))</f>
        <v>0</v>
      </c>
      <c r="J40" s="14"/>
      <c r="K40" s="13"/>
      <c r="L40" s="13">
        <v>16</v>
      </c>
      <c r="M40" s="13">
        <v>2</v>
      </c>
      <c r="N40" s="13">
        <v>1</v>
      </c>
      <c r="O40" s="13">
        <f t="shared" si="1"/>
        <v>750</v>
      </c>
      <c r="P40" s="13"/>
      <c r="Q40" s="13"/>
      <c r="R40" s="13"/>
      <c r="S40" s="13"/>
      <c r="T40" s="14"/>
      <c r="W40" s="127" t="s">
        <v>17</v>
      </c>
      <c r="X40" s="13"/>
      <c r="Y40" s="13"/>
      <c r="Z40" s="13"/>
      <c r="AA40" s="13"/>
      <c r="AB40" s="13"/>
      <c r="AC40" s="14"/>
    </row>
    <row r="41" spans="1:29" s="15" customFormat="1">
      <c r="A41" s="13"/>
      <c r="B41" s="127"/>
      <c r="C41" s="13"/>
      <c r="D41" s="127"/>
      <c r="E41" s="13"/>
      <c r="F41" s="13" t="s">
        <v>296</v>
      </c>
      <c r="G41" s="13"/>
      <c r="H41" s="129">
        <v>1</v>
      </c>
      <c r="I41" s="13">
        <f>IF(H3="NewEstimate",H41,HLOOKUP($H$3,'Test Data'!$C$2:$AN$37,29,FALSE))</f>
        <v>1</v>
      </c>
      <c r="J41" s="14"/>
      <c r="K41" s="13"/>
      <c r="L41" s="13">
        <f>8+12</f>
        <v>20</v>
      </c>
      <c r="M41" s="13">
        <v>2.5</v>
      </c>
      <c r="N41" s="13">
        <v>2</v>
      </c>
      <c r="O41" s="13">
        <f t="shared" si="1"/>
        <v>1000</v>
      </c>
      <c r="P41" s="13"/>
      <c r="Q41" s="13"/>
      <c r="R41" s="13"/>
      <c r="S41" s="13"/>
      <c r="T41" s="14"/>
      <c r="W41" s="127" t="s">
        <v>138</v>
      </c>
      <c r="X41" s="13"/>
      <c r="Y41" s="13"/>
      <c r="Z41" s="13"/>
      <c r="AA41" s="13"/>
      <c r="AB41" s="13"/>
      <c r="AC41" s="14"/>
    </row>
    <row r="42" spans="1:29" s="15" customFormat="1">
      <c r="A42" s="13"/>
      <c r="B42" s="127"/>
      <c r="C42" s="13"/>
      <c r="D42" s="127"/>
      <c r="E42" s="13"/>
      <c r="F42" s="13" t="s">
        <v>139</v>
      </c>
      <c r="G42" s="13"/>
      <c r="H42" s="129">
        <v>1</v>
      </c>
      <c r="I42" s="13">
        <f>IF(H3="NewEstimate",H42,HLOOKUP($H$3,'Test Data'!$C$2:$AN$37,30,FALSE))</f>
        <v>1</v>
      </c>
      <c r="J42" s="14"/>
      <c r="K42" s="13"/>
      <c r="O42" s="13"/>
      <c r="P42" s="13"/>
      <c r="Q42" s="13"/>
      <c r="R42" s="13"/>
      <c r="S42" s="188"/>
      <c r="T42" s="14"/>
      <c r="W42" s="127" t="s">
        <v>139</v>
      </c>
      <c r="X42" s="13"/>
      <c r="Y42" s="13"/>
      <c r="Z42" s="13"/>
      <c r="AA42" s="13"/>
      <c r="AB42" s="13"/>
      <c r="AC42" s="14"/>
    </row>
    <row r="43" spans="1:29" s="15" customFormat="1">
      <c r="A43" s="13"/>
      <c r="B43" s="127"/>
      <c r="C43" s="13"/>
      <c r="D43" s="127"/>
      <c r="E43" s="13"/>
      <c r="F43" s="13" t="s">
        <v>297</v>
      </c>
      <c r="G43" s="13"/>
      <c r="H43" s="129">
        <v>1</v>
      </c>
      <c r="I43" s="13">
        <f>IF(H3="NewEstimate",H43,HLOOKUP($H$3,'Test Data'!$C$2:$AN$37,31,FALSE))</f>
        <v>1</v>
      </c>
      <c r="J43" s="14"/>
      <c r="K43" s="13"/>
      <c r="L43" s="248" t="s">
        <v>366</v>
      </c>
      <c r="M43" s="13">
        <v>350</v>
      </c>
      <c r="N43" s="13"/>
      <c r="O43" s="13"/>
      <c r="P43" s="13"/>
      <c r="Q43" s="13"/>
      <c r="R43" s="13"/>
      <c r="S43" s="188"/>
      <c r="T43" s="14"/>
      <c r="W43" s="127" t="s">
        <v>164</v>
      </c>
      <c r="X43" s="13"/>
      <c r="Y43" s="13"/>
      <c r="Z43" s="13"/>
      <c r="AA43" s="13"/>
      <c r="AB43" s="13"/>
      <c r="AC43" s="14"/>
    </row>
    <row r="44" spans="1:29" s="15" customFormat="1">
      <c r="A44" s="13"/>
      <c r="B44" s="127"/>
      <c r="C44" s="13"/>
      <c r="D44" s="127"/>
      <c r="E44" s="13"/>
      <c r="F44" s="13" t="s">
        <v>165</v>
      </c>
      <c r="G44" s="13"/>
      <c r="H44" s="129">
        <v>0</v>
      </c>
      <c r="I44" s="13">
        <f>IF(H3="NewEstimate",H44,HLOOKUP($H$3,'Test Data'!$C$2:$AN$37,32,FALSE))</f>
        <v>0</v>
      </c>
      <c r="J44" s="14"/>
      <c r="K44" s="13"/>
      <c r="L44" s="248" t="s">
        <v>367</v>
      </c>
      <c r="M44" s="13">
        <v>100</v>
      </c>
      <c r="N44" s="13"/>
      <c r="O44" s="13"/>
      <c r="P44" s="13"/>
      <c r="Q44" s="13"/>
      <c r="R44" s="13"/>
      <c r="T44" s="14"/>
      <c r="W44" s="127" t="s">
        <v>165</v>
      </c>
      <c r="X44" s="13"/>
      <c r="Y44" s="13"/>
      <c r="Z44" s="13"/>
      <c r="AA44" s="13"/>
      <c r="AB44" s="13"/>
      <c r="AC44" s="14"/>
    </row>
    <row r="45" spans="1:29" s="15" customFormat="1">
      <c r="A45" s="13"/>
      <c r="B45" s="127"/>
      <c r="C45" s="13"/>
      <c r="D45" s="127"/>
      <c r="E45" s="13"/>
      <c r="F45" s="13" t="s">
        <v>160</v>
      </c>
      <c r="G45" s="13"/>
      <c r="H45" s="129">
        <v>1</v>
      </c>
      <c r="I45" s="13">
        <f>IF(H3="NewEstimate",H45,HLOOKUP($H$3,'Test Data'!$C$2:$AN$37,33,FALSE))</f>
        <v>1</v>
      </c>
      <c r="J45" s="14"/>
      <c r="K45" s="13"/>
      <c r="L45" s="248" t="s">
        <v>368</v>
      </c>
      <c r="M45" s="13">
        <v>200</v>
      </c>
      <c r="N45" s="13"/>
      <c r="O45" s="13"/>
      <c r="P45" s="13"/>
      <c r="Q45" s="13"/>
      <c r="R45" s="13"/>
      <c r="T45" s="14"/>
      <c r="W45" s="127" t="s">
        <v>160</v>
      </c>
      <c r="X45" s="13"/>
      <c r="Y45" s="13"/>
      <c r="Z45" s="13"/>
      <c r="AA45" s="13"/>
      <c r="AB45" s="13"/>
      <c r="AC45" s="14"/>
    </row>
    <row r="46" spans="1:29" s="15" customFormat="1">
      <c r="A46" s="13"/>
      <c r="B46" s="127"/>
      <c r="C46" s="13"/>
      <c r="D46" s="127"/>
      <c r="E46" s="13"/>
      <c r="F46" s="13" t="s">
        <v>167</v>
      </c>
      <c r="G46" s="13"/>
      <c r="H46" s="129">
        <v>0</v>
      </c>
      <c r="I46" s="13">
        <f>IF(H3="NewEstimate",H46,HLOOKUP($H$3,'Test Data'!$C$2:$AN$37,34,FALSE))</f>
        <v>0</v>
      </c>
      <c r="J46" s="14"/>
      <c r="K46" s="13"/>
      <c r="L46" s="13"/>
      <c r="M46" s="13"/>
      <c r="N46" s="13"/>
      <c r="O46" s="13"/>
      <c r="P46" s="13"/>
      <c r="Q46" s="13"/>
      <c r="R46" s="13"/>
      <c r="T46" s="14"/>
      <c r="W46" s="127" t="s">
        <v>167</v>
      </c>
      <c r="X46" s="13"/>
      <c r="Y46" s="13"/>
      <c r="Z46" s="13"/>
      <c r="AA46" s="13"/>
      <c r="AB46" s="13"/>
      <c r="AC46" s="14"/>
    </row>
    <row r="47" spans="1:29" s="15" customFormat="1" ht="13.5" thickBot="1">
      <c r="A47" s="13"/>
      <c r="B47" s="127"/>
      <c r="C47" s="13"/>
      <c r="D47" s="127"/>
      <c r="E47" s="13"/>
      <c r="F47" s="13" t="s">
        <v>40</v>
      </c>
      <c r="G47" s="13"/>
      <c r="H47" s="130">
        <v>1</v>
      </c>
      <c r="I47" s="13">
        <f>IF(H3="NewEstimate",H47,HLOOKUP($H$3,'Test Data'!$C$2:$AN$37,34,FALSE))</f>
        <v>1</v>
      </c>
      <c r="J47" s="14"/>
      <c r="K47" s="13"/>
      <c r="L47" s="13"/>
      <c r="M47" s="13"/>
      <c r="N47" s="13"/>
      <c r="O47" s="13"/>
      <c r="P47" s="13"/>
      <c r="Q47" s="13"/>
      <c r="R47" s="13"/>
      <c r="T47" s="14"/>
      <c r="W47" s="127" t="s">
        <v>40</v>
      </c>
      <c r="X47" s="13"/>
      <c r="Y47" s="13"/>
      <c r="Z47" s="13"/>
      <c r="AA47" s="13"/>
      <c r="AB47" s="13"/>
      <c r="AC47" s="14"/>
    </row>
    <row r="48" spans="1:29" s="15" customFormat="1">
      <c r="A48" s="13"/>
      <c r="B48" s="127"/>
      <c r="C48" s="13"/>
      <c r="D48" s="127"/>
      <c r="E48" s="13"/>
      <c r="F48" s="28" t="s">
        <v>168</v>
      </c>
      <c r="G48" s="13"/>
      <c r="H48" s="13"/>
      <c r="I48" s="13">
        <f>SUM(I38:I47)</f>
        <v>7</v>
      </c>
      <c r="J48" s="14"/>
      <c r="K48" s="13"/>
      <c r="L48" s="13"/>
      <c r="M48" s="13"/>
      <c r="N48" s="13"/>
      <c r="O48" s="13"/>
      <c r="P48" s="13"/>
      <c r="Q48" s="13"/>
      <c r="R48" s="13"/>
      <c r="T48" s="14"/>
      <c r="W48" s="127"/>
      <c r="X48" s="13"/>
      <c r="Y48" s="13"/>
      <c r="Z48" s="13"/>
      <c r="AA48" s="13"/>
      <c r="AB48" s="13"/>
      <c r="AC48" s="14"/>
    </row>
    <row r="49" spans="1:29" s="15" customFormat="1">
      <c r="A49" s="13"/>
      <c r="B49" s="127"/>
      <c r="C49" s="13"/>
      <c r="D49" s="127"/>
      <c r="E49" s="13"/>
      <c r="F49" s="13"/>
      <c r="G49" s="13"/>
      <c r="H49" s="13"/>
      <c r="I49" s="13"/>
      <c r="J49" s="14"/>
      <c r="K49" s="13"/>
      <c r="L49" s="13"/>
      <c r="M49" s="13"/>
      <c r="N49" s="13"/>
      <c r="O49" s="13"/>
      <c r="P49" s="13"/>
      <c r="Q49" s="13"/>
      <c r="R49" s="13"/>
      <c r="T49" s="14"/>
      <c r="W49" s="127"/>
      <c r="X49" s="13"/>
      <c r="Y49" s="13"/>
      <c r="Z49" s="13"/>
      <c r="AA49" s="13"/>
      <c r="AB49" s="13"/>
      <c r="AC49" s="14"/>
    </row>
    <row r="50" spans="1:29" s="15" customFormat="1">
      <c r="A50" s="13"/>
      <c r="B50" s="127"/>
      <c r="C50" s="13"/>
      <c r="D50" s="127"/>
      <c r="E50" s="28" t="s">
        <v>18</v>
      </c>
      <c r="F50" s="13"/>
      <c r="G50" s="13"/>
      <c r="H50" s="13"/>
      <c r="I50" s="13"/>
      <c r="J50" s="14"/>
      <c r="K50" s="13"/>
      <c r="L50" s="13"/>
      <c r="M50" s="13"/>
      <c r="N50" s="13"/>
      <c r="O50" s="13"/>
      <c r="P50" s="13"/>
      <c r="Q50" s="13"/>
      <c r="R50" s="13"/>
      <c r="T50" s="14"/>
      <c r="W50" s="127"/>
      <c r="X50" s="13"/>
      <c r="Y50" s="13"/>
      <c r="Z50" s="13"/>
      <c r="AA50" s="13"/>
      <c r="AB50" s="13"/>
      <c r="AC50" s="14"/>
    </row>
    <row r="51" spans="1:29" s="15" customFormat="1">
      <c r="A51" s="13"/>
      <c r="B51" s="127"/>
      <c r="C51" s="13"/>
      <c r="D51" s="127"/>
      <c r="E51" s="13"/>
      <c r="F51" s="28" t="s">
        <v>19</v>
      </c>
      <c r="G51" s="13"/>
      <c r="H51" s="13"/>
      <c r="I51" s="13"/>
      <c r="J51" s="14"/>
      <c r="K51" s="13"/>
      <c r="L51" s="13"/>
      <c r="M51" s="13"/>
      <c r="N51" s="13"/>
      <c r="O51" s="13"/>
      <c r="P51" s="13"/>
      <c r="Q51" s="13"/>
      <c r="R51" s="13"/>
      <c r="T51" s="14"/>
      <c r="W51" s="127"/>
      <c r="X51" s="13"/>
      <c r="Y51" s="13"/>
      <c r="Z51" s="13"/>
      <c r="AA51" s="13"/>
      <c r="AB51" s="13"/>
      <c r="AC51" s="14"/>
    </row>
    <row r="52" spans="1:29" s="15" customFormat="1">
      <c r="A52" s="13"/>
      <c r="B52" s="127"/>
      <c r="C52" s="13"/>
      <c r="D52" s="127"/>
      <c r="E52" s="13"/>
      <c r="F52" s="13"/>
      <c r="G52" s="13" t="s">
        <v>20</v>
      </c>
      <c r="H52" s="13">
        <v>8</v>
      </c>
      <c r="I52" s="28" t="s">
        <v>255</v>
      </c>
      <c r="J52" s="14"/>
      <c r="K52" s="13"/>
      <c r="L52" s="13"/>
      <c r="M52" s="13"/>
      <c r="N52" s="13"/>
      <c r="O52" s="13"/>
      <c r="P52" s="13"/>
      <c r="Q52" s="13"/>
      <c r="R52" s="13"/>
      <c r="S52" s="13"/>
      <c r="T52" s="14"/>
      <c r="W52" s="127"/>
      <c r="X52" s="13"/>
      <c r="Y52" s="13"/>
      <c r="Z52" s="13"/>
      <c r="AA52" s="13"/>
      <c r="AB52" s="13"/>
      <c r="AC52" s="14"/>
    </row>
    <row r="53" spans="1:29" s="15" customFormat="1">
      <c r="A53" s="13"/>
      <c r="B53" s="127"/>
      <c r="C53" s="13"/>
      <c r="D53" s="127"/>
      <c r="E53" s="13"/>
      <c r="F53" s="13"/>
      <c r="G53" s="13" t="s">
        <v>21</v>
      </c>
      <c r="H53" s="13">
        <v>6</v>
      </c>
      <c r="I53" s="28" t="s">
        <v>255</v>
      </c>
      <c r="J53" s="14"/>
      <c r="K53" s="13"/>
      <c r="L53" s="13"/>
      <c r="M53" s="13"/>
      <c r="N53" s="13"/>
      <c r="O53" s="13"/>
      <c r="P53" s="13"/>
      <c r="Q53" s="13"/>
      <c r="R53" s="13"/>
      <c r="S53" s="13"/>
      <c r="T53" s="14"/>
      <c r="W53" s="127"/>
      <c r="X53" s="13"/>
      <c r="Y53" s="13"/>
      <c r="Z53" s="13"/>
      <c r="AA53" s="13"/>
      <c r="AB53" s="13"/>
      <c r="AC53" s="14"/>
    </row>
    <row r="54" spans="1:29" s="15" customFormat="1">
      <c r="A54" s="13"/>
      <c r="B54" s="127"/>
      <c r="C54" s="13"/>
      <c r="D54" s="127"/>
      <c r="E54" s="13"/>
      <c r="F54" s="13"/>
      <c r="G54" s="13" t="s">
        <v>22</v>
      </c>
      <c r="H54" s="13">
        <v>16</v>
      </c>
      <c r="I54" s="28" t="s">
        <v>255</v>
      </c>
      <c r="J54" s="14"/>
      <c r="K54" s="13"/>
      <c r="L54" s="13"/>
      <c r="M54" s="13"/>
      <c r="N54" s="13"/>
      <c r="O54" s="13"/>
      <c r="P54" s="13"/>
      <c r="Q54" s="13"/>
      <c r="R54" s="13"/>
      <c r="S54" s="13"/>
      <c r="T54" s="14"/>
      <c r="W54" s="127"/>
      <c r="X54" s="13"/>
      <c r="Y54" s="13"/>
      <c r="Z54" s="13"/>
      <c r="AA54" s="13"/>
      <c r="AB54" s="13"/>
      <c r="AC54" s="14"/>
    </row>
    <row r="55" spans="1:29" s="15" customFormat="1">
      <c r="A55" s="13"/>
      <c r="B55" s="127"/>
      <c r="C55" s="13"/>
      <c r="D55" s="127"/>
      <c r="E55" s="13"/>
      <c r="F55" s="13"/>
      <c r="G55" s="13" t="s">
        <v>23</v>
      </c>
      <c r="H55" s="13">
        <v>4</v>
      </c>
      <c r="I55" s="28" t="s">
        <v>255</v>
      </c>
      <c r="J55" s="14"/>
      <c r="K55" s="13"/>
      <c r="L55" s="13"/>
      <c r="M55" s="13"/>
      <c r="N55" s="13"/>
      <c r="O55" s="13"/>
      <c r="P55" s="13"/>
      <c r="Q55" s="13"/>
      <c r="R55" s="13"/>
      <c r="S55" s="13"/>
      <c r="T55" s="14"/>
      <c r="W55" s="127"/>
      <c r="X55" s="13"/>
      <c r="Y55" s="13"/>
      <c r="Z55" s="13"/>
      <c r="AA55" s="13"/>
      <c r="AB55" s="13"/>
      <c r="AC55" s="14"/>
    </row>
    <row r="56" spans="1:29" s="15" customFormat="1" ht="13.5" thickBot="1">
      <c r="A56" s="13"/>
      <c r="B56" s="127"/>
      <c r="C56" s="13"/>
      <c r="D56" s="189"/>
      <c r="E56" s="25"/>
      <c r="F56" s="25"/>
      <c r="G56" s="25" t="s">
        <v>24</v>
      </c>
      <c r="H56" s="25">
        <v>24</v>
      </c>
      <c r="I56" s="190" t="s">
        <v>255</v>
      </c>
      <c r="J56" s="18"/>
      <c r="K56" s="13"/>
      <c r="L56" s="13"/>
      <c r="M56" s="13"/>
      <c r="N56" s="13"/>
      <c r="O56" s="13"/>
      <c r="P56" s="13"/>
      <c r="Q56" s="13"/>
      <c r="R56" s="13"/>
      <c r="S56" s="13"/>
      <c r="T56" s="14"/>
      <c r="W56" s="127"/>
      <c r="X56" s="13"/>
      <c r="Y56" s="13"/>
      <c r="Z56" s="13"/>
      <c r="AA56" s="13"/>
      <c r="AB56" s="13"/>
      <c r="AC56" s="14"/>
    </row>
    <row r="57" spans="1:29" s="15" customFormat="1" ht="13.5" thickBot="1">
      <c r="A57" s="13"/>
      <c r="B57" s="189"/>
      <c r="C57" s="25"/>
      <c r="D57" s="25"/>
      <c r="E57" s="25"/>
      <c r="F57" s="25"/>
      <c r="G57" s="25"/>
      <c r="H57" s="25"/>
      <c r="I57" s="191"/>
      <c r="J57" s="25"/>
      <c r="K57" s="25"/>
      <c r="L57" s="25"/>
      <c r="M57" s="25"/>
      <c r="N57" s="25"/>
      <c r="O57" s="25"/>
      <c r="P57" s="25"/>
      <c r="Q57" s="25"/>
      <c r="R57" s="25"/>
      <c r="S57" s="25"/>
      <c r="T57" s="18"/>
      <c r="W57" s="189"/>
      <c r="X57" s="25"/>
      <c r="Y57" s="25"/>
      <c r="Z57" s="25"/>
      <c r="AA57" s="25"/>
      <c r="AB57" s="25"/>
      <c r="AC57" s="18"/>
    </row>
    <row r="58" spans="1:29">
      <c r="A58" s="9"/>
      <c r="B58" s="13"/>
      <c r="C58" s="13"/>
      <c r="D58" s="13"/>
      <c r="E58" s="13"/>
      <c r="F58" s="13"/>
      <c r="G58" s="13"/>
      <c r="H58" s="13"/>
      <c r="I58" s="21"/>
      <c r="J58" s="13"/>
      <c r="K58" s="13"/>
      <c r="L58" s="13"/>
      <c r="M58" s="13"/>
      <c r="N58" s="13"/>
      <c r="O58" s="13"/>
      <c r="P58" s="13"/>
      <c r="Q58" s="13"/>
      <c r="R58" s="13"/>
      <c r="S58" s="13"/>
      <c r="T58" s="13"/>
    </row>
    <row r="59" spans="1:29" ht="13.5" hidden="1" thickBot="1">
      <c r="D59" s="9"/>
      <c r="E59" s="9"/>
      <c r="F59" s="9"/>
      <c r="G59" s="9"/>
      <c r="H59" s="13"/>
      <c r="I59" s="9"/>
      <c r="J59" s="9"/>
      <c r="K59" s="13"/>
      <c r="R59" s="15"/>
    </row>
    <row r="60" spans="1:29" hidden="1">
      <c r="D60" s="2" t="s">
        <v>25</v>
      </c>
      <c r="E60" s="3"/>
      <c r="F60" s="4"/>
      <c r="G60" s="4"/>
      <c r="H60" s="5"/>
      <c r="I60" s="5"/>
      <c r="J60" s="5"/>
      <c r="K60" s="5"/>
      <c r="L60" s="5"/>
      <c r="M60" s="5"/>
      <c r="N60" s="5"/>
      <c r="O60" s="5"/>
      <c r="P60" s="5"/>
      <c r="Q60" s="5"/>
      <c r="R60" s="19"/>
    </row>
    <row r="61" spans="1:29" hidden="1">
      <c r="D61" s="7"/>
      <c r="E61" s="9"/>
      <c r="F61" s="9"/>
      <c r="G61" s="9"/>
      <c r="H61" s="9"/>
      <c r="I61" s="9"/>
      <c r="J61" s="9"/>
      <c r="K61" s="9"/>
      <c r="L61" s="9"/>
      <c r="M61" s="9"/>
      <c r="N61" s="9"/>
      <c r="O61" s="9"/>
      <c r="P61" s="9"/>
      <c r="Q61" s="9"/>
      <c r="R61" s="14"/>
    </row>
    <row r="62" spans="1:29" hidden="1">
      <c r="D62" s="7"/>
      <c r="E62" s="9"/>
      <c r="F62" s="9"/>
      <c r="G62" s="9"/>
      <c r="H62" s="9"/>
      <c r="I62" s="20" t="s">
        <v>204</v>
      </c>
      <c r="J62" s="20" t="s">
        <v>176</v>
      </c>
      <c r="K62" s="8"/>
      <c r="L62" s="20" t="s">
        <v>26</v>
      </c>
      <c r="M62" s="8"/>
      <c r="N62" s="9"/>
      <c r="O62" s="95"/>
      <c r="P62" s="96" t="s">
        <v>27</v>
      </c>
      <c r="Q62" s="96"/>
      <c r="R62" s="52"/>
    </row>
    <row r="63" spans="1:29" hidden="1">
      <c r="D63" s="7"/>
      <c r="E63" s="21" t="s">
        <v>28</v>
      </c>
      <c r="F63" s="9"/>
      <c r="G63" s="9"/>
      <c r="H63" s="8" t="s">
        <v>29</v>
      </c>
      <c r="I63" s="20" t="s">
        <v>205</v>
      </c>
      <c r="J63" s="20" t="s">
        <v>177</v>
      </c>
      <c r="K63" s="46">
        <v>0.55000000000000004</v>
      </c>
      <c r="L63" s="46">
        <v>0.75</v>
      </c>
      <c r="M63" s="46">
        <v>0.85</v>
      </c>
      <c r="N63" s="9"/>
      <c r="O63" s="97">
        <f>K63</f>
        <v>0.55000000000000004</v>
      </c>
      <c r="P63" s="97">
        <f>L63</f>
        <v>0.75</v>
      </c>
      <c r="Q63" s="97"/>
      <c r="R63" s="98">
        <f>M63</f>
        <v>0.85</v>
      </c>
    </row>
    <row r="64" spans="1:29" hidden="1">
      <c r="D64" s="7"/>
      <c r="E64" s="9"/>
      <c r="F64" s="9"/>
      <c r="G64" s="24" t="s">
        <v>19</v>
      </c>
      <c r="H64" s="9" t="s">
        <v>30</v>
      </c>
      <c r="I64" s="47">
        <v>40000</v>
      </c>
      <c r="J64" s="27">
        <v>4</v>
      </c>
      <c r="K64" s="48">
        <f>2080*$J64*K$63</f>
        <v>4576</v>
      </c>
      <c r="L64" s="48">
        <f t="shared" ref="L64:M66" si="2">2080*$J64*L$63</f>
        <v>6240</v>
      </c>
      <c r="M64" s="48">
        <f t="shared" si="2"/>
        <v>7072</v>
      </c>
      <c r="N64" s="9"/>
      <c r="O64" s="99">
        <f t="shared" ref="O64:P66" si="3">$I64/K64*$J64</f>
        <v>34.965034965034967</v>
      </c>
      <c r="P64" s="99">
        <f t="shared" si="3"/>
        <v>25.641025641025642</v>
      </c>
      <c r="Q64" s="99"/>
      <c r="R64" s="100">
        <f>$I64/M64*$J64</f>
        <v>22.624434389140273</v>
      </c>
    </row>
    <row r="65" spans="4:18" hidden="1">
      <c r="D65" s="7"/>
      <c r="E65" s="9"/>
      <c r="F65" s="9"/>
      <c r="G65" s="9"/>
      <c r="H65" s="9" t="s">
        <v>31</v>
      </c>
      <c r="I65" s="47">
        <v>55000</v>
      </c>
      <c r="J65" s="27">
        <v>1</v>
      </c>
      <c r="K65" s="48">
        <f>2080*$J65*K$63</f>
        <v>1144</v>
      </c>
      <c r="L65" s="48">
        <f t="shared" si="2"/>
        <v>1560</v>
      </c>
      <c r="M65" s="48">
        <f t="shared" si="2"/>
        <v>1768</v>
      </c>
      <c r="N65" s="9"/>
      <c r="O65" s="99">
        <f t="shared" si="3"/>
        <v>48.07692307692308</v>
      </c>
      <c r="P65" s="99">
        <f t="shared" si="3"/>
        <v>35.256410256410255</v>
      </c>
      <c r="Q65" s="99"/>
      <c r="R65" s="100">
        <f>$I65/M65*$J65</f>
        <v>31.108597285067873</v>
      </c>
    </row>
    <row r="66" spans="4:18" hidden="1">
      <c r="D66" s="7"/>
      <c r="E66" s="9"/>
      <c r="F66" s="9"/>
      <c r="G66" s="9"/>
      <c r="H66" s="9" t="s">
        <v>32</v>
      </c>
      <c r="I66" s="47">
        <v>60000</v>
      </c>
      <c r="J66" s="27">
        <v>2</v>
      </c>
      <c r="K66" s="48">
        <f>2080*$J66*K$63</f>
        <v>2288</v>
      </c>
      <c r="L66" s="48">
        <f t="shared" si="2"/>
        <v>3120</v>
      </c>
      <c r="M66" s="48">
        <f t="shared" si="2"/>
        <v>3536</v>
      </c>
      <c r="N66" s="9"/>
      <c r="O66" s="99">
        <f t="shared" si="3"/>
        <v>52.447552447552447</v>
      </c>
      <c r="P66" s="99">
        <f t="shared" si="3"/>
        <v>38.46153846153846</v>
      </c>
      <c r="Q66" s="99"/>
      <c r="R66" s="100">
        <f>$I66/M66*$J66</f>
        <v>33.936651583710407</v>
      </c>
    </row>
    <row r="67" spans="4:18" hidden="1">
      <c r="D67" s="7"/>
      <c r="E67" s="9"/>
      <c r="F67" s="9"/>
      <c r="G67" s="9"/>
      <c r="H67" s="13" t="s">
        <v>178</v>
      </c>
      <c r="I67" s="27" t="s">
        <v>179</v>
      </c>
      <c r="J67" s="49">
        <v>5</v>
      </c>
      <c r="K67" s="48">
        <f>$J67*2080*0.9</f>
        <v>9360</v>
      </c>
      <c r="L67" s="48">
        <f>$J67*2080*0.9</f>
        <v>9360</v>
      </c>
      <c r="M67" s="48">
        <f>$J67*2080*0.9</f>
        <v>9360</v>
      </c>
      <c r="N67" s="48"/>
      <c r="O67" s="99">
        <v>23.764705882352942</v>
      </c>
      <c r="P67" s="99">
        <v>23.764705882352942</v>
      </c>
      <c r="Q67" s="99"/>
      <c r="R67" s="100">
        <v>23.764705882352942</v>
      </c>
    </row>
    <row r="68" spans="4:18" hidden="1">
      <c r="D68" s="7"/>
      <c r="E68" s="9"/>
      <c r="F68" s="64" t="s">
        <v>202</v>
      </c>
      <c r="G68" s="9"/>
      <c r="H68" s="13"/>
      <c r="I68" s="27"/>
      <c r="J68" s="49"/>
      <c r="K68" s="65">
        <f>SUM(K64:K66)</f>
        <v>8008</v>
      </c>
      <c r="L68" s="65">
        <f>SUM(L64:L66)</f>
        <v>10920</v>
      </c>
      <c r="M68" s="65">
        <f>SUM(M64:M66)</f>
        <v>12376</v>
      </c>
      <c r="N68" s="9"/>
      <c r="O68" s="99"/>
      <c r="P68" s="99"/>
      <c r="Q68" s="99"/>
      <c r="R68" s="100"/>
    </row>
    <row r="69" spans="4:18" hidden="1">
      <c r="D69" s="7"/>
      <c r="E69" s="9"/>
      <c r="F69" s="9"/>
      <c r="G69" s="9"/>
      <c r="H69" s="9"/>
      <c r="I69" s="27"/>
      <c r="J69" s="27"/>
      <c r="K69" s="48"/>
      <c r="L69" s="48"/>
      <c r="M69" s="48"/>
      <c r="N69" s="9"/>
      <c r="O69" s="99"/>
      <c r="P69" s="99"/>
      <c r="Q69" s="99"/>
      <c r="R69" s="100"/>
    </row>
    <row r="70" spans="4:18" hidden="1">
      <c r="D70" s="7"/>
      <c r="E70" s="9"/>
      <c r="F70" s="9"/>
      <c r="G70" s="9" t="s">
        <v>33</v>
      </c>
      <c r="H70" s="9" t="s">
        <v>34</v>
      </c>
      <c r="I70" s="47">
        <v>42500</v>
      </c>
      <c r="J70" s="49">
        <v>8</v>
      </c>
      <c r="K70" s="48">
        <f t="shared" ref="K70:M71" si="4">2080*$J70*K$63</f>
        <v>9152</v>
      </c>
      <c r="L70" s="48">
        <f t="shared" si="4"/>
        <v>12480</v>
      </c>
      <c r="M70" s="48">
        <f t="shared" si="4"/>
        <v>14144</v>
      </c>
      <c r="N70" s="9"/>
      <c r="O70" s="99">
        <f>$I70/K70*$J70</f>
        <v>37.150349650349654</v>
      </c>
      <c r="P70" s="99">
        <f>$I70/L70*$J70</f>
        <v>27.243589743589745</v>
      </c>
      <c r="Q70" s="99"/>
      <c r="R70" s="100">
        <f>$I70/M70*$J70</f>
        <v>24.03846153846154</v>
      </c>
    </row>
    <row r="71" spans="4:18" hidden="1">
      <c r="D71" s="7"/>
      <c r="E71" s="9"/>
      <c r="F71" s="9"/>
      <c r="G71" s="9"/>
      <c r="H71" s="9" t="s">
        <v>35</v>
      </c>
      <c r="I71" s="47">
        <v>50000</v>
      </c>
      <c r="J71" s="49">
        <v>2</v>
      </c>
      <c r="K71" s="48">
        <f t="shared" si="4"/>
        <v>2288</v>
      </c>
      <c r="L71" s="48">
        <f t="shared" si="4"/>
        <v>3120</v>
      </c>
      <c r="M71" s="48">
        <f t="shared" si="4"/>
        <v>3536</v>
      </c>
      <c r="N71" s="9"/>
      <c r="O71" s="99">
        <f>$I71/K71*$J71</f>
        <v>43.706293706293707</v>
      </c>
      <c r="P71" s="99">
        <f>$I71/L71*$J71</f>
        <v>32.051282051282051</v>
      </c>
      <c r="Q71" s="99"/>
      <c r="R71" s="100">
        <f>$I71/M71*$J71</f>
        <v>28.280542986425338</v>
      </c>
    </row>
    <row r="72" spans="4:18" hidden="1">
      <c r="D72" s="7"/>
      <c r="E72" s="9"/>
      <c r="F72" s="64" t="s">
        <v>202</v>
      </c>
      <c r="G72" s="9"/>
      <c r="H72" s="9"/>
      <c r="I72" s="27"/>
      <c r="J72" s="27"/>
      <c r="K72" s="65">
        <f>SUM(K70:K71)</f>
        <v>11440</v>
      </c>
      <c r="L72" s="65">
        <f>SUM(L70:L71)</f>
        <v>15600</v>
      </c>
      <c r="M72" s="65">
        <f>SUM(M70:M71)</f>
        <v>17680</v>
      </c>
      <c r="N72" s="9"/>
      <c r="O72" s="99"/>
      <c r="P72" s="99"/>
      <c r="Q72" s="99"/>
      <c r="R72" s="100"/>
    </row>
    <row r="73" spans="4:18" hidden="1">
      <c r="D73" s="7"/>
      <c r="E73" s="9"/>
      <c r="F73" s="9"/>
      <c r="G73" s="9"/>
      <c r="H73" s="9"/>
      <c r="I73" s="47"/>
      <c r="J73" s="49"/>
      <c r="K73" s="48"/>
      <c r="L73" s="48"/>
      <c r="M73" s="48"/>
      <c r="N73" s="9"/>
      <c r="O73" s="99"/>
      <c r="P73" s="99"/>
      <c r="Q73" s="99"/>
      <c r="R73" s="100"/>
    </row>
    <row r="74" spans="4:18" hidden="1">
      <c r="D74" s="7"/>
      <c r="E74" s="9"/>
      <c r="F74" s="9"/>
      <c r="G74" s="9"/>
      <c r="H74" s="9" t="s">
        <v>36</v>
      </c>
      <c r="I74" s="47">
        <v>45000</v>
      </c>
      <c r="J74" s="49">
        <v>1</v>
      </c>
      <c r="K74" s="48">
        <f>2080*$J74*K$63</f>
        <v>1144</v>
      </c>
      <c r="L74" s="48">
        <f>2080*$J74*L$63</f>
        <v>1560</v>
      </c>
      <c r="M74" s="48">
        <f>2080*$J74*M$63</f>
        <v>1768</v>
      </c>
      <c r="N74" s="9"/>
      <c r="O74" s="99">
        <f>$I74/K74*$J74</f>
        <v>39.335664335664333</v>
      </c>
      <c r="P74" s="99">
        <f>$I74/L74*$J74</f>
        <v>28.846153846153847</v>
      </c>
      <c r="Q74" s="99"/>
      <c r="R74" s="100">
        <f>$I74/M74*$J74</f>
        <v>25.452488687782804</v>
      </c>
    </row>
    <row r="75" spans="4:18" hidden="1">
      <c r="D75" s="7"/>
      <c r="E75" s="9"/>
      <c r="F75" s="9"/>
      <c r="G75" s="9"/>
      <c r="H75" s="13" t="s">
        <v>209</v>
      </c>
      <c r="I75" s="27" t="s">
        <v>179</v>
      </c>
      <c r="J75" s="49">
        <v>2</v>
      </c>
      <c r="K75" s="48">
        <f>$J75*2080*0.9</f>
        <v>3744</v>
      </c>
      <c r="L75" s="48">
        <f>$J75*2080*0.9</f>
        <v>3744</v>
      </c>
      <c r="M75" s="48">
        <f>$J75*2080*0.9</f>
        <v>3744</v>
      </c>
      <c r="N75" s="48"/>
      <c r="O75" s="99">
        <v>22.941176470588236</v>
      </c>
      <c r="P75" s="99">
        <v>22.941176470588236</v>
      </c>
      <c r="Q75" s="99"/>
      <c r="R75" s="100">
        <v>22.941176470588236</v>
      </c>
    </row>
    <row r="76" spans="4:18" hidden="1">
      <c r="D76" s="7"/>
      <c r="E76" s="9"/>
      <c r="N76" s="9"/>
      <c r="O76" s="99"/>
      <c r="P76" s="99"/>
      <c r="Q76" s="99"/>
      <c r="R76" s="100"/>
    </row>
    <row r="77" spans="4:18" hidden="1">
      <c r="D77" s="7"/>
      <c r="E77" s="9"/>
      <c r="F77" s="9"/>
      <c r="G77" s="9"/>
      <c r="H77" s="9"/>
      <c r="I77" s="27"/>
      <c r="J77" s="27"/>
      <c r="K77" s="48"/>
      <c r="L77" s="48"/>
      <c r="M77" s="48"/>
      <c r="N77" s="9"/>
      <c r="O77" s="99"/>
      <c r="P77" s="99"/>
      <c r="Q77" s="99"/>
      <c r="R77" s="100"/>
    </row>
    <row r="78" spans="4:18" hidden="1">
      <c r="D78" s="7"/>
      <c r="E78" s="9"/>
      <c r="F78" s="9"/>
      <c r="G78" s="9" t="s">
        <v>37</v>
      </c>
      <c r="H78" s="9" t="s">
        <v>38</v>
      </c>
      <c r="I78" s="47">
        <v>50000</v>
      </c>
      <c r="J78" s="49">
        <v>2</v>
      </c>
      <c r="K78" s="48">
        <f t="shared" ref="K78:M79" si="5">2080*$J78*K$63</f>
        <v>2288</v>
      </c>
      <c r="L78" s="48">
        <f t="shared" si="5"/>
        <v>3120</v>
      </c>
      <c r="M78" s="48">
        <f t="shared" si="5"/>
        <v>3536</v>
      </c>
      <c r="N78" s="9"/>
      <c r="O78" s="99">
        <f>$I78/K78*$J78</f>
        <v>43.706293706293707</v>
      </c>
      <c r="P78" s="99">
        <f>$I78/L78*$J78</f>
        <v>32.051282051282051</v>
      </c>
      <c r="Q78" s="99"/>
      <c r="R78" s="100">
        <f>$I78/M78*$J78</f>
        <v>28.280542986425338</v>
      </c>
    </row>
    <row r="79" spans="4:18" hidden="1">
      <c r="D79" s="7"/>
      <c r="E79" s="9"/>
      <c r="F79" s="9"/>
      <c r="G79" s="9"/>
      <c r="H79" s="13" t="s">
        <v>39</v>
      </c>
      <c r="I79" s="47">
        <v>71000</v>
      </c>
      <c r="J79" s="49">
        <v>2</v>
      </c>
      <c r="K79" s="48">
        <f t="shared" si="5"/>
        <v>2288</v>
      </c>
      <c r="L79" s="48">
        <f t="shared" si="5"/>
        <v>3120</v>
      </c>
      <c r="M79" s="48">
        <f t="shared" si="5"/>
        <v>3536</v>
      </c>
      <c r="N79" s="9"/>
      <c r="O79" s="99">
        <f>$I79/K79*$J79</f>
        <v>62.06293706293706</v>
      </c>
      <c r="P79" s="99">
        <f>$I79/L79*$J79</f>
        <v>45.512820512820511</v>
      </c>
      <c r="Q79" s="99"/>
      <c r="R79" s="100">
        <f>$I79/M79*$J79</f>
        <v>40.158371040723985</v>
      </c>
    </row>
    <row r="80" spans="4:18" hidden="1">
      <c r="D80" s="7"/>
      <c r="E80" s="9"/>
      <c r="F80" s="9"/>
      <c r="G80" s="9"/>
      <c r="H80" s="13" t="s">
        <v>178</v>
      </c>
      <c r="I80" s="27"/>
      <c r="J80" s="49">
        <v>1</v>
      </c>
      <c r="K80" s="48"/>
      <c r="L80" s="48"/>
      <c r="M80" s="48"/>
      <c r="N80" s="9"/>
      <c r="O80" s="99">
        <v>54.117647058823529</v>
      </c>
      <c r="P80" s="99">
        <v>54.117647058823529</v>
      </c>
      <c r="Q80" s="99"/>
      <c r="R80" s="100">
        <v>54.117647058823529</v>
      </c>
    </row>
    <row r="81" spans="4:29" hidden="1">
      <c r="D81" s="7"/>
      <c r="E81" s="9"/>
      <c r="F81" s="64" t="s">
        <v>202</v>
      </c>
      <c r="G81" s="9"/>
      <c r="H81" s="9"/>
      <c r="I81" s="27"/>
      <c r="J81" s="27"/>
      <c r="K81" s="65">
        <f>SUM(K78:K79)</f>
        <v>4576</v>
      </c>
      <c r="L81" s="65">
        <f>SUM(L78:L79)</f>
        <v>6240</v>
      </c>
      <c r="M81" s="65">
        <f>SUM(M78:M79)</f>
        <v>7072</v>
      </c>
      <c r="N81" s="9"/>
      <c r="O81" s="99"/>
      <c r="P81" s="99"/>
      <c r="Q81" s="99"/>
      <c r="R81" s="100"/>
    </row>
    <row r="82" spans="4:29" hidden="1">
      <c r="D82" s="7"/>
      <c r="E82" s="9"/>
      <c r="F82" s="9"/>
      <c r="G82" s="9"/>
      <c r="H82" s="9"/>
      <c r="I82" s="27"/>
      <c r="J82" s="27"/>
      <c r="K82" s="48"/>
      <c r="L82" s="48"/>
      <c r="M82" s="48"/>
      <c r="N82" s="9"/>
      <c r="O82" s="99"/>
      <c r="P82" s="99"/>
      <c r="Q82" s="99"/>
      <c r="R82" s="100"/>
    </row>
    <row r="83" spans="4:29" hidden="1">
      <c r="D83" s="7"/>
      <c r="E83" s="9"/>
      <c r="F83" s="9"/>
      <c r="G83" s="9" t="s">
        <v>40</v>
      </c>
      <c r="H83" s="13" t="s">
        <v>180</v>
      </c>
      <c r="I83" s="27" t="s">
        <v>179</v>
      </c>
      <c r="J83" s="49">
        <v>4</v>
      </c>
      <c r="K83" s="48">
        <f>$J$83*2080*0.9</f>
        <v>7488</v>
      </c>
      <c r="L83" s="48">
        <f>$J$83*2080*0.9</f>
        <v>7488</v>
      </c>
      <c r="M83" s="48">
        <f>$J$83*2080*0.9</f>
        <v>7488</v>
      </c>
      <c r="N83" s="48"/>
      <c r="O83" s="99">
        <v>26.47058823529412</v>
      </c>
      <c r="P83" s="99">
        <v>26.47058823529412</v>
      </c>
      <c r="Q83" s="99"/>
      <c r="R83" s="100">
        <v>26.47058823529412</v>
      </c>
    </row>
    <row r="84" spans="4:29" hidden="1">
      <c r="D84" s="7"/>
      <c r="E84" s="9"/>
      <c r="F84" s="9"/>
      <c r="G84" s="9"/>
      <c r="H84" s="9"/>
      <c r="I84" s="27"/>
      <c r="J84" s="27"/>
      <c r="K84" s="48"/>
      <c r="L84" s="48"/>
      <c r="M84" s="48"/>
      <c r="N84" s="9"/>
      <c r="O84" s="99"/>
      <c r="P84" s="99"/>
      <c r="Q84" s="99"/>
      <c r="R84" s="100"/>
    </row>
    <row r="85" spans="4:29" hidden="1">
      <c r="D85" s="7"/>
      <c r="E85" s="9"/>
      <c r="F85" s="9"/>
      <c r="G85" s="9"/>
      <c r="H85" s="9"/>
      <c r="I85" s="27"/>
      <c r="J85" s="27"/>
      <c r="K85" s="48"/>
      <c r="L85" s="48"/>
      <c r="M85" s="48"/>
      <c r="N85" s="9"/>
      <c r="O85" s="99"/>
      <c r="P85" s="99"/>
      <c r="Q85" s="99"/>
      <c r="R85" s="100"/>
    </row>
    <row r="86" spans="4:29" hidden="1">
      <c r="D86" s="7"/>
      <c r="E86" s="9"/>
      <c r="F86" s="9"/>
      <c r="G86" s="9" t="s">
        <v>41</v>
      </c>
      <c r="H86" s="13" t="s">
        <v>42</v>
      </c>
      <c r="I86" s="47">
        <v>61000</v>
      </c>
      <c r="J86" s="49">
        <v>4</v>
      </c>
      <c r="K86" s="48">
        <f>2080*$J86*K$63</f>
        <v>4576</v>
      </c>
      <c r="L86" s="48">
        <f>2080*$J86*L$63</f>
        <v>6240</v>
      </c>
      <c r="M86" s="48">
        <f>2080*$J86*M$63</f>
        <v>7072</v>
      </c>
      <c r="N86" s="9"/>
      <c r="O86" s="99">
        <f>$I86/K86*$J86</f>
        <v>53.32167832167832</v>
      </c>
      <c r="P86" s="99">
        <f>$I86/L86*$J86</f>
        <v>39.102564102564102</v>
      </c>
      <c r="Q86" s="99"/>
      <c r="R86" s="100">
        <f>$I86/M86*$J86</f>
        <v>34.502262443438916</v>
      </c>
    </row>
    <row r="87" spans="4:29" hidden="1">
      <c r="D87" s="7"/>
      <c r="E87" s="9"/>
      <c r="F87" s="9"/>
      <c r="G87" s="9"/>
      <c r="H87" s="13" t="s">
        <v>178</v>
      </c>
      <c r="I87" s="27" t="s">
        <v>179</v>
      </c>
      <c r="J87" s="27">
        <v>1</v>
      </c>
      <c r="K87" s="48">
        <f>$J87*2080*0.9</f>
        <v>1872</v>
      </c>
      <c r="L87" s="48">
        <f>$J87*2080*0.9</f>
        <v>1872</v>
      </c>
      <c r="M87" s="48">
        <f>$J87*2080*0.9</f>
        <v>1872</v>
      </c>
      <c r="N87" s="48"/>
      <c r="O87" s="99">
        <v>41.176470588235297</v>
      </c>
      <c r="P87" s="99">
        <v>41.176470588235297</v>
      </c>
      <c r="Q87" s="99"/>
      <c r="R87" s="100">
        <v>41.176470588235297</v>
      </c>
    </row>
    <row r="88" spans="4:29" hidden="1">
      <c r="D88" s="7"/>
      <c r="E88" s="9"/>
      <c r="F88" s="9"/>
      <c r="G88" s="9"/>
      <c r="H88" s="13"/>
      <c r="I88" s="27"/>
      <c r="J88" s="27"/>
      <c r="K88" s="48"/>
      <c r="L88" s="48"/>
      <c r="M88" s="48"/>
      <c r="N88" s="9"/>
      <c r="O88" s="99"/>
      <c r="P88" s="99"/>
      <c r="Q88" s="99"/>
      <c r="R88" s="100"/>
    </row>
    <row r="89" spans="4:29" hidden="1">
      <c r="D89" s="7"/>
      <c r="E89" s="8" t="s">
        <v>181</v>
      </c>
      <c r="F89" s="9"/>
      <c r="G89" s="9"/>
      <c r="H89" s="13"/>
      <c r="I89" s="27"/>
      <c r="J89" s="27"/>
      <c r="K89" s="50">
        <f>K86+K81+K72+K68+K74+K83+K67+K75+K87</f>
        <v>52208</v>
      </c>
      <c r="L89" s="50">
        <f>L86+L81+L72+L68+L74+L83+L67+L75+L87</f>
        <v>63024</v>
      </c>
      <c r="M89" s="50">
        <f>M86+M81+M72+M68+M74+M83+M67+M75+M87</f>
        <v>68432</v>
      </c>
      <c r="N89" s="9"/>
      <c r="O89" s="12"/>
      <c r="P89" s="99"/>
      <c r="Q89" s="99"/>
      <c r="R89" s="100"/>
    </row>
    <row r="90" spans="4:29" hidden="1">
      <c r="D90" s="7"/>
      <c r="E90" s="8" t="s">
        <v>182</v>
      </c>
      <c r="F90" s="9"/>
      <c r="G90" s="9"/>
      <c r="H90" s="13"/>
      <c r="I90" s="27"/>
      <c r="J90" s="27"/>
      <c r="K90" s="50"/>
      <c r="L90" s="50"/>
      <c r="M90" s="50"/>
      <c r="N90" s="9"/>
      <c r="O90" s="101">
        <f>(((SUMPRODUCT(O64:O66,K64:K66)+SUMPRODUCT(O70:O74,K70:K74)+SUMPRODUCT(O78:O79,K78:K79)+(O86*K86))))/K89</f>
        <v>25.015323322096229</v>
      </c>
      <c r="P90" s="101">
        <f>(((SUMPRODUCT(P64:P66,L64:L66)+SUMPRODUCT(P70:P74,L70:L74)+SUMPRODUCT(P78:P79,L78:L79)+(P86*L86))))/L89</f>
        <v>20.722264534145722</v>
      </c>
      <c r="Q90" s="101"/>
      <c r="R90" s="102">
        <f>(((SUMPRODUCT(R64:R66,M64:M66)+SUMPRODUCT(R70:R74,M70:M74)+SUMPRODUCT(R78:R79,M78:M79)+(R86*M86))))/M89</f>
        <v>19.084638765489828</v>
      </c>
    </row>
    <row r="91" spans="4:29" hidden="1">
      <c r="D91" s="7"/>
      <c r="E91" s="9"/>
      <c r="F91" s="9"/>
      <c r="G91" s="9"/>
      <c r="H91" s="9"/>
      <c r="I91" s="27"/>
      <c r="J91" s="9"/>
      <c r="K91" s="13"/>
      <c r="L91" s="9"/>
      <c r="M91" s="9"/>
      <c r="N91" s="9"/>
      <c r="O91" s="12"/>
      <c r="P91" s="103">
        <f>-(O90-P90)/O90</f>
        <v>-0.17161716171617158</v>
      </c>
      <c r="Q91" s="103"/>
      <c r="R91" s="104">
        <f>-(P90-R90)/P90</f>
        <v>-7.902735562310037E-2</v>
      </c>
      <c r="V91" s="13"/>
      <c r="W91" s="13"/>
      <c r="X91" s="13"/>
      <c r="Y91" s="13"/>
      <c r="Z91" s="13"/>
      <c r="AA91" s="13"/>
      <c r="AB91" s="13"/>
      <c r="AC91" s="13"/>
    </row>
    <row r="92" spans="4:29" hidden="1">
      <c r="D92" s="7" t="s">
        <v>43</v>
      </c>
      <c r="E92" s="9"/>
      <c r="F92" s="9"/>
      <c r="G92" s="9"/>
      <c r="H92" s="9"/>
      <c r="I92" s="27"/>
      <c r="J92" s="9"/>
      <c r="K92" s="13"/>
      <c r="L92" s="9"/>
      <c r="M92" s="9"/>
      <c r="N92" s="9"/>
      <c r="O92" s="9"/>
      <c r="P92" s="9"/>
      <c r="Q92" s="9"/>
      <c r="R92" s="14"/>
      <c r="V92" s="13"/>
      <c r="W92" s="13"/>
      <c r="X92" s="13"/>
      <c r="Y92" s="13"/>
      <c r="Z92" s="13"/>
      <c r="AA92" s="13"/>
      <c r="AB92" s="13"/>
      <c r="AC92" s="13"/>
    </row>
    <row r="93" spans="4:29" hidden="1">
      <c r="D93" s="7" t="s">
        <v>183</v>
      </c>
      <c r="E93" s="9"/>
      <c r="F93" s="9"/>
      <c r="G93" s="9"/>
      <c r="H93" s="9"/>
      <c r="I93" s="27"/>
      <c r="J93" s="9"/>
      <c r="K93" s="13"/>
      <c r="L93" s="9"/>
      <c r="M93" s="9"/>
      <c r="N93" s="9"/>
      <c r="O93" s="9"/>
      <c r="P93" s="9"/>
      <c r="Q93" s="9"/>
      <c r="R93" s="14"/>
      <c r="V93" s="13"/>
      <c r="W93" s="60"/>
      <c r="X93" s="60"/>
      <c r="Y93" s="60"/>
      <c r="Z93" s="60"/>
      <c r="AA93" s="60"/>
      <c r="AB93" s="60"/>
      <c r="AC93" s="13"/>
    </row>
    <row r="94" spans="4:29" ht="13.5" hidden="1" thickBot="1">
      <c r="D94" s="16" t="s">
        <v>210</v>
      </c>
      <c r="E94" s="17"/>
      <c r="F94" s="17"/>
      <c r="G94" s="17"/>
      <c r="H94" s="25"/>
      <c r="I94" s="17"/>
      <c r="J94" s="17"/>
      <c r="K94" s="25"/>
      <c r="L94" s="17"/>
      <c r="M94" s="17"/>
      <c r="N94" s="17"/>
      <c r="O94" s="17"/>
      <c r="P94" s="17"/>
      <c r="Q94" s="17"/>
      <c r="R94" s="18"/>
      <c r="V94" s="13"/>
      <c r="W94" s="13"/>
      <c r="X94" s="13"/>
      <c r="Y94" s="13"/>
      <c r="Z94" s="13"/>
      <c r="AA94" s="13"/>
      <c r="AB94" s="13"/>
      <c r="AC94" s="13"/>
    </row>
    <row r="95" spans="4:29" hidden="1">
      <c r="D95" s="9"/>
      <c r="E95" s="9"/>
      <c r="F95" s="9"/>
      <c r="G95" s="9"/>
      <c r="H95" s="13"/>
      <c r="I95" s="9"/>
      <c r="J95" s="9"/>
      <c r="K95" s="13"/>
      <c r="L95" s="9"/>
      <c r="M95" s="9"/>
      <c r="N95" s="9"/>
      <c r="O95" s="9"/>
      <c r="P95" s="9"/>
      <c r="Q95" s="9"/>
      <c r="R95" s="13"/>
      <c r="V95" s="13"/>
      <c r="W95" s="13"/>
      <c r="X95" s="13"/>
      <c r="Y95" s="13"/>
      <c r="Z95" s="13"/>
      <c r="AA95" s="13"/>
      <c r="AB95" s="13"/>
      <c r="AC95" s="13"/>
    </row>
    <row r="96" spans="4:29" ht="13.5" thickBot="1">
      <c r="H96" s="9"/>
      <c r="K96" s="15"/>
      <c r="R96" s="15"/>
      <c r="V96" s="13"/>
      <c r="W96" s="13"/>
      <c r="X96" s="13"/>
      <c r="Y96" s="13"/>
      <c r="Z96" s="13"/>
      <c r="AA96" s="13"/>
      <c r="AB96" s="13"/>
      <c r="AC96" s="13"/>
    </row>
    <row r="97" spans="4:29">
      <c r="D97" s="2" t="s">
        <v>44</v>
      </c>
      <c r="E97" s="3"/>
      <c r="F97" s="4"/>
      <c r="G97" s="4"/>
      <c r="H97" s="26"/>
      <c r="I97" s="5"/>
      <c r="J97" s="26"/>
      <c r="K97" s="26"/>
      <c r="L97" s="5"/>
      <c r="M97" s="5"/>
      <c r="N97" s="5"/>
      <c r="O97" s="5"/>
      <c r="P97" s="5"/>
      <c r="Q97" s="5"/>
      <c r="R97" s="26"/>
      <c r="S97" s="6"/>
      <c r="T97" s="9"/>
      <c r="V97" s="13"/>
      <c r="W97" s="60"/>
      <c r="X97" s="60"/>
      <c r="Y97" s="60"/>
      <c r="Z97" s="60"/>
      <c r="AA97" s="60"/>
      <c r="AB97" s="60"/>
      <c r="AC97" s="13"/>
    </row>
    <row r="98" spans="4:29">
      <c r="D98" s="7"/>
      <c r="E98" s="8" t="s">
        <v>19</v>
      </c>
      <c r="F98" s="9"/>
      <c r="G98" s="9"/>
      <c r="H98" s="9"/>
      <c r="I98" s="9"/>
      <c r="J98" s="13"/>
      <c r="K98" s="13"/>
      <c r="L98" s="9"/>
      <c r="M98" s="9"/>
      <c r="N98" s="9"/>
      <c r="O98" s="9"/>
      <c r="P98" s="9"/>
      <c r="Q98" s="9"/>
      <c r="R98" s="13"/>
      <c r="S98" s="11"/>
      <c r="T98" s="9"/>
      <c r="V98" s="13"/>
      <c r="W98" s="13"/>
      <c r="X98" s="13"/>
      <c r="Y98" s="13"/>
      <c r="Z98" s="13"/>
      <c r="AA98" s="13"/>
      <c r="AB98" s="13"/>
      <c r="AC98" s="13"/>
    </row>
    <row r="99" spans="4:29">
      <c r="D99" s="7"/>
      <c r="E99" s="9"/>
      <c r="F99" s="9"/>
      <c r="G99" s="8" t="s">
        <v>45</v>
      </c>
      <c r="H99" s="8" t="s">
        <v>46</v>
      </c>
      <c r="I99" s="8" t="s">
        <v>47</v>
      </c>
      <c r="J99" s="13"/>
      <c r="K99" s="9"/>
      <c r="L99" s="22" t="s">
        <v>48</v>
      </c>
      <c r="M99" s="9"/>
      <c r="N99" s="9"/>
      <c r="O99" s="20" t="s">
        <v>49</v>
      </c>
      <c r="P99" s="9"/>
      <c r="Q99" s="9"/>
      <c r="R99" s="20" t="s">
        <v>50</v>
      </c>
      <c r="S99" s="23"/>
      <c r="T99" s="27"/>
      <c r="V99" s="13"/>
      <c r="W99" s="13"/>
      <c r="X99" s="13"/>
      <c r="Y99" s="13"/>
      <c r="Z99" s="13"/>
      <c r="AA99" s="13"/>
      <c r="AB99" s="13"/>
      <c r="AC99" s="13"/>
    </row>
    <row r="100" spans="4:29">
      <c r="D100" s="7"/>
      <c r="E100" s="9"/>
      <c r="F100" s="9"/>
      <c r="G100" s="9"/>
      <c r="H100" s="9"/>
      <c r="I100" s="9"/>
      <c r="J100" s="28"/>
      <c r="K100" s="72" t="s">
        <v>30</v>
      </c>
      <c r="L100" s="73" t="s">
        <v>31</v>
      </c>
      <c r="M100" s="73" t="s">
        <v>32</v>
      </c>
      <c r="N100" s="74" t="s">
        <v>201</v>
      </c>
      <c r="O100" s="73" t="s">
        <v>51</v>
      </c>
      <c r="P100" s="75"/>
      <c r="Q100" s="75"/>
      <c r="R100" s="76">
        <v>0.75</v>
      </c>
      <c r="S100" s="11"/>
      <c r="T100" s="22"/>
      <c r="V100" s="13"/>
      <c r="W100" s="13"/>
      <c r="X100" s="13"/>
      <c r="Y100" s="13"/>
      <c r="Z100" s="13"/>
      <c r="AA100" s="13"/>
      <c r="AB100" s="13"/>
      <c r="AC100" s="13"/>
    </row>
    <row r="101" spans="4:29">
      <c r="D101" s="7"/>
      <c r="E101" s="9"/>
      <c r="F101" s="9"/>
      <c r="G101" s="13" t="s">
        <v>52</v>
      </c>
      <c r="H101" s="13" t="s">
        <v>53</v>
      </c>
      <c r="I101" s="107">
        <f>SUM(ID, SCD, CD)*0.5</f>
        <v>1</v>
      </c>
      <c r="J101" s="39"/>
      <c r="K101" s="63">
        <f>0.5*CD/I101*100%</f>
        <v>0</v>
      </c>
      <c r="L101" s="70">
        <f>0.5*SCD/I101*100%</f>
        <v>0.5</v>
      </c>
      <c r="M101" s="70">
        <f>0.5*ID/I101*100%</f>
        <v>0.5</v>
      </c>
      <c r="N101" s="27"/>
      <c r="O101" s="9"/>
      <c r="P101" s="9"/>
      <c r="Q101" s="9"/>
      <c r="R101" s="79">
        <f>(K101*I101*($I$64/(2080*$R$100)))+(L101*$I101*($I$65/(2080*$R$100)))+(M101*$I101*($I$66/(2080*$R$100)))+O101</f>
        <v>36.858974358974358</v>
      </c>
      <c r="S101" s="11"/>
      <c r="T101" s="9"/>
    </row>
    <row r="102" spans="4:29">
      <c r="D102" s="7"/>
      <c r="E102" s="9"/>
      <c r="F102" s="9"/>
      <c r="G102" s="13"/>
      <c r="H102" s="13" t="s">
        <v>54</v>
      </c>
      <c r="I102" s="107">
        <f>(ID+SCD)*CoKic+CD*1</f>
        <v>8</v>
      </c>
      <c r="J102" s="39"/>
      <c r="K102" s="63">
        <f>CD/I102*100%</f>
        <v>0</v>
      </c>
      <c r="L102" s="70">
        <f>SCD*CoKic/I102*100%</f>
        <v>0.5</v>
      </c>
      <c r="M102" s="70">
        <f>CoKic*ID/I102*100%</f>
        <v>0.5</v>
      </c>
      <c r="N102" s="27"/>
      <c r="O102" s="9"/>
      <c r="P102" s="71"/>
      <c r="Q102" s="71"/>
      <c r="R102" s="79">
        <f t="shared" ref="R102:R118" si="6">(K102*I102*($I$64/(2080*$R$100)))+(L102*$I102*($I$65/(2080*$R$100)))+(M102*$I102*($I$66/(2080*$R$100)))+O102</f>
        <v>294.87179487179486</v>
      </c>
      <c r="S102" s="11"/>
      <c r="T102" s="9"/>
    </row>
    <row r="103" spans="4:29">
      <c r="D103" s="7"/>
      <c r="E103" s="9"/>
      <c r="F103" s="9"/>
      <c r="G103" s="13"/>
      <c r="H103" s="13" t="s">
        <v>55</v>
      </c>
      <c r="I103" s="107">
        <f>(ID+SCD+CD)*0.5*CoSeg^0.1</f>
        <v>1.0225651825635729</v>
      </c>
      <c r="J103" s="39"/>
      <c r="K103" s="63">
        <f>(0.5*CoSeg^0.1)*CD/I103*100%</f>
        <v>0</v>
      </c>
      <c r="L103" s="70">
        <f>(SCD)*0.5*CoSeg^0.1/I103*100%</f>
        <v>0.5</v>
      </c>
      <c r="M103" s="70">
        <f>(ID)*0.5*CoSeg^0.1/I103*100%</f>
        <v>0.5</v>
      </c>
      <c r="N103" s="27"/>
      <c r="O103" s="9"/>
      <c r="P103" s="71"/>
      <c r="Q103" s="71"/>
      <c r="R103" s="79">
        <f t="shared" si="6"/>
        <v>37.69070384449067</v>
      </c>
      <c r="S103" s="11"/>
      <c r="T103" s="9"/>
    </row>
    <row r="104" spans="4:29">
      <c r="D104" s="7"/>
      <c r="E104" s="9"/>
      <c r="F104" s="9"/>
      <c r="G104" s="13"/>
      <c r="H104" s="13" t="s">
        <v>56</v>
      </c>
      <c r="I104" s="107">
        <f>CoWks</f>
        <v>0</v>
      </c>
      <c r="J104" s="39"/>
      <c r="K104" s="63">
        <v>0</v>
      </c>
      <c r="L104" s="70">
        <v>1</v>
      </c>
      <c r="M104" s="70">
        <v>0</v>
      </c>
      <c r="N104" s="27"/>
      <c r="O104" s="9"/>
      <c r="P104" s="9"/>
      <c r="Q104" s="9"/>
      <c r="R104" s="79">
        <f t="shared" si="6"/>
        <v>0</v>
      </c>
      <c r="S104" s="11"/>
      <c r="T104" s="9"/>
    </row>
    <row r="105" spans="4:29">
      <c r="D105" s="7"/>
      <c r="E105" s="9"/>
      <c r="F105" s="9"/>
      <c r="G105" s="13"/>
      <c r="H105" s="246" t="s">
        <v>358</v>
      </c>
      <c r="I105" s="247">
        <v>90</v>
      </c>
      <c r="J105" s="39"/>
      <c r="K105" s="63"/>
      <c r="L105" s="62"/>
      <c r="M105" s="62"/>
      <c r="N105" s="27"/>
      <c r="O105" s="9"/>
      <c r="P105" s="9"/>
      <c r="Q105" s="9"/>
      <c r="R105" s="79"/>
      <c r="S105" s="11"/>
      <c r="T105" s="9"/>
    </row>
    <row r="106" spans="4:29">
      <c r="D106" s="7"/>
      <c r="E106" s="9"/>
      <c r="F106" s="9"/>
      <c r="G106" s="13" t="s">
        <v>21</v>
      </c>
      <c r="H106" s="13" t="s">
        <v>149</v>
      </c>
      <c r="I106" s="107">
        <f>DeCon*((ID+SCD)*(6+CoDif+CoDis)*CoSeg^0.5+CD*2)</f>
        <v>16.869637081398896</v>
      </c>
      <c r="J106" s="39"/>
      <c r="K106" s="70">
        <f>IF(I106=0, 0, CD*2/I106*100%)</f>
        <v>0</v>
      </c>
      <c r="L106" s="62">
        <f>IF(I106=0, 0, DeCon*((SCD)*(6+CoDif+CoDis)*CoSeg^0.5/I106*100%))</f>
        <v>0.5</v>
      </c>
      <c r="M106" s="62">
        <f>IF(I106=0, 0, DeCon*((ID)*(6+CoDif+CoDis)*CoSeg^0.5/I106*100%))</f>
        <v>0.5</v>
      </c>
      <c r="N106" s="27"/>
      <c r="O106" s="9"/>
      <c r="P106" s="9"/>
      <c r="Q106" s="9"/>
      <c r="R106" s="79">
        <f t="shared" si="6"/>
        <v>621.7975206284849</v>
      </c>
      <c r="S106" s="11"/>
      <c r="T106" s="9"/>
    </row>
    <row r="107" spans="4:29">
      <c r="D107" s="7"/>
      <c r="E107" s="9"/>
      <c r="F107" s="9"/>
      <c r="G107" s="13"/>
      <c r="H107" s="13" t="s">
        <v>57</v>
      </c>
      <c r="I107" s="107">
        <f>((ID+SCD)*2+CD*0.5)*CoSeg^0.8</f>
        <v>4.7817624989501848</v>
      </c>
      <c r="J107" s="39"/>
      <c r="K107" s="70">
        <f>(CD*0.5)*CoSeg^0.8/$I$107*100%</f>
        <v>0</v>
      </c>
      <c r="L107" s="70">
        <f>SCD*2*CoSeg^0.8/$I$107*100%</f>
        <v>0.5</v>
      </c>
      <c r="M107" s="70">
        <f>ID*2*CoSeg^0.8/$I$107*100%</f>
        <v>0.5</v>
      </c>
      <c r="N107" s="27"/>
      <c r="O107" s="9"/>
      <c r="P107" s="9"/>
      <c r="Q107" s="9"/>
      <c r="R107" s="79">
        <f t="shared" si="6"/>
        <v>176.25086133951001</v>
      </c>
      <c r="S107" s="11"/>
      <c r="T107" s="9"/>
    </row>
    <row r="108" spans="4:29">
      <c r="D108" s="7"/>
      <c r="E108" s="9"/>
      <c r="F108" s="9"/>
      <c r="G108" s="13"/>
      <c r="H108" s="13" t="s">
        <v>20</v>
      </c>
      <c r="I108" s="107">
        <f>((AsRes+CoDif)*CoDis)*(CoSeg^0.8)*(ID+SCD)+((AsRes+CoDif)*CoDis)*(CoSeg^0.8)*CD*0.25</f>
        <v>11.712878193603732</v>
      </c>
      <c r="J108" s="39"/>
      <c r="K108" s="62">
        <f>((AsRes+CoDif)*CoDis)*(CoSeg^0.8)*(ID)/I108*100%</f>
        <v>0.5</v>
      </c>
      <c r="L108" s="62">
        <f>((AsRes+CoDif)*CoDis)*(CoSeg^0.8)*(SCD)/I108*100%</f>
        <v>0.5</v>
      </c>
      <c r="M108" s="61">
        <f>(((AsRes+CoDif)*CoDis)*(CoSeg^0.8)*(ID))/I108*100%</f>
        <v>0.5</v>
      </c>
      <c r="N108" s="27"/>
      <c r="O108" s="9"/>
      <c r="P108" s="9"/>
      <c r="Q108" s="9"/>
      <c r="R108" s="79">
        <f t="shared" si="6"/>
        <v>581.88978205403157</v>
      </c>
      <c r="S108" s="11"/>
      <c r="T108" s="9"/>
    </row>
    <row r="109" spans="4:29">
      <c r="D109" s="7"/>
      <c r="E109" s="9"/>
      <c r="F109" s="9"/>
      <c r="G109" s="13"/>
      <c r="H109" s="13" t="s">
        <v>157</v>
      </c>
      <c r="I109" s="107">
        <f>AsDes*(CoDif+CoInt)*CoSeg^0.7</f>
        <v>23.129138661580292</v>
      </c>
      <c r="J109" s="39"/>
      <c r="K109" s="70">
        <v>0</v>
      </c>
      <c r="L109" s="62">
        <v>1</v>
      </c>
      <c r="M109" s="62">
        <v>0</v>
      </c>
      <c r="N109" s="27"/>
      <c r="O109" s="9"/>
      <c r="P109" s="9"/>
      <c r="Q109" s="9"/>
      <c r="R109" s="79">
        <f t="shared" si="6"/>
        <v>815.45040153007437</v>
      </c>
      <c r="S109" s="11"/>
      <c r="T109" s="9"/>
    </row>
    <row r="110" spans="4:29">
      <c r="D110" s="7"/>
      <c r="E110" s="9"/>
      <c r="F110" s="9"/>
      <c r="G110" s="13"/>
      <c r="H110" s="13" t="s">
        <v>158</v>
      </c>
      <c r="I110" s="107">
        <f>AsDes*(CoDif+CoInt)/3*CoSeg^0.7</f>
        <v>7.7097128871934304</v>
      </c>
      <c r="J110" s="39"/>
      <c r="K110" s="70">
        <v>0</v>
      </c>
      <c r="L110" s="62">
        <v>1</v>
      </c>
      <c r="M110" s="61">
        <v>0</v>
      </c>
      <c r="N110" s="27"/>
      <c r="O110" s="9"/>
      <c r="P110" s="9"/>
      <c r="Q110" s="9"/>
      <c r="R110" s="79">
        <f t="shared" si="6"/>
        <v>271.81680051002479</v>
      </c>
      <c r="S110" s="11"/>
      <c r="T110" s="9"/>
    </row>
    <row r="111" spans="4:29">
      <c r="D111" s="7"/>
      <c r="E111" s="9"/>
      <c r="F111" s="9"/>
      <c r="G111" s="13"/>
      <c r="H111" s="13" t="s">
        <v>58</v>
      </c>
      <c r="I111" s="107">
        <f>4*DePRO</f>
        <v>4</v>
      </c>
      <c r="J111" s="39"/>
      <c r="K111" s="61">
        <v>0</v>
      </c>
      <c r="L111" s="70">
        <v>1</v>
      </c>
      <c r="M111" s="70">
        <v>0</v>
      </c>
      <c r="N111" s="27"/>
      <c r="O111" s="9"/>
      <c r="P111" s="9"/>
      <c r="Q111" s="9"/>
      <c r="R111" s="79">
        <f t="shared" si="6"/>
        <v>141.02564102564102</v>
      </c>
      <c r="S111" s="11"/>
      <c r="T111" s="9"/>
    </row>
    <row r="112" spans="4:29">
      <c r="D112" s="7"/>
      <c r="E112" s="9"/>
      <c r="F112" s="9"/>
      <c r="G112" s="13"/>
      <c r="H112" s="13" t="s">
        <v>24</v>
      </c>
      <c r="I112" s="107">
        <f>AsCha*0.2*(CoDif+CoCli)*CoSeg*0.7</f>
        <v>14.448258237818253</v>
      </c>
      <c r="J112" s="39"/>
      <c r="K112" s="61">
        <v>0</v>
      </c>
      <c r="L112" s="70">
        <v>1</v>
      </c>
      <c r="M112" s="70">
        <v>0</v>
      </c>
      <c r="N112" s="27"/>
      <c r="O112" s="9"/>
      <c r="P112" s="9"/>
      <c r="Q112" s="9"/>
      <c r="R112" s="79">
        <f t="shared" si="6"/>
        <v>509.3937199230794</v>
      </c>
      <c r="S112" s="11"/>
      <c r="T112" s="9"/>
    </row>
    <row r="113" spans="4:20">
      <c r="D113" s="7"/>
      <c r="E113" s="9"/>
      <c r="F113" s="9"/>
      <c r="G113" s="13"/>
      <c r="H113" s="246" t="s">
        <v>291</v>
      </c>
      <c r="I113" s="247">
        <f>SUM(L36:L38)</f>
        <v>68</v>
      </c>
      <c r="J113" s="39"/>
      <c r="K113" s="61"/>
      <c r="L113" s="62"/>
      <c r="M113" s="62"/>
      <c r="N113" s="27"/>
      <c r="O113" s="9"/>
      <c r="P113" s="9"/>
      <c r="Q113" s="9"/>
      <c r="R113" s="80"/>
      <c r="S113" s="11"/>
      <c r="T113" s="9"/>
    </row>
    <row r="114" spans="4:20">
      <c r="D114" s="7"/>
      <c r="E114" s="9"/>
      <c r="F114" s="9"/>
      <c r="G114" s="13" t="s">
        <v>60</v>
      </c>
      <c r="H114" s="13" t="s">
        <v>5</v>
      </c>
      <c r="I114" s="107">
        <f>IF(CoDis=(1/3)^1.5, 4*CoSeg, AsScr*(CoDif+CoInt+CoIntFreq)*CoSeg)</f>
        <v>85.947934199881388</v>
      </c>
      <c r="J114" s="154"/>
      <c r="K114" s="61">
        <v>1</v>
      </c>
      <c r="L114" s="62">
        <v>0</v>
      </c>
      <c r="M114" s="62">
        <f>IF(CoDis=(1/3)^1.5, 4*CoSeg,AsScr*(CoDif+CoIntFreq+CoInt)*CoSeg^0.9)*ID/SUM(ID, SCD, CD)/I114*100%</f>
        <v>0.48896638427146427</v>
      </c>
      <c r="N114" s="27"/>
      <c r="O114" s="9"/>
      <c r="P114" s="9"/>
      <c r="Q114" s="9"/>
      <c r="R114" s="79">
        <f t="shared" si="6"/>
        <v>3820.1643623553327</v>
      </c>
      <c r="S114" s="11"/>
      <c r="T114" s="9"/>
    </row>
    <row r="115" spans="4:20">
      <c r="D115" s="7"/>
      <c r="E115" s="9"/>
      <c r="F115" s="9"/>
      <c r="G115" s="13"/>
      <c r="H115" s="13" t="s">
        <v>251</v>
      </c>
      <c r="I115" s="107">
        <f>Co508Com*CoSeg^0.5*10</f>
        <v>11.180339887498949</v>
      </c>
      <c r="J115" s="39"/>
      <c r="K115" s="61">
        <v>1</v>
      </c>
      <c r="L115" s="62">
        <v>0</v>
      </c>
      <c r="M115" s="70">
        <v>0</v>
      </c>
      <c r="N115" s="27"/>
      <c r="O115" s="9"/>
      <c r="P115" s="9"/>
      <c r="Q115" s="9"/>
      <c r="R115" s="79">
        <f>(K115*I115*($I$64/(2080*$R$100)))+(L115*$I115*($I$65/(2080*$R$100)))+(M115*$I115*($I$66/(2080*$R$100)))+O115</f>
        <v>286.67538173074229</v>
      </c>
      <c r="S115" s="11"/>
      <c r="T115" s="9"/>
    </row>
    <row r="116" spans="4:20">
      <c r="D116" s="7"/>
      <c r="E116" s="9"/>
      <c r="F116" s="9"/>
      <c r="G116" s="13"/>
      <c r="H116" s="13" t="s">
        <v>23</v>
      </c>
      <c r="I116" s="107">
        <f>AsRev*CoSeg</f>
        <v>5</v>
      </c>
      <c r="J116" s="39"/>
      <c r="K116" s="70">
        <v>0</v>
      </c>
      <c r="L116" s="62">
        <v>0</v>
      </c>
      <c r="M116" s="62">
        <v>1</v>
      </c>
      <c r="N116" s="27"/>
      <c r="O116" s="9"/>
      <c r="P116" s="9"/>
      <c r="Q116" s="9"/>
      <c r="R116" s="79">
        <f t="shared" si="6"/>
        <v>192.30769230769229</v>
      </c>
      <c r="S116" s="11"/>
      <c r="T116" s="9"/>
    </row>
    <row r="117" spans="4:20">
      <c r="D117" s="7"/>
      <c r="E117" s="9"/>
      <c r="F117" s="9"/>
      <c r="G117" s="13"/>
      <c r="H117" s="13" t="s">
        <v>58</v>
      </c>
      <c r="I117" s="107">
        <f>6*DeAlph</f>
        <v>6</v>
      </c>
      <c r="J117" s="39"/>
      <c r="K117" s="61">
        <v>0</v>
      </c>
      <c r="L117" s="62">
        <v>1</v>
      </c>
      <c r="M117" s="70">
        <v>0</v>
      </c>
      <c r="N117" s="27"/>
      <c r="O117" s="9"/>
      <c r="P117" s="9"/>
      <c r="Q117" s="9"/>
      <c r="R117" s="79">
        <f t="shared" si="6"/>
        <v>211.53846153846155</v>
      </c>
      <c r="S117" s="11"/>
      <c r="T117" s="9"/>
    </row>
    <row r="118" spans="4:20">
      <c r="D118" s="7"/>
      <c r="E118" s="9"/>
      <c r="F118" s="9"/>
      <c r="G118" s="13"/>
      <c r="H118" s="13" t="s">
        <v>61</v>
      </c>
      <c r="I118" s="107">
        <f>SUM(ID, SCD, CD)*1</f>
        <v>2</v>
      </c>
      <c r="J118" s="39"/>
      <c r="K118" s="63">
        <f>1*CD/I118*100%</f>
        <v>0</v>
      </c>
      <c r="L118" s="63">
        <f>1*SCD/I118*100%</f>
        <v>0.5</v>
      </c>
      <c r="M118" s="63">
        <f>SUM(ID, SCD, CD)*1*ID/I118*100%</f>
        <v>1</v>
      </c>
      <c r="N118" s="27"/>
      <c r="O118" s="9"/>
      <c r="P118" s="9"/>
      <c r="Q118" s="9"/>
      <c r="R118" s="79">
        <f t="shared" si="6"/>
        <v>112.17948717948718</v>
      </c>
      <c r="S118" s="11"/>
      <c r="T118" s="9"/>
    </row>
    <row r="119" spans="4:20">
      <c r="D119" s="7"/>
      <c r="E119" s="9"/>
      <c r="F119" s="9"/>
      <c r="G119" s="13"/>
      <c r="H119" s="29"/>
      <c r="I119" s="108"/>
      <c r="J119" s="39"/>
      <c r="K119" s="61"/>
      <c r="L119" s="62"/>
      <c r="M119" s="62"/>
      <c r="N119" s="27"/>
      <c r="O119" s="9"/>
      <c r="P119" s="9"/>
      <c r="Q119" s="9"/>
      <c r="R119" s="81"/>
      <c r="S119" s="11"/>
      <c r="T119" s="9"/>
    </row>
    <row r="120" spans="4:20">
      <c r="D120" s="7"/>
      <c r="E120" s="9"/>
      <c r="F120" s="9"/>
      <c r="G120" s="13" t="s">
        <v>62</v>
      </c>
      <c r="H120" s="13" t="s">
        <v>163</v>
      </c>
      <c r="I120" s="38">
        <f>(CD+ID+SCD)*1</f>
        <v>2</v>
      </c>
      <c r="J120" s="39"/>
      <c r="K120" s="63">
        <f>1*CD/I120*100%</f>
        <v>0</v>
      </c>
      <c r="L120" s="63">
        <f>1*SCD/I120*100%</f>
        <v>0.5</v>
      </c>
      <c r="M120" s="63">
        <f>SUM(ID, SCD, CD)*1*ID/I120*100%</f>
        <v>1</v>
      </c>
      <c r="N120" s="27"/>
      <c r="O120" s="9"/>
      <c r="P120" s="9"/>
      <c r="Q120" s="9"/>
      <c r="R120" s="81"/>
      <c r="S120" s="11"/>
      <c r="T120" s="9"/>
    </row>
    <row r="121" spans="4:20">
      <c r="D121" s="7"/>
      <c r="E121" s="9"/>
      <c r="F121" s="9"/>
      <c r="G121" s="13"/>
      <c r="H121" s="13" t="s">
        <v>24</v>
      </c>
      <c r="I121" s="107">
        <f>AsCha*0.1*(CoDif+CoCli)*CoSeg^0.7</f>
        <v>9.6519364933285168</v>
      </c>
      <c r="J121" s="39"/>
      <c r="K121" s="61">
        <v>0</v>
      </c>
      <c r="L121" s="62">
        <v>1</v>
      </c>
      <c r="M121" s="70">
        <v>0</v>
      </c>
      <c r="N121" s="27"/>
      <c r="O121" s="9"/>
      <c r="P121" s="9"/>
      <c r="Q121" s="9"/>
      <c r="R121" s="79">
        <f>(K121*I121*($I$64/(2080*$R$100)))+(L121*$I121*($I$65/(2080*$R$100)))+(M121*$I121*($I$66/(2080*$R$100)))+O121</f>
        <v>340.29263277760793</v>
      </c>
      <c r="S121" s="11"/>
      <c r="T121" s="9"/>
    </row>
    <row r="122" spans="4:20">
      <c r="D122" s="7"/>
      <c r="E122" s="9"/>
      <c r="F122" s="9"/>
      <c r="G122" s="13"/>
      <c r="H122" s="13" t="s">
        <v>63</v>
      </c>
      <c r="I122" s="107">
        <f>CoSeg/2</f>
        <v>0.625</v>
      </c>
      <c r="J122" s="39"/>
      <c r="K122" s="61">
        <v>1</v>
      </c>
      <c r="L122" s="70">
        <v>0</v>
      </c>
      <c r="M122" s="70">
        <v>0</v>
      </c>
      <c r="N122" s="27"/>
      <c r="O122" s="9"/>
      <c r="P122" s="9"/>
      <c r="Q122" s="9"/>
      <c r="R122" s="79">
        <f>(K122*I122*($I$64/(2080*$R$100)))+(L122*$I122*($I$65/(2080*$R$100)))+(M122*$I122*($I$66/(2080*$R$100)))+O122</f>
        <v>16.025641025641026</v>
      </c>
      <c r="S122" s="11"/>
      <c r="T122" s="9"/>
    </row>
    <row r="123" spans="4:20">
      <c r="D123" s="7"/>
      <c r="E123" s="9"/>
      <c r="F123" s="9"/>
      <c r="G123" s="13"/>
      <c r="H123" s="13" t="s">
        <v>58</v>
      </c>
      <c r="I123" s="107">
        <f>2*DeAlph</f>
        <v>2</v>
      </c>
      <c r="J123" s="39"/>
      <c r="K123" s="61">
        <v>0</v>
      </c>
      <c r="L123" s="62">
        <v>1</v>
      </c>
      <c r="M123" s="70">
        <v>0</v>
      </c>
      <c r="N123" s="27"/>
      <c r="O123" s="9"/>
      <c r="P123" s="9"/>
      <c r="Q123" s="9"/>
      <c r="R123" s="79">
        <f>(K123*I123*($I$64/(2080*$R$100)))+(L123*$I123*($I$65/(2080*$R$100)))+(M123*$I123*($I$66/(2080*$R$100)))+O123</f>
        <v>70.512820512820511</v>
      </c>
      <c r="S123" s="11"/>
      <c r="T123" s="9"/>
    </row>
    <row r="124" spans="4:20">
      <c r="D124" s="7"/>
      <c r="E124" s="9"/>
      <c r="F124" s="9"/>
      <c r="G124" s="13"/>
      <c r="H124" s="29"/>
      <c r="I124" s="108"/>
      <c r="J124" s="39"/>
      <c r="K124" s="61"/>
      <c r="L124" s="62"/>
      <c r="M124" s="62"/>
      <c r="N124" s="27"/>
      <c r="O124" s="9"/>
      <c r="P124" s="9"/>
      <c r="Q124" s="9"/>
      <c r="R124" s="81"/>
      <c r="S124" s="11"/>
      <c r="T124" s="9"/>
    </row>
    <row r="125" spans="4:20">
      <c r="D125" s="7"/>
      <c r="E125" s="9"/>
      <c r="F125" s="9"/>
      <c r="G125" s="13" t="s">
        <v>64</v>
      </c>
      <c r="H125" s="45" t="s">
        <v>163</v>
      </c>
      <c r="I125" s="109">
        <f>(CD+ID+SCD)*0.5</f>
        <v>1</v>
      </c>
      <c r="J125" s="39"/>
      <c r="K125" s="63">
        <f>0.5*CD/I125*100%</f>
        <v>0</v>
      </c>
      <c r="L125" s="63">
        <f>SUM(ID, SCD, CD)*0.5*SCD/I125*100%</f>
        <v>1</v>
      </c>
      <c r="M125" s="63">
        <f>SUM(ID, SCD, CD)*1*ID/I125*100%</f>
        <v>2</v>
      </c>
      <c r="N125" s="27"/>
      <c r="O125" s="9"/>
      <c r="P125" s="9"/>
      <c r="Q125" s="9"/>
      <c r="R125" s="79">
        <f>(K125*I125*($I$64/(2080*$R$100)))+(L125*$I125*($I$65/(2080*$R$100)))+(M125*$I125*($I$66/(2080*$R$100)))+O125</f>
        <v>112.17948717948718</v>
      </c>
      <c r="S125" s="11"/>
      <c r="T125" s="9"/>
    </row>
    <row r="126" spans="4:20">
      <c r="D126" s="7"/>
      <c r="E126" s="9"/>
      <c r="F126" s="9"/>
      <c r="G126" s="9"/>
      <c r="H126" s="13" t="s">
        <v>24</v>
      </c>
      <c r="I126" s="107">
        <f>AsCha*0.05*(CoDif+CoCli)*CoSeg^0.7</f>
        <v>4.8259682466642584</v>
      </c>
      <c r="J126" s="39"/>
      <c r="K126" s="61">
        <v>0</v>
      </c>
      <c r="L126" s="62">
        <v>1</v>
      </c>
      <c r="M126" s="70">
        <v>0</v>
      </c>
      <c r="N126" s="27"/>
      <c r="O126" s="9"/>
      <c r="P126" s="9"/>
      <c r="Q126" s="9"/>
      <c r="R126" s="79">
        <f>(K126*I126*($I$64/(2080*$R$100)))+(L126*$I126*($I$65/(2080*$R$100)))+(M126*$I126*($I$66/(2080*$R$100)))+O126</f>
        <v>170.14631638880397</v>
      </c>
      <c r="S126" s="11"/>
      <c r="T126" s="9"/>
    </row>
    <row r="127" spans="4:20">
      <c r="D127" s="7"/>
      <c r="E127" s="9"/>
      <c r="F127" s="9"/>
      <c r="G127" s="13"/>
      <c r="H127" s="13" t="s">
        <v>58</v>
      </c>
      <c r="I127" s="107">
        <f>2*DeAlph</f>
        <v>2</v>
      </c>
      <c r="J127" s="39"/>
      <c r="K127" s="61">
        <v>0</v>
      </c>
      <c r="L127" s="62">
        <v>1</v>
      </c>
      <c r="M127" s="70">
        <v>0</v>
      </c>
      <c r="N127" s="27"/>
      <c r="O127" s="9"/>
      <c r="P127" s="9"/>
      <c r="Q127" s="9"/>
      <c r="R127" s="79">
        <f>(K127*I127*($I$64/(2080*$R$100)))+(L127*$I127*($I$65/(2080*$R$100)))+(M127*$I127*($I$66/(2080*$R$100)))+O127</f>
        <v>70.512820512820511</v>
      </c>
      <c r="S127" s="11"/>
      <c r="T127" s="9"/>
    </row>
    <row r="128" spans="4:20">
      <c r="D128" s="7"/>
      <c r="E128" s="9"/>
      <c r="F128" s="9"/>
      <c r="G128" s="13"/>
      <c r="H128" s="13" t="s">
        <v>65</v>
      </c>
      <c r="I128" s="107">
        <f>SUM(ID, SCD, CD)*1</f>
        <v>2</v>
      </c>
      <c r="J128" s="39"/>
      <c r="K128" s="63">
        <f>1*CD/I128*100%</f>
        <v>0</v>
      </c>
      <c r="L128" s="63">
        <f>1*SCD/I128*100%</f>
        <v>0.5</v>
      </c>
      <c r="M128" s="63">
        <f>SUM(ID, SCD, CD)*1*ID/I128*100%</f>
        <v>1</v>
      </c>
      <c r="N128" s="27"/>
      <c r="O128" s="9"/>
      <c r="P128" s="9"/>
      <c r="Q128" s="9"/>
      <c r="R128" s="79">
        <f>(K128*I128*($I$64/(2080*$R$100)))+(L128*$I128*($I$65/(2080*$R$100)))+(M128*$I128*($I$66/(2080*$R$100)))+O128</f>
        <v>112.17948717948718</v>
      </c>
      <c r="S128" s="11"/>
      <c r="T128" s="9"/>
    </row>
    <row r="129" spans="4:20">
      <c r="D129" s="7"/>
      <c r="E129" s="9"/>
      <c r="F129" s="9"/>
      <c r="G129" s="13"/>
      <c r="H129" s="13" t="s">
        <v>61</v>
      </c>
      <c r="I129" s="107">
        <f>SUM(ID, SCD, CD)*1</f>
        <v>2</v>
      </c>
      <c r="J129" s="39"/>
      <c r="K129" s="63">
        <f>1*CD/I129*100%</f>
        <v>0</v>
      </c>
      <c r="L129" s="63">
        <f>1*SCD/I129*100%</f>
        <v>0.5</v>
      </c>
      <c r="M129" s="63">
        <f>SUM(ID, SCD, CD)*1*ID/I129*100%</f>
        <v>1</v>
      </c>
      <c r="N129" s="27"/>
      <c r="O129" s="9"/>
      <c r="P129" s="9"/>
      <c r="Q129" s="9"/>
      <c r="R129" s="79">
        <f>(K129*I129*($I$64/(2080*$R$100)))+(L129*$I129*($I$65/(2080*$R$100)))+(M129*$I129*($I$66/(2080*$R$100)))+O129</f>
        <v>112.17948717948718</v>
      </c>
      <c r="S129" s="11"/>
      <c r="T129" s="9"/>
    </row>
    <row r="130" spans="4:20">
      <c r="D130" s="7"/>
      <c r="E130" s="9"/>
      <c r="F130" s="9"/>
      <c r="G130" s="13"/>
      <c r="H130" s="29"/>
      <c r="I130" s="40"/>
      <c r="J130" s="39"/>
      <c r="K130" s="61"/>
      <c r="L130" s="62"/>
      <c r="M130" s="62"/>
      <c r="N130" s="27"/>
      <c r="O130" s="9"/>
      <c r="P130" s="9"/>
      <c r="Q130" s="9"/>
      <c r="R130" s="9"/>
      <c r="S130" s="11"/>
      <c r="T130" s="9"/>
    </row>
    <row r="131" spans="4:20">
      <c r="D131" s="7"/>
      <c r="E131" s="9"/>
      <c r="F131" s="8" t="s">
        <v>66</v>
      </c>
      <c r="G131" s="13"/>
      <c r="H131" s="13"/>
      <c r="I131" s="41">
        <f>SUM(I101:I129)</f>
        <v>386.9051315704815</v>
      </c>
      <c r="J131" s="9"/>
      <c r="K131" s="9"/>
      <c r="L131" s="9"/>
      <c r="M131" s="9"/>
      <c r="N131" s="27"/>
      <c r="O131" s="9"/>
      <c r="P131" s="9"/>
      <c r="Q131" s="9"/>
      <c r="R131" s="82">
        <f>SUM(R101:R129)</f>
        <v>9113.940277953976</v>
      </c>
      <c r="S131" s="89">
        <f>R131/$R$311</f>
        <v>0.18928278737882731</v>
      </c>
      <c r="T131" s="9"/>
    </row>
    <row r="132" spans="4:20">
      <c r="D132" s="7"/>
      <c r="E132" s="8" t="s">
        <v>285</v>
      </c>
      <c r="F132" s="8"/>
      <c r="G132" s="13"/>
      <c r="H132" s="13"/>
      <c r="I132" s="41"/>
      <c r="J132" s="9"/>
      <c r="K132" s="68">
        <f>(SUMPRODUCT(K101:K129,$I101:$I129)/$I131)</f>
        <v>0.26779100283219659</v>
      </c>
      <c r="L132" s="68">
        <f>(SUMPRODUCT(L101:L129,$I101:$I129)/$I131)</f>
        <v>0.25964617113521715</v>
      </c>
      <c r="M132" s="66">
        <f>(SUMPRODUCT(M101:M129,$I101:$I129)/$I131)</f>
        <v>0.20345833041823039</v>
      </c>
      <c r="N132" s="27"/>
      <c r="O132" s="9"/>
      <c r="P132" s="9"/>
      <c r="Q132" s="9"/>
      <c r="R132" s="9"/>
      <c r="S132" s="11"/>
      <c r="T132" s="9"/>
    </row>
    <row r="133" spans="4:20">
      <c r="D133" s="7"/>
      <c r="E133" s="8" t="s">
        <v>203</v>
      </c>
      <c r="F133" s="8"/>
      <c r="G133" s="13"/>
      <c r="H133" s="13"/>
      <c r="I133" s="41"/>
      <c r="J133" s="9"/>
      <c r="K133" s="68">
        <f>L64/L68</f>
        <v>0.5714285714285714</v>
      </c>
      <c r="L133" s="68">
        <f>L65/L68</f>
        <v>0.14285714285714285</v>
      </c>
      <c r="M133" s="66">
        <f>L66/L68</f>
        <v>0.2857142857142857</v>
      </c>
      <c r="N133" s="27"/>
      <c r="O133" s="9"/>
      <c r="P133" s="9"/>
      <c r="Q133" s="9"/>
      <c r="R133" s="9"/>
      <c r="S133" s="11"/>
      <c r="T133" s="9"/>
    </row>
    <row r="134" spans="4:20">
      <c r="D134" s="7"/>
      <c r="E134" s="9"/>
      <c r="F134" s="9"/>
      <c r="G134" s="9"/>
      <c r="H134" s="9"/>
      <c r="I134" s="9"/>
      <c r="J134" s="9"/>
      <c r="K134" s="9"/>
      <c r="L134" s="9"/>
      <c r="M134" s="9"/>
      <c r="N134" s="27"/>
      <c r="O134" s="9"/>
      <c r="P134" s="9"/>
      <c r="Q134" s="9"/>
      <c r="R134" s="9"/>
      <c r="S134" s="11"/>
      <c r="T134" s="9"/>
    </row>
    <row r="135" spans="4:20">
      <c r="D135" s="7"/>
      <c r="E135" s="8" t="s">
        <v>33</v>
      </c>
      <c r="F135" s="9"/>
      <c r="G135" s="9"/>
      <c r="H135" s="9"/>
      <c r="I135" s="9"/>
      <c r="J135" s="9"/>
      <c r="K135" s="9"/>
      <c r="L135" s="9"/>
      <c r="M135" s="9"/>
      <c r="N135" s="27"/>
      <c r="O135" s="27"/>
      <c r="P135" s="9"/>
      <c r="Q135" s="9"/>
      <c r="R135" s="9"/>
      <c r="S135" s="11"/>
      <c r="T135" s="9"/>
    </row>
    <row r="136" spans="4:20">
      <c r="D136" s="7"/>
      <c r="E136" s="9"/>
      <c r="F136" s="9"/>
      <c r="G136" s="8" t="s">
        <v>45</v>
      </c>
      <c r="H136" s="8" t="s">
        <v>46</v>
      </c>
      <c r="I136" s="8" t="s">
        <v>47</v>
      </c>
      <c r="J136" s="13"/>
      <c r="K136" s="27"/>
      <c r="L136" s="22" t="s">
        <v>48</v>
      </c>
      <c r="M136" s="27"/>
      <c r="N136" s="27"/>
      <c r="O136" s="20" t="s">
        <v>49</v>
      </c>
      <c r="P136" s="9"/>
      <c r="Q136" s="9"/>
      <c r="R136" s="20" t="s">
        <v>50</v>
      </c>
      <c r="S136" s="23"/>
      <c r="T136" s="27"/>
    </row>
    <row r="137" spans="4:20">
      <c r="D137" s="7"/>
      <c r="E137" s="9"/>
      <c r="F137" s="9"/>
      <c r="G137" s="9"/>
      <c r="H137" s="9"/>
      <c r="I137" s="9"/>
      <c r="J137" s="9"/>
      <c r="K137" s="73" t="s">
        <v>34</v>
      </c>
      <c r="L137" s="73" t="s">
        <v>35</v>
      </c>
      <c r="M137" s="73" t="s">
        <v>36</v>
      </c>
      <c r="N137" s="74" t="s">
        <v>201</v>
      </c>
      <c r="O137" s="85" t="s">
        <v>51</v>
      </c>
      <c r="P137" s="75"/>
      <c r="Q137" s="75"/>
      <c r="R137" s="76">
        <f>R100</f>
        <v>0.75</v>
      </c>
      <c r="S137" s="23"/>
      <c r="T137" s="22"/>
    </row>
    <row r="138" spans="4:20">
      <c r="D138" s="7"/>
      <c r="E138" s="9"/>
      <c r="F138" s="9"/>
      <c r="G138" s="13" t="s">
        <v>52</v>
      </c>
      <c r="H138" s="13" t="s">
        <v>53</v>
      </c>
      <c r="I138" s="107">
        <f>SUM(MML,MMP)*(0.5)</f>
        <v>1</v>
      </c>
      <c r="J138" s="9"/>
      <c r="K138" s="63">
        <v>1</v>
      </c>
      <c r="L138" s="70">
        <v>0</v>
      </c>
      <c r="M138" s="83"/>
      <c r="N138" s="27"/>
      <c r="O138" s="27"/>
      <c r="P138" s="9"/>
      <c r="Q138" s="9"/>
      <c r="R138" s="79">
        <f>(K138*I138*($I$70/(2080*$R$137)))+(L138*$I138*($I$71/(2080*$R$137)))+O138</f>
        <v>27.243589743589745</v>
      </c>
      <c r="S138" s="11"/>
      <c r="T138" s="9"/>
    </row>
    <row r="139" spans="4:20">
      <c r="D139" s="7"/>
      <c r="E139" s="9"/>
      <c r="F139" s="9"/>
      <c r="G139" s="13"/>
      <c r="H139" s="13" t="s">
        <v>54</v>
      </c>
      <c r="I139" s="107">
        <f>MML*CoKic+MMP*1</f>
        <v>5</v>
      </c>
      <c r="J139" s="9"/>
      <c r="K139" s="63">
        <v>1</v>
      </c>
      <c r="L139" s="70">
        <v>0</v>
      </c>
      <c r="M139" s="83"/>
      <c r="N139" s="27"/>
      <c r="O139" s="27"/>
      <c r="P139" s="9"/>
      <c r="Q139" s="9"/>
      <c r="R139" s="79">
        <f>(K139*I139*($I$70/(2080*$R$137)))+(L139*$I139*($I$71/(2080*$R$137)))+O139</f>
        <v>136.21794871794873</v>
      </c>
      <c r="S139" s="11"/>
      <c r="T139" s="9"/>
    </row>
    <row r="140" spans="4:20">
      <c r="D140" s="7"/>
      <c r="E140" s="9"/>
      <c r="F140" s="9"/>
      <c r="G140" s="13"/>
      <c r="H140" s="13" t="s">
        <v>55</v>
      </c>
      <c r="I140" s="107">
        <f>SUM(MML,MMP)*0.5*CoSeg^0.1</f>
        <v>1.0225651825635729</v>
      </c>
      <c r="J140" s="9"/>
      <c r="K140" s="63">
        <v>1</v>
      </c>
      <c r="L140" s="70">
        <v>0</v>
      </c>
      <c r="M140" s="83"/>
      <c r="N140" s="27"/>
      <c r="O140" s="27"/>
      <c r="P140" s="9"/>
      <c r="Q140" s="9"/>
      <c r="R140" s="79">
        <f>(K140*I140*($I$70/(2080*$R$137)))+(L140*$I140*($I$71/(2080*$R$137)))+O140</f>
        <v>27.85834631984093</v>
      </c>
      <c r="S140" s="11"/>
      <c r="T140" s="9"/>
    </row>
    <row r="141" spans="4:20">
      <c r="D141" s="7"/>
      <c r="E141" s="9"/>
      <c r="F141" s="9"/>
      <c r="G141" s="13"/>
      <c r="H141" s="29"/>
      <c r="I141" s="110"/>
      <c r="J141" s="38"/>
      <c r="K141" s="9"/>
      <c r="L141" s="9"/>
      <c r="M141" s="83"/>
      <c r="N141" s="27"/>
      <c r="O141" s="27"/>
      <c r="P141" s="9"/>
      <c r="Q141" s="9"/>
      <c r="R141" s="9"/>
      <c r="S141" s="11"/>
      <c r="T141" s="9"/>
    </row>
    <row r="142" spans="4:20">
      <c r="D142" s="7"/>
      <c r="E142" s="9"/>
      <c r="F142" s="9"/>
      <c r="G142" s="13" t="s">
        <v>21</v>
      </c>
      <c r="H142" s="13" t="s">
        <v>149</v>
      </c>
      <c r="I142" s="107">
        <f>DeCon*(MML*(2+CoDif+CoDis)*CoSeg^0.5+MMP*2)</f>
        <v>5.96268258569987</v>
      </c>
      <c r="J142" s="9"/>
      <c r="K142" s="61">
        <v>0.5</v>
      </c>
      <c r="L142" s="62">
        <v>0.5</v>
      </c>
      <c r="M142" s="83"/>
      <c r="N142" s="27"/>
      <c r="O142" s="27"/>
      <c r="P142" s="9"/>
      <c r="Q142" s="9"/>
      <c r="R142" s="79">
        <f t="shared" ref="R142:R149" si="7">(K142*I142*($I$70/(2080*$R$137)))+(L142*$I142*($I$71/(2080*$R$137)))+O142</f>
        <v>176.77824973629421</v>
      </c>
      <c r="S142" s="11"/>
      <c r="T142" s="9"/>
    </row>
    <row r="143" spans="4:20">
      <c r="D143" s="7"/>
      <c r="E143" s="9"/>
      <c r="F143" s="9"/>
      <c r="G143" s="13"/>
      <c r="H143" s="13" t="s">
        <v>57</v>
      </c>
      <c r="I143" s="107">
        <f>(MML*2+MMP*0.5)*CoSeg^0.8</f>
        <v>2.9886015618438657</v>
      </c>
      <c r="J143" s="9"/>
      <c r="K143" s="61">
        <v>0.5</v>
      </c>
      <c r="L143" s="62">
        <v>0.5</v>
      </c>
      <c r="M143" s="83"/>
      <c r="N143" s="27"/>
      <c r="O143" s="27"/>
      <c r="P143" s="9"/>
      <c r="Q143" s="9"/>
      <c r="R143" s="79">
        <f t="shared" si="7"/>
        <v>88.604373227742826</v>
      </c>
      <c r="S143" s="11"/>
      <c r="T143" s="9"/>
    </row>
    <row r="144" spans="4:20">
      <c r="D144" s="7"/>
      <c r="E144" s="9"/>
      <c r="F144" s="9"/>
      <c r="G144" s="13"/>
      <c r="H144" s="13" t="s">
        <v>20</v>
      </c>
      <c r="I144" s="107">
        <f>CtRes*0.25</f>
        <v>2.928219548400933</v>
      </c>
      <c r="J144" s="9"/>
      <c r="K144" s="63">
        <v>1</v>
      </c>
      <c r="L144" s="70">
        <v>0</v>
      </c>
      <c r="M144" s="83"/>
      <c r="N144" s="27"/>
      <c r="O144" s="27"/>
      <c r="P144" s="9"/>
      <c r="Q144" s="9"/>
      <c r="R144" s="79">
        <f t="shared" si="7"/>
        <v>79.775212055794654</v>
      </c>
      <c r="S144" s="11"/>
      <c r="T144" s="9"/>
    </row>
    <row r="145" spans="4:20">
      <c r="D145" s="7"/>
      <c r="E145" s="9"/>
      <c r="F145" s="9"/>
      <c r="G145" s="13"/>
      <c r="H145" s="13" t="s">
        <v>157</v>
      </c>
      <c r="I145" s="107">
        <f>CtPro</f>
        <v>23.129138661580292</v>
      </c>
      <c r="J145" s="9"/>
      <c r="K145" s="61">
        <v>0.5</v>
      </c>
      <c r="L145" s="62">
        <v>0.5</v>
      </c>
      <c r="M145" s="83"/>
      <c r="N145" s="27"/>
      <c r="O145" s="27"/>
      <c r="P145" s="9"/>
      <c r="Q145" s="9"/>
      <c r="R145" s="79">
        <f t="shared" si="7"/>
        <v>685.71965583210795</v>
      </c>
      <c r="S145" s="11"/>
      <c r="T145" s="9"/>
    </row>
    <row r="146" spans="4:20">
      <c r="D146" s="7"/>
      <c r="E146" s="9"/>
      <c r="F146" s="9"/>
      <c r="G146" s="13"/>
      <c r="H146" s="13" t="s">
        <v>68</v>
      </c>
      <c r="I146" s="107">
        <f>CtProClean</f>
        <v>7.7097128871934304</v>
      </c>
      <c r="J146" s="9"/>
      <c r="K146" s="61">
        <v>0.5</v>
      </c>
      <c r="L146" s="62">
        <v>0.5</v>
      </c>
      <c r="M146" s="83"/>
      <c r="N146" s="27"/>
      <c r="O146" s="27"/>
      <c r="P146" s="9"/>
      <c r="Q146" s="9"/>
      <c r="R146" s="79">
        <f t="shared" si="7"/>
        <v>228.57321861070267</v>
      </c>
      <c r="S146" s="11"/>
      <c r="T146" s="9"/>
    </row>
    <row r="147" spans="4:20">
      <c r="D147" s="7"/>
      <c r="E147" s="9"/>
      <c r="F147" s="9"/>
      <c r="G147" s="9"/>
      <c r="H147" s="13" t="s">
        <v>67</v>
      </c>
      <c r="I147" s="107">
        <f>1.5+(7.5*CoGui)</f>
        <v>9</v>
      </c>
      <c r="J147" s="9"/>
      <c r="K147" s="61">
        <v>0.5</v>
      </c>
      <c r="L147" s="62">
        <v>0.5</v>
      </c>
      <c r="M147" s="83"/>
      <c r="N147" s="27"/>
      <c r="O147" s="9"/>
      <c r="P147" s="9"/>
      <c r="Q147" s="9"/>
      <c r="R147" s="79">
        <f t="shared" si="7"/>
        <v>266.82692307692309</v>
      </c>
      <c r="S147" s="11"/>
    </row>
    <row r="148" spans="4:20">
      <c r="D148" s="7"/>
      <c r="E148" s="9"/>
      <c r="F148" s="9"/>
      <c r="G148" s="13"/>
      <c r="H148" s="13" t="s">
        <v>58</v>
      </c>
      <c r="I148" s="38">
        <f>4*DePRO</f>
        <v>4</v>
      </c>
      <c r="J148" s="9"/>
      <c r="K148" s="61">
        <v>0.5</v>
      </c>
      <c r="L148" s="62">
        <v>0.5</v>
      </c>
      <c r="M148" s="83"/>
      <c r="N148" s="27"/>
      <c r="O148" s="27"/>
      <c r="P148" s="9"/>
      <c r="Q148" s="9"/>
      <c r="R148" s="79">
        <f t="shared" si="7"/>
        <v>118.58974358974359</v>
      </c>
      <c r="S148" s="11"/>
      <c r="T148" s="9"/>
    </row>
    <row r="149" spans="4:20">
      <c r="D149" s="7"/>
      <c r="E149" s="9"/>
      <c r="F149" s="9"/>
      <c r="G149" s="13"/>
      <c r="H149" s="13" t="s">
        <v>24</v>
      </c>
      <c r="I149" s="107">
        <f>AsCha*0.2*(CoDif+CoCli)*CoSeg*0.5</f>
        <v>10.320184455584467</v>
      </c>
      <c r="J149" s="9"/>
      <c r="K149" s="61">
        <v>0.5</v>
      </c>
      <c r="L149" s="62">
        <v>0.5</v>
      </c>
      <c r="M149" s="83"/>
      <c r="N149" s="27"/>
      <c r="O149" s="27"/>
      <c r="P149" s="9"/>
      <c r="Q149" s="9"/>
      <c r="R149" s="79">
        <f t="shared" si="7"/>
        <v>305.96700709665492</v>
      </c>
      <c r="S149" s="11"/>
      <c r="T149" s="9"/>
    </row>
    <row r="150" spans="4:20">
      <c r="D150" s="7"/>
      <c r="E150" s="9"/>
      <c r="F150" s="9"/>
      <c r="G150" s="13"/>
      <c r="H150" s="29"/>
      <c r="I150" s="110"/>
      <c r="J150" s="38"/>
      <c r="K150" s="9"/>
      <c r="L150" s="9"/>
      <c r="M150" s="83"/>
      <c r="N150" s="27"/>
      <c r="O150" s="27"/>
      <c r="P150" s="9"/>
      <c r="Q150" s="9"/>
      <c r="R150" s="9"/>
      <c r="S150" s="11"/>
      <c r="T150" s="9"/>
    </row>
    <row r="151" spans="4:20">
      <c r="D151" s="7"/>
      <c r="E151" s="9"/>
      <c r="F151" s="9"/>
      <c r="G151" s="13" t="s">
        <v>60</v>
      </c>
      <c r="H151" s="13" t="s">
        <v>69</v>
      </c>
      <c r="I151" s="38">
        <f>3*CoMed</f>
        <v>6</v>
      </c>
      <c r="J151" s="9"/>
      <c r="K151" s="63">
        <v>1</v>
      </c>
      <c r="L151" s="70">
        <v>0</v>
      </c>
      <c r="M151" s="83"/>
      <c r="N151" s="27"/>
      <c r="O151" s="27"/>
      <c r="P151" s="9"/>
      <c r="Q151" s="9"/>
      <c r="R151" s="79">
        <f t="shared" ref="R151:R158" si="8">(K151*I151*($I$70/(2080*$R$137)))+(L151*$I151*($I$71/(2080*$R$137)))+O151</f>
        <v>163.46153846153845</v>
      </c>
      <c r="S151" s="11"/>
      <c r="T151" s="9"/>
    </row>
    <row r="152" spans="4:20">
      <c r="D152" s="7"/>
      <c r="E152" s="9"/>
      <c r="F152" s="9"/>
      <c r="G152" s="13"/>
      <c r="H152" s="13" t="s">
        <v>142</v>
      </c>
      <c r="I152" s="38">
        <f>1.5+(4*CoGui)</f>
        <v>5.5</v>
      </c>
      <c r="J152" s="9"/>
      <c r="K152" s="63">
        <v>1</v>
      </c>
      <c r="L152" s="70">
        <v>0</v>
      </c>
      <c r="M152" s="83"/>
      <c r="N152" s="27"/>
      <c r="O152" s="27"/>
      <c r="P152" s="9"/>
      <c r="Q152" s="9"/>
      <c r="R152" s="79">
        <f t="shared" si="8"/>
        <v>149.83974358974359</v>
      </c>
      <c r="S152" s="11"/>
      <c r="T152" s="9"/>
    </row>
    <row r="153" spans="4:20">
      <c r="D153" s="7"/>
      <c r="E153" s="9"/>
      <c r="F153" s="9"/>
      <c r="G153" s="13"/>
      <c r="H153" s="13" t="s">
        <v>70</v>
      </c>
      <c r="I153" s="38">
        <f>((45+42*(CoMed-(0.15*CoIntFreq)))*(CoSeg^0.7)-(IF(CoPho=1,8*CoSeg,0)))*0.85</f>
        <v>113.42717108207535</v>
      </c>
      <c r="J153" s="9"/>
      <c r="K153" s="63">
        <v>1</v>
      </c>
      <c r="L153" s="70">
        <v>0</v>
      </c>
      <c r="M153" s="83"/>
      <c r="N153" s="27"/>
      <c r="O153" s="27"/>
      <c r="P153" s="9"/>
      <c r="Q153" s="9"/>
      <c r="R153" s="79">
        <f t="shared" si="8"/>
        <v>3090.1633147360271</v>
      </c>
      <c r="S153" s="11"/>
      <c r="T153" s="9"/>
    </row>
    <row r="154" spans="4:20">
      <c r="D154" s="7"/>
      <c r="E154" s="9"/>
      <c r="F154" s="9"/>
      <c r="G154" s="13"/>
      <c r="H154" s="13" t="s">
        <v>143</v>
      </c>
      <c r="I154" s="107">
        <f>7*CoInt*CoSeg^0.7+(8*DeVid)+(2*CoIntFreq)</f>
        <v>20.800571186729069</v>
      </c>
      <c r="J154" s="38"/>
      <c r="K154" s="36">
        <v>0.4</v>
      </c>
      <c r="L154" s="36">
        <v>0.6</v>
      </c>
      <c r="M154" s="83"/>
      <c r="N154" s="27"/>
      <c r="O154" s="27"/>
      <c r="P154" s="9"/>
      <c r="Q154" s="9"/>
      <c r="R154" s="79">
        <f t="shared" si="8"/>
        <v>626.68387549760655</v>
      </c>
      <c r="S154" s="11"/>
      <c r="T154" s="9"/>
    </row>
    <row r="155" spans="4:20">
      <c r="D155" s="7"/>
      <c r="E155" s="9"/>
      <c r="F155" s="9"/>
      <c r="G155" s="13"/>
      <c r="H155" s="13" t="s">
        <v>251</v>
      </c>
      <c r="I155" s="38">
        <f>Co508Com*CoSeg^0.5*2</f>
        <v>2.2360679774997898</v>
      </c>
      <c r="J155" s="9"/>
      <c r="K155" s="36">
        <v>1</v>
      </c>
      <c r="L155" s="36">
        <v>0</v>
      </c>
      <c r="M155" s="83"/>
      <c r="N155" s="27"/>
      <c r="O155" s="27"/>
      <c r="P155" s="9"/>
      <c r="Q155" s="9"/>
      <c r="R155" s="79">
        <f t="shared" si="8"/>
        <v>60.918518617782738</v>
      </c>
      <c r="S155" s="11"/>
      <c r="T155" s="9"/>
    </row>
    <row r="156" spans="4:20">
      <c r="D156" s="7"/>
      <c r="E156" s="9"/>
      <c r="F156" s="9"/>
      <c r="G156" s="13"/>
      <c r="H156" s="13" t="s">
        <v>23</v>
      </c>
      <c r="I156" s="38">
        <f>CtRev</f>
        <v>5</v>
      </c>
      <c r="J156" s="9"/>
      <c r="K156" s="61">
        <v>0.5</v>
      </c>
      <c r="L156" s="62">
        <v>0.5</v>
      </c>
      <c r="M156" s="83"/>
      <c r="N156" s="27"/>
      <c r="O156" s="27"/>
      <c r="P156" s="9"/>
      <c r="Q156" s="9"/>
      <c r="R156" s="79">
        <f t="shared" si="8"/>
        <v>148.2371794871795</v>
      </c>
      <c r="S156" s="11"/>
      <c r="T156" s="9"/>
    </row>
    <row r="157" spans="4:20">
      <c r="D157" s="7"/>
      <c r="E157" s="9"/>
      <c r="F157" s="9"/>
      <c r="G157" s="13"/>
      <c r="H157" s="13" t="s">
        <v>58</v>
      </c>
      <c r="I157" s="38">
        <f>((MML*6)+(MMP*2))*DeAlph</f>
        <v>8</v>
      </c>
      <c r="J157" s="9"/>
      <c r="K157" s="61">
        <v>0.5</v>
      </c>
      <c r="L157" s="62">
        <v>0.5</v>
      </c>
      <c r="M157" s="83"/>
      <c r="N157" s="27"/>
      <c r="O157" s="27"/>
      <c r="P157" s="9"/>
      <c r="Q157" s="9"/>
      <c r="R157" s="79">
        <f t="shared" si="8"/>
        <v>237.17948717948718</v>
      </c>
      <c r="S157" s="11"/>
      <c r="T157" s="9"/>
    </row>
    <row r="158" spans="4:20">
      <c r="D158" s="7"/>
      <c r="E158" s="9"/>
      <c r="F158" s="9"/>
      <c r="G158" s="13"/>
      <c r="H158" s="13" t="s">
        <v>61</v>
      </c>
      <c r="I158" s="38">
        <f>SUM(MML,MMP)*2</f>
        <v>4</v>
      </c>
      <c r="J158" s="9"/>
      <c r="K158" s="63">
        <v>1</v>
      </c>
      <c r="L158" s="70">
        <v>0</v>
      </c>
      <c r="M158" s="83"/>
      <c r="N158" s="27"/>
      <c r="O158" s="27"/>
      <c r="P158" s="9"/>
      <c r="Q158" s="9"/>
      <c r="R158" s="79">
        <f t="shared" si="8"/>
        <v>108.97435897435898</v>
      </c>
      <c r="S158" s="11"/>
      <c r="T158" s="9"/>
    </row>
    <row r="159" spans="4:20">
      <c r="D159" s="7"/>
      <c r="E159" s="9"/>
      <c r="F159" s="9"/>
      <c r="G159" s="13"/>
      <c r="H159" s="29"/>
      <c r="I159" s="110"/>
      <c r="J159" s="38"/>
      <c r="K159" s="9"/>
      <c r="L159" s="9"/>
      <c r="M159" s="83"/>
      <c r="N159" s="27"/>
      <c r="O159" s="27"/>
      <c r="P159" s="9"/>
      <c r="Q159" s="9"/>
      <c r="R159" s="9"/>
      <c r="S159" s="11"/>
      <c r="T159" s="9"/>
    </row>
    <row r="160" spans="4:20">
      <c r="D160" s="7"/>
      <c r="E160" s="9"/>
      <c r="F160" s="9"/>
      <c r="G160" s="13" t="s">
        <v>62</v>
      </c>
      <c r="H160" s="45" t="s">
        <v>163</v>
      </c>
      <c r="I160" s="111">
        <f>(MML+MMP)*1</f>
        <v>2</v>
      </c>
      <c r="J160" s="9"/>
      <c r="K160" s="63">
        <v>1</v>
      </c>
      <c r="L160" s="70">
        <v>0</v>
      </c>
      <c r="M160" s="83"/>
      <c r="N160" s="27"/>
      <c r="O160" s="27"/>
      <c r="P160" s="9"/>
      <c r="Q160" s="9"/>
      <c r="R160" s="79">
        <f>(K160*I160*($I$70/(2080*$R$137)))+(L160*$I160*($I$71/(2080*$R$137)))+O160</f>
        <v>54.487179487179489</v>
      </c>
      <c r="S160" s="11"/>
      <c r="T160" s="9"/>
    </row>
    <row r="161" spans="4:20">
      <c r="D161" s="7"/>
      <c r="E161" s="9"/>
      <c r="F161" s="9"/>
      <c r="G161" s="9"/>
      <c r="H161" s="13" t="s">
        <v>24</v>
      </c>
      <c r="I161" s="107">
        <f>AsCha*0.1*(CoDif+CoCli)*CoSeg^0.7</f>
        <v>9.6519364933285168</v>
      </c>
      <c r="J161" s="9"/>
      <c r="K161" s="61">
        <v>0.5</v>
      </c>
      <c r="L161" s="62">
        <v>0.5</v>
      </c>
      <c r="M161" s="83"/>
      <c r="N161" s="27"/>
      <c r="O161" s="27"/>
      <c r="P161" s="9"/>
      <c r="Q161" s="9"/>
      <c r="R161" s="79">
        <f>(K161*I161*($I$70/(2080*$R$137)))+(L161*$I161*($I$71/(2080*$R$137)))+O161</f>
        <v>286.15516847207942</v>
      </c>
      <c r="S161" s="11"/>
      <c r="T161" s="9"/>
    </row>
    <row r="162" spans="4:20">
      <c r="D162" s="7"/>
      <c r="E162" s="9"/>
      <c r="F162" s="9"/>
      <c r="G162" s="13"/>
      <c r="H162" s="13" t="s">
        <v>71</v>
      </c>
      <c r="I162" s="38">
        <f>Seg*2.25*CoMed/60</f>
        <v>11.25</v>
      </c>
      <c r="J162" s="9"/>
      <c r="K162" s="63">
        <v>1</v>
      </c>
      <c r="L162" s="70">
        <v>0</v>
      </c>
      <c r="M162" s="83"/>
      <c r="N162" s="27"/>
      <c r="O162" s="27"/>
      <c r="P162" s="9"/>
      <c r="Q162" s="9"/>
      <c r="R162" s="79">
        <f>(K162*I162*($I$70/(2080*$R$137)))+(L162*$I162*($I$71/(2080*$R$137)))+O162</f>
        <v>306.49038461538464</v>
      </c>
      <c r="S162" s="11"/>
      <c r="T162" s="9"/>
    </row>
    <row r="163" spans="4:20">
      <c r="D163" s="7"/>
      <c r="E163" s="9"/>
      <c r="F163" s="9"/>
      <c r="G163" s="13"/>
      <c r="H163" s="13" t="s">
        <v>58</v>
      </c>
      <c r="I163" s="38">
        <f>((MML*4)+(MMP*2))*DeAlph</f>
        <v>6</v>
      </c>
      <c r="J163" s="9"/>
      <c r="K163" s="61">
        <v>0.5</v>
      </c>
      <c r="L163" s="62">
        <v>0.5</v>
      </c>
      <c r="M163" s="83"/>
      <c r="N163" s="27"/>
      <c r="O163" s="27"/>
      <c r="P163" s="9"/>
      <c r="Q163" s="9"/>
      <c r="R163" s="79">
        <f>(K163*I163*($I$70/(2080*$R$137)))+(L163*$I163*($I$71/(2080*$R$137)))+O163</f>
        <v>177.88461538461539</v>
      </c>
      <c r="S163" s="11"/>
      <c r="T163" s="9"/>
    </row>
    <row r="164" spans="4:20">
      <c r="D164" s="7"/>
      <c r="E164" s="9"/>
      <c r="F164" s="9"/>
      <c r="G164" s="13"/>
      <c r="H164" s="29"/>
      <c r="I164" s="110"/>
      <c r="J164" s="38"/>
      <c r="K164" s="9"/>
      <c r="L164" s="9"/>
      <c r="M164" s="83"/>
      <c r="N164" s="27"/>
      <c r="O164" s="27"/>
      <c r="P164" s="9"/>
      <c r="Q164" s="9"/>
      <c r="R164" s="9"/>
      <c r="S164" s="11"/>
      <c r="T164" s="9"/>
    </row>
    <row r="165" spans="4:20">
      <c r="D165" s="7"/>
      <c r="E165" s="9"/>
      <c r="F165" s="9"/>
      <c r="G165" s="13" t="s">
        <v>64</v>
      </c>
      <c r="H165" s="45" t="s">
        <v>163</v>
      </c>
      <c r="I165" s="111">
        <f>(MML+MMP)*0.5</f>
        <v>1</v>
      </c>
      <c r="J165" s="9"/>
      <c r="K165" s="63">
        <v>1</v>
      </c>
      <c r="L165" s="70">
        <v>0</v>
      </c>
      <c r="M165" s="83"/>
      <c r="N165" s="27"/>
      <c r="O165" s="27"/>
      <c r="P165" s="9"/>
      <c r="Q165" s="9"/>
      <c r="R165" s="79">
        <f>(K165*I165*($I$70/(2080*$R$137)))+(L165*$I165*($I$71/(2080*$R$137)))+O165</f>
        <v>27.243589743589745</v>
      </c>
      <c r="S165" s="11"/>
      <c r="T165" s="9"/>
    </row>
    <row r="166" spans="4:20">
      <c r="D166" s="7"/>
      <c r="E166" s="9"/>
      <c r="F166" s="9"/>
      <c r="G166" s="9"/>
      <c r="H166" s="13" t="s">
        <v>24</v>
      </c>
      <c r="I166" s="107">
        <f>AsCha*0.05*(CoDif+CoCli)*CoSeg^0.7</f>
        <v>4.8259682466642584</v>
      </c>
      <c r="J166" s="9"/>
      <c r="K166" s="61">
        <v>0.5</v>
      </c>
      <c r="L166" s="62">
        <v>0.5</v>
      </c>
      <c r="M166" s="83"/>
      <c r="N166" s="27"/>
      <c r="O166" s="27"/>
      <c r="P166" s="9"/>
      <c r="Q166" s="9"/>
      <c r="R166" s="79">
        <f>(K166*I166*($I$70/(2080*$R$137)))+(L166*$I166*($I$71/(2080*$R$137)))+O166</f>
        <v>143.07758423603971</v>
      </c>
      <c r="S166" s="11"/>
      <c r="T166" s="9"/>
    </row>
    <row r="167" spans="4:20">
      <c r="D167" s="7"/>
      <c r="E167" s="9"/>
      <c r="F167" s="9"/>
      <c r="G167" s="13"/>
      <c r="H167" s="13" t="s">
        <v>58</v>
      </c>
      <c r="I167" s="38">
        <f>((MML*4)+(MMP*2))*DeAlph</f>
        <v>6</v>
      </c>
      <c r="J167" s="9"/>
      <c r="K167" s="61">
        <v>0.5</v>
      </c>
      <c r="L167" s="62">
        <v>0.5</v>
      </c>
      <c r="M167" s="83"/>
      <c r="N167" s="27"/>
      <c r="O167" s="27"/>
      <c r="P167" s="9"/>
      <c r="Q167" s="9"/>
      <c r="R167" s="79">
        <f>(K167*I167*($I$70/(2080*$R$137)))+(L167*$I167*($I$71/(2080*$R$137)))+O167</f>
        <v>177.88461538461539</v>
      </c>
      <c r="S167" s="11"/>
      <c r="T167" s="9"/>
    </row>
    <row r="168" spans="4:20">
      <c r="D168" s="7"/>
      <c r="E168" s="9"/>
      <c r="F168" s="9"/>
      <c r="G168" s="13"/>
      <c r="H168" s="13" t="s">
        <v>65</v>
      </c>
      <c r="I168" s="38">
        <f>SUM(MML,MMP)*1</f>
        <v>2</v>
      </c>
      <c r="J168" s="9"/>
      <c r="K168" s="63">
        <v>1</v>
      </c>
      <c r="L168" s="70">
        <v>0</v>
      </c>
      <c r="M168" s="83"/>
      <c r="N168" s="27"/>
      <c r="O168" s="27"/>
      <c r="P168" s="9"/>
      <c r="Q168" s="9"/>
      <c r="R168" s="79">
        <f>(K168*I168*($I$70/(2080*$R$137)))+(L168*$I168*($I$71/(2080*$R$137)))+O168</f>
        <v>54.487179487179489</v>
      </c>
      <c r="S168" s="11"/>
      <c r="T168" s="9"/>
    </row>
    <row r="169" spans="4:20">
      <c r="D169" s="7"/>
      <c r="E169" s="9"/>
      <c r="F169" s="9"/>
      <c r="G169" s="9"/>
      <c r="H169" s="13" t="s">
        <v>61</v>
      </c>
      <c r="I169" s="38">
        <f>SUM(MML,MMP)*1</f>
        <v>2</v>
      </c>
      <c r="J169" s="9"/>
      <c r="K169" s="63">
        <v>1</v>
      </c>
      <c r="L169" s="70">
        <v>0</v>
      </c>
      <c r="M169" s="83"/>
      <c r="N169" s="27"/>
      <c r="O169" s="27"/>
      <c r="P169" s="9"/>
      <c r="Q169" s="9"/>
      <c r="R169" s="79">
        <f>(K169*I169*($I$70/(2080*$R$137)))+(L169*$I169*($I$71/(2080*$R$137)))+O169</f>
        <v>54.487179487179489</v>
      </c>
      <c r="S169" s="11"/>
      <c r="T169" s="9"/>
    </row>
    <row r="170" spans="4:20">
      <c r="D170" s="7"/>
      <c r="E170" s="9"/>
      <c r="F170" s="9"/>
      <c r="G170" s="9"/>
      <c r="H170" s="29"/>
      <c r="I170" s="42"/>
      <c r="J170" s="38"/>
      <c r="K170" s="9"/>
      <c r="L170" s="9"/>
      <c r="M170" s="9"/>
      <c r="N170" s="27"/>
      <c r="O170" s="27"/>
      <c r="P170" s="9"/>
      <c r="Q170" s="9"/>
      <c r="R170" s="9"/>
      <c r="S170" s="11"/>
      <c r="T170" s="9"/>
    </row>
    <row r="171" spans="4:20">
      <c r="D171" s="7"/>
      <c r="E171" s="9"/>
      <c r="F171" s="8" t="s">
        <v>72</v>
      </c>
      <c r="G171" s="9"/>
      <c r="H171" s="9"/>
      <c r="I171" s="44">
        <f>SUM(I138:I169)</f>
        <v>282.75281986916343</v>
      </c>
      <c r="J171" s="9"/>
      <c r="K171" s="9"/>
      <c r="L171" s="9"/>
      <c r="M171" s="9"/>
      <c r="N171" s="27"/>
      <c r="O171" s="27"/>
      <c r="P171" s="9"/>
      <c r="Q171" s="9"/>
      <c r="R171" s="78">
        <f>SUM(R138:R169)</f>
        <v>8009.8097808489329</v>
      </c>
      <c r="S171" s="89">
        <f>R171/$R$311</f>
        <v>0.16635166299703244</v>
      </c>
      <c r="T171" s="9"/>
    </row>
    <row r="172" spans="4:20">
      <c r="D172" s="7"/>
      <c r="E172" s="8" t="s">
        <v>285</v>
      </c>
      <c r="F172" s="8"/>
      <c r="G172" s="9"/>
      <c r="H172" s="9"/>
      <c r="I172" s="44"/>
      <c r="J172" s="9"/>
      <c r="K172" s="68">
        <f>SUMPRODUCT(K138:K169,$I138:$I169)/$I171</f>
        <v>0.77445156802505166</v>
      </c>
      <c r="L172" s="68">
        <f>SUMPRODUCT(L138:L169,$I138:$I169)/$I171</f>
        <v>0.22554843197494823</v>
      </c>
      <c r="M172" s="9"/>
      <c r="N172" s="27"/>
      <c r="O172" s="27"/>
      <c r="P172" s="9"/>
      <c r="Q172" s="9"/>
      <c r="R172" s="9"/>
      <c r="S172" s="11"/>
      <c r="T172" s="9"/>
    </row>
    <row r="173" spans="4:20">
      <c r="D173" s="7"/>
      <c r="E173" s="8" t="s">
        <v>203</v>
      </c>
      <c r="F173" s="8"/>
      <c r="G173" s="9"/>
      <c r="H173" s="9"/>
      <c r="I173" s="44"/>
      <c r="J173" s="9"/>
      <c r="K173" s="68">
        <f>L70/L72</f>
        <v>0.8</v>
      </c>
      <c r="L173" s="84">
        <f>1-K173</f>
        <v>0.19999999999999996</v>
      </c>
      <c r="M173" s="9"/>
      <c r="N173" s="27"/>
      <c r="O173" s="27"/>
      <c r="P173" s="9"/>
      <c r="Q173" s="9"/>
      <c r="R173" s="9"/>
      <c r="S173" s="11"/>
      <c r="T173" s="9"/>
    </row>
    <row r="174" spans="4:20">
      <c r="D174" s="7"/>
      <c r="E174" s="9"/>
      <c r="F174" s="8"/>
      <c r="G174" s="9"/>
      <c r="H174" s="9"/>
      <c r="I174" s="43"/>
      <c r="J174" s="9"/>
      <c r="K174" s="9"/>
      <c r="L174" s="9"/>
      <c r="M174" s="9"/>
      <c r="N174" s="27"/>
      <c r="O174" s="27"/>
      <c r="P174" s="9"/>
      <c r="Q174" s="9"/>
      <c r="R174" s="9"/>
      <c r="S174" s="11"/>
      <c r="T174" s="9"/>
    </row>
    <row r="175" spans="4:20">
      <c r="D175" s="7"/>
      <c r="E175" s="8" t="s">
        <v>144</v>
      </c>
      <c r="F175" s="8"/>
      <c r="G175" s="9"/>
      <c r="H175" s="9"/>
      <c r="I175" s="43"/>
      <c r="J175" s="9"/>
      <c r="K175" s="9"/>
      <c r="L175" s="9"/>
      <c r="M175" s="9"/>
      <c r="N175" s="27"/>
      <c r="O175" s="27"/>
      <c r="P175" s="9"/>
      <c r="Q175" s="9"/>
      <c r="R175" s="9"/>
      <c r="S175" s="11"/>
      <c r="T175" s="9"/>
    </row>
    <row r="176" spans="4:20">
      <c r="D176" s="7"/>
      <c r="E176" s="8"/>
      <c r="F176" s="8"/>
      <c r="G176" s="9"/>
      <c r="H176" s="9" t="s">
        <v>151</v>
      </c>
      <c r="I176" s="38">
        <f>(CoVo*60+(10*CoAud))/60</f>
        <v>1.5</v>
      </c>
      <c r="J176" s="9"/>
      <c r="K176" s="83"/>
      <c r="L176" s="83"/>
      <c r="M176" s="63">
        <v>1</v>
      </c>
      <c r="N176" s="27"/>
      <c r="O176" s="27"/>
      <c r="P176" s="9"/>
      <c r="Q176" s="9"/>
      <c r="R176" s="79">
        <f>I176*M176*($I$74/(2080*$R$137))+O176</f>
        <v>43.269230769230774</v>
      </c>
      <c r="S176" s="11"/>
      <c r="T176" s="9"/>
    </row>
    <row r="177" spans="4:20">
      <c r="D177" s="7"/>
      <c r="E177" s="9"/>
      <c r="F177" s="8"/>
      <c r="G177" s="9" t="s">
        <v>62</v>
      </c>
      <c r="H177" s="9" t="s">
        <v>152</v>
      </c>
      <c r="I177" s="38">
        <f>(CoVo*(6*Seg)+(60*CoAud))/60*1.5</f>
        <v>27</v>
      </c>
      <c r="J177" s="9"/>
      <c r="K177" s="83"/>
      <c r="L177" s="83"/>
      <c r="M177" s="63">
        <v>1</v>
      </c>
      <c r="N177" s="27"/>
      <c r="O177" s="27"/>
      <c r="P177" s="9"/>
      <c r="Q177" s="9"/>
      <c r="R177" s="79">
        <f>I177*M177*($I$74/(2080*$R$137))+O177</f>
        <v>778.84615384615381</v>
      </c>
      <c r="S177" s="11"/>
      <c r="T177" s="9"/>
    </row>
    <row r="178" spans="4:20">
      <c r="D178" s="7"/>
      <c r="E178" s="9"/>
      <c r="F178" s="8"/>
      <c r="G178" s="9" t="s">
        <v>64</v>
      </c>
      <c r="H178" s="9" t="s">
        <v>59</v>
      </c>
      <c r="I178" s="38">
        <f>(CoVo*(120*CoSeg)+(60*CoAud))/60</f>
        <v>5.5</v>
      </c>
      <c r="J178" s="9"/>
      <c r="K178" s="83"/>
      <c r="L178" s="83"/>
      <c r="M178" s="63">
        <v>1</v>
      </c>
      <c r="N178" s="27"/>
      <c r="O178" s="27"/>
      <c r="P178" s="9"/>
      <c r="Q178" s="9"/>
      <c r="R178" s="79">
        <f>I178*M178*($I$74/(2080*$R$137))+O178</f>
        <v>158.65384615384616</v>
      </c>
      <c r="S178" s="11"/>
      <c r="T178" s="9"/>
    </row>
    <row r="179" spans="4:20">
      <c r="D179" s="7"/>
      <c r="E179" s="9"/>
      <c r="F179" s="8"/>
      <c r="G179" s="9"/>
      <c r="H179" s="9" t="s">
        <v>145</v>
      </c>
      <c r="I179" s="172"/>
      <c r="J179" s="9"/>
      <c r="K179" s="83"/>
      <c r="L179" s="83"/>
      <c r="M179" s="63">
        <v>1</v>
      </c>
      <c r="N179" s="27"/>
      <c r="O179" s="27">
        <f>IF(CoVo&gt;0,(200+(200*CoSeg)+(100*CoAud*CoSeg))*2,0)*1.5</f>
        <v>2475</v>
      </c>
      <c r="P179" s="9"/>
      <c r="Q179" s="9"/>
      <c r="R179" s="79">
        <f>O179</f>
        <v>2475</v>
      </c>
      <c r="S179" s="11"/>
      <c r="T179" s="9"/>
    </row>
    <row r="180" spans="4:20">
      <c r="D180" s="7"/>
      <c r="E180" s="9"/>
      <c r="F180" s="8"/>
      <c r="G180" s="9"/>
      <c r="H180" s="13" t="s">
        <v>146</v>
      </c>
      <c r="I180" s="38">
        <f>CoMus*10*CoSeg</f>
        <v>12.5</v>
      </c>
      <c r="J180" s="9"/>
      <c r="K180" s="83"/>
      <c r="L180" s="83"/>
      <c r="M180" s="63">
        <v>1</v>
      </c>
      <c r="N180" s="27"/>
      <c r="O180" s="27">
        <f>250*CoMus</f>
        <v>250</v>
      </c>
      <c r="P180" s="9"/>
      <c r="Q180" s="9"/>
      <c r="R180" s="79">
        <f>I180*M180*($I$74/(2080*$R$137))+O180</f>
        <v>610.57692307692309</v>
      </c>
      <c r="S180" s="11"/>
      <c r="T180" s="9"/>
    </row>
    <row r="181" spans="4:20">
      <c r="D181" s="7"/>
      <c r="E181" s="9"/>
      <c r="F181" s="8"/>
      <c r="G181" s="9"/>
      <c r="H181" s="13" t="s">
        <v>278</v>
      </c>
      <c r="I181" s="38">
        <f>CoSDes*20*CoSeg</f>
        <v>25</v>
      </c>
      <c r="J181" s="9"/>
      <c r="K181" s="83"/>
      <c r="L181" s="83"/>
      <c r="M181" s="63">
        <v>1</v>
      </c>
      <c r="N181" s="27"/>
      <c r="O181" s="27"/>
      <c r="P181" s="9"/>
      <c r="Q181" s="9"/>
      <c r="R181" s="79">
        <f>I181*M181*($I$74/(2080*$R$137))+O181</f>
        <v>721.15384615384619</v>
      </c>
      <c r="S181" s="11"/>
      <c r="T181" s="9"/>
    </row>
    <row r="182" spans="4:20">
      <c r="D182" s="7"/>
      <c r="E182" s="9"/>
      <c r="F182" s="8" t="s">
        <v>147</v>
      </c>
      <c r="G182" s="13"/>
      <c r="H182" s="9"/>
      <c r="I182" s="112">
        <f>SUM(I176:I181)</f>
        <v>71.5</v>
      </c>
      <c r="J182" s="9"/>
      <c r="K182" s="9"/>
      <c r="L182" s="9"/>
      <c r="M182" s="9"/>
      <c r="N182" s="27"/>
      <c r="O182" s="27"/>
      <c r="P182" s="9"/>
      <c r="Q182" s="9"/>
      <c r="R182" s="78">
        <f>SUM(R176:R181)</f>
        <v>4787.5</v>
      </c>
      <c r="S182" s="89">
        <f>R182/$R$311</f>
        <v>9.9429151052059586E-2</v>
      </c>
      <c r="T182" s="9"/>
    </row>
    <row r="183" spans="4:20">
      <c r="D183" s="7"/>
      <c r="E183" s="9"/>
      <c r="F183" s="8"/>
      <c r="G183" s="13"/>
      <c r="H183" s="9"/>
      <c r="I183" s="112"/>
      <c r="J183" s="9"/>
      <c r="K183" s="9"/>
      <c r="L183" s="9"/>
      <c r="M183" s="9"/>
      <c r="N183" s="27"/>
      <c r="O183" s="27"/>
      <c r="P183" s="9"/>
      <c r="Q183" s="9"/>
      <c r="R183" s="78"/>
      <c r="S183" s="89"/>
      <c r="T183" s="9"/>
    </row>
    <row r="184" spans="4:20">
      <c r="D184" s="7"/>
      <c r="E184" s="8" t="s">
        <v>260</v>
      </c>
      <c r="F184" s="8"/>
      <c r="G184" s="13"/>
      <c r="H184" s="9"/>
      <c r="I184" s="112"/>
      <c r="J184" s="9"/>
      <c r="K184" s="9"/>
      <c r="L184" s="9"/>
      <c r="M184" s="9"/>
      <c r="N184" s="27"/>
      <c r="O184" s="27"/>
      <c r="P184" s="9"/>
      <c r="Q184" s="9"/>
      <c r="R184" s="78"/>
      <c r="S184" s="89"/>
      <c r="T184" s="9"/>
    </row>
    <row r="185" spans="4:20">
      <c r="D185" s="7"/>
      <c r="E185" s="8"/>
      <c r="F185" s="8"/>
      <c r="G185" s="13" t="s">
        <v>268</v>
      </c>
      <c r="H185" s="9" t="s">
        <v>318</v>
      </c>
      <c r="I185" s="111">
        <f>(CoVo*60+(30*CoTal))/60</f>
        <v>4</v>
      </c>
      <c r="J185" s="9"/>
      <c r="K185" s="9"/>
      <c r="L185" s="9"/>
      <c r="M185" s="200">
        <v>1</v>
      </c>
      <c r="N185" s="27"/>
      <c r="O185" s="27"/>
      <c r="P185" s="9"/>
      <c r="Q185" s="9"/>
      <c r="R185" s="170">
        <f>I185*M185*($I$74/(2080*$R$137))+O185</f>
        <v>115.38461538461539</v>
      </c>
      <c r="S185" s="89"/>
      <c r="T185" s="9"/>
    </row>
    <row r="186" spans="4:20">
      <c r="D186" s="7"/>
      <c r="E186" s="8"/>
      <c r="F186" s="8"/>
      <c r="G186" s="13"/>
      <c r="H186" s="9" t="s">
        <v>319</v>
      </c>
      <c r="I186" s="111">
        <f>(CoVo*60+(80*CoSeg))/20</f>
        <v>8</v>
      </c>
      <c r="J186" s="9"/>
      <c r="K186" s="9"/>
      <c r="L186" s="9"/>
      <c r="M186" s="200">
        <v>1</v>
      </c>
      <c r="N186" s="27"/>
      <c r="O186" s="27"/>
      <c r="P186" s="9"/>
      <c r="Q186" s="9"/>
      <c r="R186" s="170">
        <f>I186*M186*($I$74/(2080*$R$137))+O186</f>
        <v>230.76923076923077</v>
      </c>
      <c r="S186" s="89"/>
      <c r="T186" s="9"/>
    </row>
    <row r="187" spans="4:20">
      <c r="D187" s="7"/>
      <c r="E187" s="8"/>
      <c r="F187" s="8"/>
      <c r="G187" s="13"/>
      <c r="H187" s="9" t="s">
        <v>320</v>
      </c>
      <c r="I187" s="111">
        <f>IF(CoPho&gt;0,60*CoSeg)/60</f>
        <v>1.25</v>
      </c>
      <c r="J187" s="9"/>
      <c r="K187" s="9"/>
      <c r="L187" s="9"/>
      <c r="M187" s="200">
        <v>1</v>
      </c>
      <c r="N187" s="27"/>
      <c r="O187" s="27"/>
      <c r="P187" s="9"/>
      <c r="Q187" s="9"/>
      <c r="R187" s="170">
        <f>I187*M187*($I$74/(2080*$R$137))+O187</f>
        <v>36.057692307692307</v>
      </c>
      <c r="S187" s="89"/>
      <c r="T187" s="9"/>
    </row>
    <row r="188" spans="4:20">
      <c r="D188" s="7"/>
      <c r="E188" s="9"/>
      <c r="F188" s="8"/>
      <c r="G188" s="13"/>
      <c r="H188" s="167" t="s">
        <v>261</v>
      </c>
      <c r="I188" s="172" t="s">
        <v>275</v>
      </c>
      <c r="J188" s="9"/>
      <c r="K188" s="9"/>
      <c r="L188" s="9"/>
      <c r="M188" s="9"/>
      <c r="N188" s="27"/>
      <c r="O188" s="197">
        <f>IF(CoPho&gt;=1,(600+(200*CoSeg-200)),0)</f>
        <v>650</v>
      </c>
      <c r="P188" s="9"/>
      <c r="Q188" s="9"/>
      <c r="R188" s="170">
        <f t="shared" ref="R188:R193" si="9">O188</f>
        <v>650</v>
      </c>
      <c r="S188" s="89"/>
      <c r="T188" s="9"/>
    </row>
    <row r="189" spans="4:20">
      <c r="D189" s="7"/>
      <c r="E189" s="9"/>
      <c r="F189" s="8"/>
      <c r="G189" s="13"/>
      <c r="H189" s="167" t="s">
        <v>262</v>
      </c>
      <c r="I189" s="172" t="s">
        <v>275</v>
      </c>
      <c r="J189" s="9"/>
      <c r="K189" s="9"/>
      <c r="L189" s="9"/>
      <c r="M189" s="9"/>
      <c r="N189" s="27"/>
      <c r="O189" s="27">
        <f>IF(CoPho&gt;0,200*CoTal,0)</f>
        <v>1200</v>
      </c>
      <c r="P189" s="9"/>
      <c r="Q189" s="9"/>
      <c r="R189" s="170">
        <f t="shared" si="9"/>
        <v>1200</v>
      </c>
      <c r="S189" s="89"/>
      <c r="T189" s="9"/>
    </row>
    <row r="190" spans="4:20">
      <c r="D190" s="7"/>
      <c r="E190" s="9"/>
      <c r="F190" s="8"/>
      <c r="G190" s="13"/>
      <c r="H190" s="24" t="s">
        <v>263</v>
      </c>
      <c r="I190" s="172" t="s">
        <v>275</v>
      </c>
      <c r="J190" s="9"/>
      <c r="K190" s="9"/>
      <c r="L190" s="9"/>
      <c r="M190" s="9"/>
      <c r="N190" s="27"/>
      <c r="O190" s="27">
        <f>IF(CoPho&gt;0,250*CoLoc,0)</f>
        <v>0</v>
      </c>
      <c r="P190" s="9"/>
      <c r="Q190" s="9"/>
      <c r="R190" s="170">
        <f t="shared" si="9"/>
        <v>0</v>
      </c>
      <c r="S190" s="89"/>
      <c r="T190" s="9"/>
    </row>
    <row r="191" spans="4:20">
      <c r="D191" s="7"/>
      <c r="E191" s="9"/>
      <c r="F191" s="8"/>
      <c r="G191" s="13"/>
      <c r="H191" s="45" t="s">
        <v>266</v>
      </c>
      <c r="I191" s="172" t="s">
        <v>275</v>
      </c>
      <c r="J191" s="9"/>
      <c r="K191" s="9"/>
      <c r="L191" s="9"/>
      <c r="M191" s="9"/>
      <c r="N191" s="27"/>
      <c r="O191" s="27">
        <f>IF(CoPho&gt;0,100*CoTal,0)</f>
        <v>600</v>
      </c>
      <c r="P191" s="9"/>
      <c r="Q191" s="9"/>
      <c r="R191" s="170">
        <f t="shared" si="9"/>
        <v>600</v>
      </c>
      <c r="S191" s="89"/>
      <c r="T191" s="9"/>
    </row>
    <row r="192" spans="4:20">
      <c r="D192" s="7"/>
      <c r="E192" s="9"/>
      <c r="F192" s="8"/>
      <c r="G192" s="13"/>
      <c r="H192" s="45" t="s">
        <v>267</v>
      </c>
      <c r="I192" s="172" t="s">
        <v>275</v>
      </c>
      <c r="J192" s="9"/>
      <c r="K192" s="9"/>
      <c r="L192" s="9"/>
      <c r="M192" s="9"/>
      <c r="N192" s="27"/>
      <c r="O192" s="27">
        <f>IF(CoPho&gt;0,50*CoLoc,0)</f>
        <v>0</v>
      </c>
      <c r="P192" s="9"/>
      <c r="Q192" s="9"/>
      <c r="R192" s="170">
        <f t="shared" si="9"/>
        <v>0</v>
      </c>
      <c r="S192" s="89"/>
      <c r="T192" s="9"/>
    </row>
    <row r="193" spans="4:20">
      <c r="D193" s="7"/>
      <c r="E193" s="9"/>
      <c r="F193" s="8"/>
      <c r="G193" s="13" t="s">
        <v>274</v>
      </c>
      <c r="H193" s="45" t="s">
        <v>273</v>
      </c>
      <c r="I193" s="172" t="s">
        <v>275</v>
      </c>
      <c r="J193" s="9"/>
      <c r="K193" s="9"/>
      <c r="L193" s="9"/>
      <c r="M193" s="9"/>
      <c r="N193" s="27"/>
      <c r="O193" s="27">
        <f>IF(CoPho=0,100*CoSeg+(250*CoMed*CoSeg),0)</f>
        <v>0</v>
      </c>
      <c r="P193" s="9"/>
      <c r="Q193" s="9"/>
      <c r="R193" s="170">
        <f t="shared" si="9"/>
        <v>0</v>
      </c>
      <c r="S193" s="89"/>
      <c r="T193" s="9"/>
    </row>
    <row r="194" spans="4:20">
      <c r="D194" s="7"/>
      <c r="E194" s="9"/>
      <c r="F194" s="8"/>
      <c r="G194" s="28" t="s">
        <v>322</v>
      </c>
      <c r="H194" s="45"/>
      <c r="I194" s="199">
        <f>SUM(I185:I187)</f>
        <v>13.25</v>
      </c>
      <c r="J194" s="9"/>
      <c r="K194" s="9"/>
      <c r="L194" s="9"/>
      <c r="M194" s="9"/>
      <c r="N194" s="27"/>
      <c r="O194" s="27"/>
      <c r="P194" s="9"/>
      <c r="Q194" s="9"/>
      <c r="R194" s="170"/>
      <c r="S194" s="89"/>
      <c r="T194" s="9"/>
    </row>
    <row r="195" spans="4:20">
      <c r="D195" s="7"/>
      <c r="E195" s="9"/>
      <c r="F195" s="9"/>
      <c r="G195" s="9"/>
      <c r="H195" s="9"/>
      <c r="I195" s="43"/>
      <c r="J195" s="9"/>
      <c r="K195" s="9"/>
      <c r="L195" s="9"/>
      <c r="M195" s="9"/>
      <c r="N195" s="27"/>
      <c r="O195" s="27"/>
      <c r="P195" s="9"/>
      <c r="Q195" s="9"/>
      <c r="R195" s="78">
        <f>SUM(R185:R193)</f>
        <v>2832.2115384615386</v>
      </c>
      <c r="S195" s="171">
        <f>R195/$R$311</f>
        <v>5.8820760077092089E-2</v>
      </c>
      <c r="T195" s="9"/>
    </row>
    <row r="196" spans="4:20">
      <c r="D196" s="7"/>
      <c r="E196" s="8" t="s">
        <v>37</v>
      </c>
      <c r="F196" s="9"/>
      <c r="G196" s="9"/>
      <c r="H196" s="9"/>
      <c r="I196" s="9"/>
      <c r="J196" s="9"/>
      <c r="K196" s="9"/>
      <c r="L196" s="9"/>
      <c r="M196" s="9"/>
      <c r="N196" s="27"/>
      <c r="O196" s="27"/>
      <c r="P196" s="9"/>
      <c r="Q196" s="9"/>
      <c r="R196" s="9"/>
      <c r="S196" s="11"/>
      <c r="T196" s="9"/>
    </row>
    <row r="197" spans="4:20">
      <c r="D197" s="7"/>
      <c r="E197" s="9"/>
      <c r="F197" s="9"/>
      <c r="G197" s="8" t="s">
        <v>45</v>
      </c>
      <c r="H197" s="8" t="s">
        <v>46</v>
      </c>
      <c r="I197" s="8" t="s">
        <v>47</v>
      </c>
      <c r="J197" s="13"/>
      <c r="K197" s="27"/>
      <c r="L197" s="22" t="s">
        <v>48</v>
      </c>
      <c r="M197" s="27"/>
      <c r="N197" s="27"/>
      <c r="O197" s="20" t="s">
        <v>49</v>
      </c>
      <c r="P197" s="9"/>
      <c r="Q197" s="9"/>
      <c r="R197" s="20" t="s">
        <v>50</v>
      </c>
      <c r="S197" s="23"/>
      <c r="T197" s="27"/>
    </row>
    <row r="198" spans="4:20">
      <c r="D198" s="7"/>
      <c r="E198" s="9"/>
      <c r="F198" s="9"/>
      <c r="G198" s="9"/>
      <c r="H198" s="9"/>
      <c r="I198" s="9"/>
      <c r="J198" s="9"/>
      <c r="K198" s="10" t="s">
        <v>38</v>
      </c>
      <c r="L198" s="10" t="s">
        <v>39</v>
      </c>
      <c r="M198" s="10"/>
      <c r="N198" s="20" t="s">
        <v>201</v>
      </c>
      <c r="O198" s="20" t="s">
        <v>51</v>
      </c>
      <c r="P198" s="9"/>
      <c r="Q198" s="9"/>
      <c r="R198" s="46">
        <v>0.25</v>
      </c>
      <c r="S198" s="23"/>
      <c r="T198" s="22"/>
    </row>
    <row r="199" spans="4:20">
      <c r="D199" s="7"/>
      <c r="E199" s="9"/>
      <c r="F199" s="9"/>
      <c r="G199" s="13" t="s">
        <v>52</v>
      </c>
      <c r="H199" s="9" t="s">
        <v>73</v>
      </c>
      <c r="I199" s="38">
        <f>CoTech*2</f>
        <v>2</v>
      </c>
      <c r="J199" s="9"/>
      <c r="K199" s="63">
        <v>0.5</v>
      </c>
      <c r="L199" s="70">
        <v>0.5</v>
      </c>
      <c r="M199" s="10"/>
      <c r="N199" s="20"/>
      <c r="O199" s="27"/>
      <c r="P199" s="9"/>
      <c r="Q199" s="9"/>
      <c r="R199" s="79">
        <f>(K199*I199*($I$78/(2080*$R$198)))+(L199*$I199*($I$79/(2080*$R$198)))+O199</f>
        <v>232.69230769230771</v>
      </c>
      <c r="S199" s="11"/>
      <c r="T199" s="9"/>
    </row>
    <row r="200" spans="4:20">
      <c r="D200" s="7"/>
      <c r="E200" s="9"/>
      <c r="F200" s="9"/>
      <c r="G200" s="9"/>
      <c r="H200" s="13" t="s">
        <v>53</v>
      </c>
      <c r="I200" s="107">
        <f>SUM(TL,TP)*(0.5)</f>
        <v>0.5</v>
      </c>
      <c r="J200" s="9"/>
      <c r="K200" s="63">
        <v>0.5</v>
      </c>
      <c r="L200" s="70">
        <v>0.5</v>
      </c>
      <c r="M200" s="9"/>
      <c r="N200" s="27"/>
      <c r="O200" s="27"/>
      <c r="P200" s="9"/>
      <c r="Q200" s="9"/>
      <c r="R200" s="79">
        <f>(K200*I200*($I$78/(2080*$R$198)))+(L200*$I200*($I$79/(2080*$R$198)))+O200</f>
        <v>58.173076923076927</v>
      </c>
      <c r="S200" s="11"/>
      <c r="T200" s="9"/>
    </row>
    <row r="201" spans="4:20">
      <c r="D201" s="7"/>
      <c r="E201" s="9"/>
      <c r="F201" s="9"/>
      <c r="G201" s="13"/>
      <c r="H201" s="13" t="s">
        <v>54</v>
      </c>
      <c r="I201" s="107">
        <f>(TL+TP)*(CoKic*0.25)</f>
        <v>1</v>
      </c>
      <c r="J201" s="9"/>
      <c r="K201" s="63">
        <v>0.5</v>
      </c>
      <c r="L201" s="70">
        <v>0.5</v>
      </c>
      <c r="M201" s="9"/>
      <c r="N201" s="27"/>
      <c r="O201" s="27"/>
      <c r="P201" s="9"/>
      <c r="Q201" s="9"/>
      <c r="R201" s="79">
        <f>(K201*I201*($I$78/(2080*$R$198)))+(L201*$I201*($I$79/(2080*$R$198)))+O201</f>
        <v>116.34615384615385</v>
      </c>
      <c r="S201" s="11"/>
      <c r="T201" s="9"/>
    </row>
    <row r="202" spans="4:20">
      <c r="D202" s="7"/>
      <c r="E202" s="9"/>
      <c r="F202" s="9"/>
      <c r="G202" s="13"/>
      <c r="H202" s="13" t="s">
        <v>55</v>
      </c>
      <c r="I202" s="107">
        <f>SUM(TL,TP)*0.5*CoSeg^0.1</f>
        <v>0.51128259128178644</v>
      </c>
      <c r="J202" s="9"/>
      <c r="K202" s="63">
        <v>0.5</v>
      </c>
      <c r="L202" s="70">
        <v>0.5</v>
      </c>
      <c r="M202" s="9"/>
      <c r="N202" s="27"/>
      <c r="O202" s="27"/>
      <c r="P202" s="9"/>
      <c r="Q202" s="9"/>
      <c r="R202" s="79">
        <f>(K202*I202*($I$78/(2080*$R$198)))+(L202*$I202*($I$79/(2080*$R$198)))+O202</f>
        <v>59.485763024130925</v>
      </c>
      <c r="S202" s="11"/>
      <c r="T202" s="9"/>
    </row>
    <row r="203" spans="4:20">
      <c r="D203" s="7"/>
      <c r="E203" s="9"/>
      <c r="F203" s="9"/>
      <c r="G203" s="13"/>
      <c r="H203" s="13"/>
      <c r="I203" s="38"/>
      <c r="J203" s="9"/>
      <c r="K203" s="9"/>
      <c r="L203" s="9"/>
      <c r="M203" s="9"/>
      <c r="N203" s="27"/>
      <c r="O203" s="27"/>
      <c r="P203" s="9"/>
      <c r="Q203" s="9"/>
      <c r="R203" s="9"/>
      <c r="S203" s="11"/>
      <c r="T203" s="9"/>
    </row>
    <row r="204" spans="4:20">
      <c r="D204" s="7"/>
      <c r="E204" s="9"/>
      <c r="F204" s="9"/>
      <c r="G204" s="13" t="s">
        <v>21</v>
      </c>
      <c r="H204" s="13" t="s">
        <v>149</v>
      </c>
      <c r="I204" s="107">
        <f>DeCon*(TL*(2+CoDif+CoDis)*CoSeg^0.5+TP*2)</f>
        <v>3.9626825856998695</v>
      </c>
      <c r="J204" s="9"/>
      <c r="K204" s="63">
        <v>0.5</v>
      </c>
      <c r="L204" s="70">
        <v>0.5</v>
      </c>
      <c r="M204" s="9"/>
      <c r="N204" s="27"/>
      <c r="O204" s="27"/>
      <c r="P204" s="9"/>
      <c r="Q204" s="9"/>
      <c r="R204" s="79">
        <f t="shared" ref="R204:R209" si="10">(K204*I204*($I$78/(2080*$R$198)))+(L204*$I204*($I$79/(2080*$R$198)))+O204</f>
        <v>461.04287775931175</v>
      </c>
      <c r="S204" s="11"/>
      <c r="T204" s="9"/>
    </row>
    <row r="205" spans="4:20">
      <c r="D205" s="7"/>
      <c r="E205" s="9"/>
      <c r="F205" s="9"/>
      <c r="G205" s="13"/>
      <c r="H205" s="13" t="s">
        <v>57</v>
      </c>
      <c r="I205" s="107">
        <f>(TL*2+TP*0.5)*CoSeg^0.8</f>
        <v>2.3908812494750924</v>
      </c>
      <c r="J205" s="9"/>
      <c r="K205" s="63">
        <v>0.5</v>
      </c>
      <c r="L205" s="70">
        <v>0.5</v>
      </c>
      <c r="M205" s="9"/>
      <c r="N205" s="27"/>
      <c r="O205" s="27"/>
      <c r="P205" s="9"/>
      <c r="Q205" s="9"/>
      <c r="R205" s="79">
        <f t="shared" si="10"/>
        <v>278.16983767931367</v>
      </c>
      <c r="S205" s="11"/>
      <c r="T205" s="9"/>
    </row>
    <row r="206" spans="4:20">
      <c r="D206" s="7"/>
      <c r="E206" s="9"/>
      <c r="F206" s="9"/>
      <c r="G206" s="13"/>
      <c r="H206" s="13" t="s">
        <v>74</v>
      </c>
      <c r="I206" s="38">
        <f>TL*CoLMS*CoCli</f>
        <v>2.4400614851948221</v>
      </c>
      <c r="J206" s="9"/>
      <c r="K206" s="63">
        <v>0.5</v>
      </c>
      <c r="L206" s="70">
        <v>0.5</v>
      </c>
      <c r="M206" s="9"/>
      <c r="N206" s="27"/>
      <c r="O206" s="27"/>
      <c r="P206" s="9"/>
      <c r="Q206" s="9"/>
      <c r="R206" s="79">
        <f t="shared" si="10"/>
        <v>283.89176895055147</v>
      </c>
      <c r="S206" s="11"/>
      <c r="T206" s="9"/>
    </row>
    <row r="207" spans="4:20">
      <c r="D207" s="7"/>
      <c r="E207" s="9"/>
      <c r="F207" s="9"/>
      <c r="G207" s="13"/>
      <c r="H207" s="13" t="s">
        <v>75</v>
      </c>
      <c r="I207" s="38">
        <f>CoGui*4</f>
        <v>4</v>
      </c>
      <c r="J207" s="9"/>
      <c r="K207" s="63">
        <v>0.5</v>
      </c>
      <c r="L207" s="70">
        <v>0.5</v>
      </c>
      <c r="M207" s="9"/>
      <c r="N207" s="27"/>
      <c r="O207" s="27"/>
      <c r="P207" s="9"/>
      <c r="Q207" s="9"/>
      <c r="R207" s="79">
        <f t="shared" si="10"/>
        <v>465.38461538461542</v>
      </c>
      <c r="S207" s="11"/>
      <c r="T207" s="9"/>
    </row>
    <row r="208" spans="4:20">
      <c r="D208" s="7"/>
      <c r="E208" s="9"/>
      <c r="F208" s="9"/>
      <c r="G208" s="13"/>
      <c r="H208" s="13" t="s">
        <v>59</v>
      </c>
      <c r="I208" s="38">
        <v>0</v>
      </c>
      <c r="J208" s="9"/>
      <c r="K208" s="63">
        <v>0.5</v>
      </c>
      <c r="L208" s="70">
        <v>0.5</v>
      </c>
      <c r="M208" s="9"/>
      <c r="N208" s="27"/>
      <c r="O208" s="27"/>
      <c r="P208" s="9"/>
      <c r="Q208" s="9"/>
      <c r="R208" s="79">
        <f t="shared" si="10"/>
        <v>0</v>
      </c>
      <c r="S208" s="11"/>
      <c r="T208" s="9"/>
    </row>
    <row r="209" spans="4:20">
      <c r="D209" s="7"/>
      <c r="E209" s="9"/>
      <c r="F209" s="9"/>
      <c r="G209" s="13"/>
      <c r="H209" s="13" t="s">
        <v>58</v>
      </c>
      <c r="I209" s="38">
        <f>((TL*1)+(TP*1))*DePRO</f>
        <v>1</v>
      </c>
      <c r="J209" s="9"/>
      <c r="K209" s="63">
        <v>0.5</v>
      </c>
      <c r="L209" s="70">
        <v>0.5</v>
      </c>
      <c r="M209" s="9"/>
      <c r="N209" s="27"/>
      <c r="O209" s="27"/>
      <c r="P209" s="9"/>
      <c r="Q209" s="9"/>
      <c r="R209" s="79">
        <f t="shared" si="10"/>
        <v>116.34615384615385</v>
      </c>
      <c r="S209" s="11"/>
      <c r="T209" s="9"/>
    </row>
    <row r="210" spans="4:20">
      <c r="D210" s="7"/>
      <c r="E210" s="9"/>
      <c r="F210" s="9"/>
      <c r="G210" s="13"/>
      <c r="H210" s="13"/>
      <c r="I210" s="38"/>
      <c r="J210" s="9"/>
      <c r="K210" s="9"/>
      <c r="L210" s="9"/>
      <c r="M210" s="9"/>
      <c r="N210" s="27"/>
      <c r="O210" s="27"/>
      <c r="P210" s="9"/>
      <c r="Q210" s="9"/>
      <c r="R210" s="9"/>
      <c r="S210" s="11"/>
      <c r="T210" s="9"/>
    </row>
    <row r="211" spans="4:20">
      <c r="D211" s="7"/>
      <c r="E211" s="9"/>
      <c r="F211" s="9"/>
      <c r="G211" s="13" t="s">
        <v>60</v>
      </c>
      <c r="H211" s="13" t="s">
        <v>76</v>
      </c>
      <c r="I211" s="38">
        <f>(MMInt*0.3*CoInt)</f>
        <v>14.336149143116645</v>
      </c>
      <c r="J211" s="9"/>
      <c r="K211" s="63">
        <v>0.5</v>
      </c>
      <c r="L211" s="70">
        <v>0.5</v>
      </c>
      <c r="M211" s="9"/>
      <c r="N211" s="27"/>
      <c r="O211" s="27"/>
      <c r="P211" s="9"/>
      <c r="Q211" s="9"/>
      <c r="R211" s="79">
        <f t="shared" ref="R211:R216" si="11">(K211*I211*($I$78/(2080*$R$198)))+(L211*$I211*($I$79/(2080*$R$198)))+O211</f>
        <v>1667.9558137664558</v>
      </c>
      <c r="S211" s="11"/>
      <c r="T211" s="9"/>
    </row>
    <row r="212" spans="4:20">
      <c r="D212" s="7"/>
      <c r="E212" s="9"/>
      <c r="F212" s="9"/>
      <c r="G212" s="13"/>
      <c r="H212" s="13" t="s">
        <v>77</v>
      </c>
      <c r="I212" s="38">
        <f>MMInt*(CoInt-1)*0.5</f>
        <v>13.493296311829873</v>
      </c>
      <c r="J212" s="9"/>
      <c r="K212" s="63">
        <v>0.5</v>
      </c>
      <c r="L212" s="70">
        <v>0.5</v>
      </c>
      <c r="M212" s="9"/>
      <c r="N212" s="27"/>
      <c r="O212" s="27"/>
      <c r="P212" s="9"/>
      <c r="Q212" s="9"/>
      <c r="R212" s="79">
        <f t="shared" si="11"/>
        <v>1569.8931285878989</v>
      </c>
      <c r="S212" s="11"/>
      <c r="T212" s="9"/>
    </row>
    <row r="213" spans="4:20">
      <c r="D213" s="7"/>
      <c r="E213" s="9"/>
      <c r="F213" s="9"/>
      <c r="G213" s="13"/>
      <c r="H213" s="13" t="s">
        <v>174</v>
      </c>
      <c r="I213" s="38">
        <f>CoTech*4</f>
        <v>4</v>
      </c>
      <c r="J213" s="9"/>
      <c r="K213" s="63">
        <v>0.5</v>
      </c>
      <c r="L213" s="70">
        <v>0.5</v>
      </c>
      <c r="M213" s="9"/>
      <c r="N213" s="27"/>
      <c r="O213" s="27"/>
      <c r="P213" s="9"/>
      <c r="Q213" s="9"/>
      <c r="R213" s="79">
        <f t="shared" si="11"/>
        <v>465.38461538461542</v>
      </c>
      <c r="S213" s="11"/>
      <c r="T213" s="9"/>
    </row>
    <row r="214" spans="4:20">
      <c r="D214" s="7"/>
      <c r="E214" s="9"/>
      <c r="F214" s="9"/>
      <c r="G214" s="13"/>
      <c r="H214" s="13" t="s">
        <v>251</v>
      </c>
      <c r="I214" s="38">
        <f>Co508Com*CoSeg^0.5*40</f>
        <v>44.721359549995796</v>
      </c>
      <c r="J214" s="9"/>
      <c r="K214" s="63">
        <v>1</v>
      </c>
      <c r="L214" s="70">
        <v>0</v>
      </c>
      <c r="M214" s="9"/>
      <c r="N214" s="27"/>
      <c r="O214" s="27"/>
      <c r="P214" s="9"/>
      <c r="Q214" s="9"/>
      <c r="R214" s="79">
        <f t="shared" si="11"/>
        <v>4300.1307259611349</v>
      </c>
      <c r="S214" s="11"/>
      <c r="T214" s="9"/>
    </row>
    <row r="215" spans="4:20">
      <c r="D215" s="7"/>
      <c r="E215" s="9"/>
      <c r="F215" s="9"/>
      <c r="G215" s="13"/>
      <c r="H215" s="13" t="s">
        <v>166</v>
      </c>
      <c r="I215" s="38">
        <f>TL*CoLMS*0.5*CoCli</f>
        <v>1.2200307425974111</v>
      </c>
      <c r="J215" s="9"/>
      <c r="K215" s="63">
        <v>0.5</v>
      </c>
      <c r="L215" s="70">
        <v>0.5</v>
      </c>
      <c r="M215" s="9"/>
      <c r="N215" s="27"/>
      <c r="O215" s="27"/>
      <c r="P215" s="9"/>
      <c r="Q215" s="9"/>
      <c r="R215" s="79">
        <f t="shared" si="11"/>
        <v>141.94588447527573</v>
      </c>
      <c r="S215" s="11"/>
      <c r="T215" s="9"/>
    </row>
    <row r="216" spans="4:20">
      <c r="D216" s="7"/>
      <c r="E216" s="9"/>
      <c r="F216" s="9"/>
      <c r="G216" s="13"/>
      <c r="H216" s="13" t="s">
        <v>78</v>
      </c>
      <c r="I216" s="38">
        <f>TL*CoLMS*1</f>
        <v>1</v>
      </c>
      <c r="J216" s="9"/>
      <c r="K216" s="63">
        <v>0.5</v>
      </c>
      <c r="L216" s="70">
        <v>0.5</v>
      </c>
      <c r="M216" s="9"/>
      <c r="N216" s="27"/>
      <c r="O216" s="27"/>
      <c r="P216" s="9"/>
      <c r="Q216" s="9"/>
      <c r="R216" s="79">
        <f t="shared" si="11"/>
        <v>116.34615384615385</v>
      </c>
      <c r="S216" s="11"/>
      <c r="T216" s="9"/>
    </row>
    <row r="217" spans="4:20">
      <c r="D217" s="7"/>
      <c r="E217" s="9"/>
      <c r="F217" s="9"/>
      <c r="G217" s="13"/>
      <c r="H217" s="13" t="s">
        <v>58</v>
      </c>
      <c r="I217" s="38">
        <f>((TL*2)+(TP*1))*DeAlph</f>
        <v>2</v>
      </c>
      <c r="J217" s="9"/>
      <c r="K217" s="63"/>
      <c r="L217" s="70"/>
      <c r="M217" s="9"/>
      <c r="N217" s="27"/>
      <c r="O217" s="27"/>
      <c r="P217" s="9"/>
      <c r="Q217" s="9"/>
      <c r="R217" s="79"/>
      <c r="S217" s="11"/>
      <c r="T217" s="9"/>
    </row>
    <row r="218" spans="4:20">
      <c r="D218" s="7"/>
      <c r="E218" s="9"/>
      <c r="F218" s="9"/>
      <c r="G218" s="13"/>
      <c r="H218" s="13" t="s">
        <v>61</v>
      </c>
      <c r="I218" s="38">
        <f>SUM(TL,TP)*1</f>
        <v>1</v>
      </c>
      <c r="J218" s="9"/>
      <c r="K218" s="63">
        <v>0.5</v>
      </c>
      <c r="L218" s="70">
        <v>0.5</v>
      </c>
      <c r="M218" s="9"/>
      <c r="N218" s="27"/>
      <c r="O218" s="27"/>
      <c r="P218" s="9"/>
      <c r="Q218" s="9"/>
      <c r="R218" s="79">
        <f>(K218*I218*($I$78/(2080*$R$198)))+(L218*$I218*($I$79/(2080*$R$198)))+O218</f>
        <v>116.34615384615385</v>
      </c>
      <c r="S218" s="11"/>
      <c r="T218" s="9"/>
    </row>
    <row r="219" spans="4:20">
      <c r="D219" s="7"/>
      <c r="E219" s="9"/>
      <c r="F219" s="9"/>
      <c r="G219" s="13"/>
      <c r="H219" s="13"/>
      <c r="I219" s="38"/>
      <c r="J219" s="9"/>
      <c r="K219" s="9"/>
      <c r="L219" s="9"/>
      <c r="M219" s="9"/>
      <c r="N219" s="27"/>
      <c r="O219" s="27"/>
      <c r="P219" s="9"/>
      <c r="Q219" s="9"/>
      <c r="R219" s="9"/>
      <c r="S219" s="11"/>
      <c r="T219" s="9"/>
    </row>
    <row r="220" spans="4:20">
      <c r="D220" s="7"/>
      <c r="E220" s="9"/>
      <c r="F220" s="9"/>
      <c r="G220" s="13" t="s">
        <v>62</v>
      </c>
      <c r="H220" s="13" t="s">
        <v>163</v>
      </c>
      <c r="I220" s="107">
        <f>SUM(TL,TP)*1</f>
        <v>1</v>
      </c>
      <c r="J220" s="9"/>
      <c r="K220" s="63">
        <v>0.5</v>
      </c>
      <c r="L220" s="70">
        <v>0.5</v>
      </c>
      <c r="M220" s="9"/>
      <c r="N220" s="27"/>
      <c r="O220" s="27"/>
      <c r="P220" s="9"/>
      <c r="Q220" s="9"/>
      <c r="R220" s="79">
        <f>(K220*I220*($I$78/(2080*$R$198)))+(L220*$I220*($I$79/(2080*$R$198)))+O220</f>
        <v>116.34615384615385</v>
      </c>
      <c r="S220" s="11"/>
      <c r="T220" s="9"/>
    </row>
    <row r="221" spans="4:20">
      <c r="D221" s="7"/>
      <c r="E221" s="9"/>
      <c r="F221" s="9"/>
      <c r="G221" s="9"/>
      <c r="H221" s="13" t="s">
        <v>24</v>
      </c>
      <c r="I221" s="38">
        <f>MMBeCha/5</f>
        <v>1.9303872986657034</v>
      </c>
      <c r="J221" s="9"/>
      <c r="K221" s="63">
        <v>0.5</v>
      </c>
      <c r="L221" s="70">
        <v>0.5</v>
      </c>
      <c r="M221" s="9"/>
      <c r="N221" s="27"/>
      <c r="O221" s="27"/>
      <c r="P221" s="9"/>
      <c r="Q221" s="9"/>
      <c r="R221" s="79">
        <f>(K221*I221*($I$78/(2080*$R$198)))+(L221*$I221*($I$79/(2080*$R$198)))+O221</f>
        <v>224.59313763322126</v>
      </c>
      <c r="S221" s="11"/>
      <c r="T221" s="9"/>
    </row>
    <row r="222" spans="4:20">
      <c r="D222" s="7"/>
      <c r="E222" s="9"/>
      <c r="F222" s="9"/>
      <c r="G222" s="9"/>
      <c r="H222" s="13" t="s">
        <v>175</v>
      </c>
      <c r="I222" s="38">
        <f>CoTech*2</f>
        <v>2</v>
      </c>
      <c r="J222" s="9"/>
      <c r="K222" s="63">
        <v>0.5</v>
      </c>
      <c r="L222" s="70">
        <v>0.5</v>
      </c>
      <c r="M222" s="9"/>
      <c r="N222" s="27"/>
      <c r="O222" s="27"/>
      <c r="P222" s="9"/>
      <c r="Q222" s="9"/>
      <c r="R222" s="79">
        <f>(K222*I222*($I$78/(2080*$R$198)))+(L222*$I222*($I$79/(2080*$R$198)))+O222</f>
        <v>232.69230769230771</v>
      </c>
      <c r="S222" s="11"/>
      <c r="T222" s="9"/>
    </row>
    <row r="223" spans="4:20">
      <c r="D223" s="7"/>
      <c r="E223" s="9"/>
      <c r="F223" s="9"/>
      <c r="G223" s="13"/>
      <c r="H223" s="13" t="s">
        <v>79</v>
      </c>
      <c r="I223" s="38">
        <f>TL*CoLMS*0.5*CoCli</f>
        <v>1.2200307425974111</v>
      </c>
      <c r="J223" s="9"/>
      <c r="K223" s="63">
        <v>0.5</v>
      </c>
      <c r="L223" s="70">
        <v>0.5</v>
      </c>
      <c r="M223" s="9"/>
      <c r="N223" s="27"/>
      <c r="O223" s="27"/>
      <c r="P223" s="9"/>
      <c r="Q223" s="9"/>
      <c r="R223" s="79">
        <f>(K223*I223*($I$78/(2080*$R$198)))+(L223*$I223*($I$79/(2080*$R$198)))+O223</f>
        <v>141.94588447527573</v>
      </c>
      <c r="S223" s="11"/>
      <c r="T223" s="9"/>
    </row>
    <row r="224" spans="4:20">
      <c r="D224" s="7"/>
      <c r="E224" s="9"/>
      <c r="F224" s="9"/>
      <c r="G224" s="13"/>
      <c r="H224" s="13" t="s">
        <v>58</v>
      </c>
      <c r="I224" s="38">
        <f>((TL*2)+(TP*1))*DeAlph</f>
        <v>2</v>
      </c>
      <c r="J224" s="9"/>
      <c r="K224" s="63">
        <v>0.5</v>
      </c>
      <c r="L224" s="70">
        <v>0.5</v>
      </c>
      <c r="M224" s="9"/>
      <c r="N224" s="27"/>
      <c r="O224" s="27"/>
      <c r="P224" s="9"/>
      <c r="Q224" s="9"/>
      <c r="R224" s="79">
        <f>(K224*I224*($I$78/(2080*$R$198)))+(L224*$I224*($I$79/(2080*$R$198)))+O224</f>
        <v>232.69230769230771</v>
      </c>
      <c r="S224" s="11"/>
      <c r="T224" s="9"/>
    </row>
    <row r="225" spans="4:20">
      <c r="D225" s="7"/>
      <c r="E225" s="9"/>
      <c r="F225" s="9"/>
      <c r="G225" s="13"/>
      <c r="H225" s="13"/>
      <c r="I225" s="38"/>
      <c r="J225" s="9"/>
      <c r="K225" s="9"/>
      <c r="L225" s="9"/>
      <c r="M225" s="9"/>
      <c r="N225" s="27"/>
      <c r="O225" s="27"/>
      <c r="P225" s="9"/>
      <c r="Q225" s="9"/>
      <c r="R225" s="9"/>
      <c r="S225" s="11"/>
      <c r="T225" s="9"/>
    </row>
    <row r="226" spans="4:20">
      <c r="D226" s="7"/>
      <c r="E226" s="9"/>
      <c r="F226" s="9"/>
      <c r="G226" s="13" t="s">
        <v>64</v>
      </c>
      <c r="H226" s="13" t="s">
        <v>163</v>
      </c>
      <c r="I226" s="107">
        <f>SUM(TL,TP)*0.5</f>
        <v>0.5</v>
      </c>
      <c r="J226" s="9"/>
      <c r="K226" s="63">
        <v>0.5</v>
      </c>
      <c r="L226" s="70">
        <v>0.5</v>
      </c>
      <c r="M226" s="9"/>
      <c r="N226" s="27"/>
      <c r="O226" s="27"/>
      <c r="P226" s="9"/>
      <c r="Q226" s="9"/>
      <c r="R226" s="79">
        <f>(K226*I226*($I$78/(2080*$R$198)))+(L226*$I226*($I$79/(2080*$R$198)))+O226</f>
        <v>58.173076923076927</v>
      </c>
      <c r="S226" s="11"/>
      <c r="T226" s="9"/>
    </row>
    <row r="227" spans="4:20">
      <c r="D227" s="7"/>
      <c r="E227" s="9"/>
      <c r="F227" s="9"/>
      <c r="G227" s="9"/>
      <c r="H227" s="13" t="s">
        <v>58</v>
      </c>
      <c r="I227" s="38">
        <f>((TL*1)+(TP*1))*DeAlph</f>
        <v>1</v>
      </c>
      <c r="J227" s="9"/>
      <c r="K227" s="63">
        <v>0.5</v>
      </c>
      <c r="L227" s="70">
        <v>0.5</v>
      </c>
      <c r="M227" s="9"/>
      <c r="N227" s="27"/>
      <c r="O227" s="27"/>
      <c r="P227" s="9"/>
      <c r="Q227" s="9"/>
      <c r="R227" s="79">
        <f>(K227*I227*($I$78/(2080*$R$198)))+(L227*$I227*($I$79/(2080*$R$198)))+O227</f>
        <v>116.34615384615385</v>
      </c>
      <c r="S227" s="11"/>
      <c r="T227" s="9"/>
    </row>
    <row r="228" spans="4:20">
      <c r="D228" s="7"/>
      <c r="E228" s="9"/>
      <c r="F228" s="9"/>
      <c r="G228" s="13"/>
      <c r="H228" s="13" t="s">
        <v>80</v>
      </c>
      <c r="I228" s="38">
        <f>TL*CoLMS*2.5</f>
        <v>2.5</v>
      </c>
      <c r="J228" s="9"/>
      <c r="K228" s="63">
        <v>0.5</v>
      </c>
      <c r="L228" s="70">
        <v>0.5</v>
      </c>
      <c r="M228" s="9"/>
      <c r="N228" s="27"/>
      <c r="O228" s="27"/>
      <c r="P228" s="9"/>
      <c r="Q228" s="9"/>
      <c r="R228" s="79">
        <f>(K228*I228*($I$78/(2080*$R$198)))+(L228*$I228*($I$79/(2080*$R$198)))+O228</f>
        <v>290.86538461538464</v>
      </c>
      <c r="S228" s="11"/>
      <c r="T228" s="9"/>
    </row>
    <row r="229" spans="4:20">
      <c r="D229" s="7"/>
      <c r="E229" s="9"/>
      <c r="F229" s="9"/>
      <c r="G229" s="13"/>
      <c r="H229" s="13" t="s">
        <v>65</v>
      </c>
      <c r="I229" s="38">
        <f>SUM(TL,TP)*1</f>
        <v>1</v>
      </c>
      <c r="J229" s="9"/>
      <c r="K229" s="63">
        <v>0.5</v>
      </c>
      <c r="L229" s="70">
        <v>0.5</v>
      </c>
      <c r="M229" s="9"/>
      <c r="N229" s="27"/>
      <c r="O229" s="27"/>
      <c r="P229" s="9"/>
      <c r="Q229" s="9"/>
      <c r="R229" s="79">
        <f>(K229*I229*($I$78/(2080*$R$198)))+(L229*$I229*($I$79/(2080*$R$198)))+O229</f>
        <v>116.34615384615385</v>
      </c>
      <c r="S229" s="11"/>
      <c r="T229" s="9"/>
    </row>
    <row r="230" spans="4:20">
      <c r="D230" s="7"/>
      <c r="E230" s="9"/>
      <c r="F230" s="9"/>
      <c r="G230" s="9"/>
      <c r="H230" s="13" t="s">
        <v>61</v>
      </c>
      <c r="I230" s="38">
        <f>SUM(TL,TP)*1</f>
        <v>1</v>
      </c>
      <c r="J230" s="9"/>
      <c r="K230" s="63">
        <v>0.5</v>
      </c>
      <c r="L230" s="70">
        <v>0.5</v>
      </c>
      <c r="M230" s="9"/>
      <c r="N230" s="27"/>
      <c r="O230" s="27"/>
      <c r="P230" s="9"/>
      <c r="Q230" s="9"/>
      <c r="R230" s="79">
        <f>(K230*I230*($I$78/(2080*$R$198)))+(L230*$I230*($I$79/(2080*$R$198)))+O230</f>
        <v>116.34615384615385</v>
      </c>
      <c r="S230" s="11"/>
      <c r="T230" s="9"/>
    </row>
    <row r="231" spans="4:20">
      <c r="D231" s="7"/>
      <c r="E231" s="9"/>
      <c r="F231" s="9"/>
      <c r="G231" s="9"/>
      <c r="H231" s="13"/>
      <c r="I231" s="43"/>
      <c r="J231" s="9"/>
      <c r="K231" s="9"/>
      <c r="L231" s="9"/>
      <c r="M231" s="9"/>
      <c r="N231" s="27"/>
      <c r="O231" s="27"/>
      <c r="P231" s="9"/>
      <c r="Q231" s="9"/>
      <c r="R231" s="9"/>
      <c r="S231" s="11"/>
      <c r="T231" s="9"/>
    </row>
    <row r="232" spans="4:20">
      <c r="D232" s="7"/>
      <c r="E232" s="9"/>
      <c r="F232" s="8" t="s">
        <v>81</v>
      </c>
      <c r="G232" s="9"/>
      <c r="H232" s="9"/>
      <c r="I232" s="44">
        <f>SUM(I199:I230)</f>
        <v>113.72616170045443</v>
      </c>
      <c r="J232" s="9"/>
      <c r="K232" s="9"/>
      <c r="L232" s="9"/>
      <c r="M232" s="9"/>
      <c r="N232" s="27"/>
      <c r="O232" s="27"/>
      <c r="P232" s="9"/>
      <c r="Q232" s="9"/>
      <c r="R232" s="86">
        <f>SUM(R199:R230)</f>
        <v>12095.881745389495</v>
      </c>
      <c r="S232" s="89">
        <f>R232/$R$311</f>
        <v>0.25121321215042974</v>
      </c>
      <c r="T232" s="9"/>
    </row>
    <row r="233" spans="4:20">
      <c r="D233" s="7"/>
      <c r="E233" s="8" t="s">
        <v>285</v>
      </c>
      <c r="F233" s="8"/>
      <c r="G233" s="9"/>
      <c r="H233" s="9"/>
      <c r="I233" s="44"/>
      <c r="J233" s="9"/>
      <c r="K233" s="66">
        <f>SUMPRODUCT(K198:K230,$I198:$I230)/$I232</f>
        <v>0.68782555795086253</v>
      </c>
      <c r="L233" s="66">
        <f>SUMPRODUCT(L198:L230,$I198:$I230)/$I232</f>
        <v>0.29458833899162035</v>
      </c>
      <c r="M233" s="9"/>
      <c r="N233" s="27"/>
      <c r="O233" s="27"/>
      <c r="P233" s="9"/>
      <c r="Q233" s="9"/>
      <c r="R233" s="9"/>
      <c r="S233" s="11"/>
      <c r="T233" s="9"/>
    </row>
    <row r="234" spans="4:20">
      <c r="D234" s="7"/>
      <c r="E234" s="8" t="s">
        <v>203</v>
      </c>
      <c r="F234" s="8"/>
      <c r="G234" s="9"/>
      <c r="H234" s="9"/>
      <c r="I234" s="44"/>
      <c r="J234" s="9"/>
      <c r="K234" s="66">
        <f>L78/L81</f>
        <v>0.5</v>
      </c>
      <c r="L234" s="67">
        <f>1-K234</f>
        <v>0.5</v>
      </c>
      <c r="M234" s="9"/>
      <c r="N234" s="27"/>
      <c r="O234" s="27"/>
      <c r="P234" s="9"/>
      <c r="Q234" s="9"/>
      <c r="R234" s="9"/>
      <c r="S234" s="11"/>
      <c r="T234" s="9"/>
    </row>
    <row r="235" spans="4:20">
      <c r="D235" s="7"/>
      <c r="E235" s="9"/>
      <c r="F235" s="9"/>
      <c r="G235" s="9"/>
      <c r="H235" s="9"/>
      <c r="I235" s="9"/>
      <c r="J235" s="9"/>
      <c r="K235" s="9"/>
      <c r="L235" s="9"/>
      <c r="M235" s="9"/>
      <c r="N235" s="27"/>
      <c r="O235" s="27"/>
      <c r="P235" s="9"/>
      <c r="Q235" s="9"/>
      <c r="R235" s="9"/>
      <c r="S235" s="11"/>
      <c r="T235" s="9"/>
    </row>
    <row r="236" spans="4:20">
      <c r="D236" s="7"/>
      <c r="E236" s="8" t="s">
        <v>82</v>
      </c>
      <c r="F236" s="9"/>
      <c r="G236" s="9"/>
      <c r="H236" s="9"/>
      <c r="I236" s="9"/>
      <c r="J236" s="9"/>
      <c r="K236" s="9"/>
      <c r="L236" s="9"/>
      <c r="M236" s="9"/>
      <c r="N236" s="27"/>
      <c r="O236" s="27"/>
      <c r="P236" s="9"/>
      <c r="Q236" s="9"/>
      <c r="R236" s="9"/>
      <c r="S236" s="11"/>
      <c r="T236" s="9"/>
    </row>
    <row r="237" spans="4:20">
      <c r="D237" s="7"/>
      <c r="E237" s="9"/>
      <c r="F237" s="9"/>
      <c r="G237" s="8" t="s">
        <v>45</v>
      </c>
      <c r="H237" s="8" t="s">
        <v>46</v>
      </c>
      <c r="I237" s="8" t="s">
        <v>47</v>
      </c>
      <c r="J237" s="13"/>
      <c r="K237" s="27"/>
      <c r="L237" s="22" t="s">
        <v>48</v>
      </c>
      <c r="M237" s="27"/>
      <c r="N237" s="27"/>
      <c r="O237" s="20" t="s">
        <v>49</v>
      </c>
      <c r="P237" s="9"/>
      <c r="Q237" s="9"/>
      <c r="R237" s="20" t="s">
        <v>50</v>
      </c>
      <c r="S237" s="23"/>
      <c r="T237" s="27"/>
    </row>
    <row r="238" spans="4:20">
      <c r="D238" s="7"/>
      <c r="E238" s="9"/>
      <c r="F238" s="9"/>
      <c r="G238" s="9"/>
      <c r="H238" s="9"/>
      <c r="I238" s="9"/>
      <c r="J238" s="9"/>
      <c r="K238" s="10" t="s">
        <v>40</v>
      </c>
      <c r="L238" s="10"/>
      <c r="M238" s="10"/>
      <c r="N238" s="20" t="s">
        <v>201</v>
      </c>
      <c r="O238" s="20" t="s">
        <v>51</v>
      </c>
      <c r="P238" s="9"/>
      <c r="Q238" s="9"/>
      <c r="R238" s="46">
        <v>0.9</v>
      </c>
      <c r="S238" s="23"/>
      <c r="T238" s="22"/>
    </row>
    <row r="239" spans="4:20">
      <c r="D239" s="7"/>
      <c r="E239" s="9"/>
      <c r="F239" s="9"/>
      <c r="G239" s="13" t="s">
        <v>52</v>
      </c>
      <c r="H239" s="13" t="s">
        <v>53</v>
      </c>
      <c r="I239" s="38">
        <f>QA*0.5</f>
        <v>0.5</v>
      </c>
      <c r="J239" s="9"/>
      <c r="K239" s="83"/>
      <c r="L239" s="9"/>
      <c r="M239" s="9"/>
      <c r="N239" s="63">
        <v>1</v>
      </c>
      <c r="O239" s="9"/>
      <c r="P239" s="9"/>
      <c r="Q239" s="9"/>
      <c r="R239" s="79">
        <f>I239*N239*($P$83)+O239</f>
        <v>13.23529411764706</v>
      </c>
      <c r="S239" s="11"/>
      <c r="T239" s="9"/>
    </row>
    <row r="240" spans="4:20">
      <c r="D240" s="7"/>
      <c r="E240" s="9"/>
      <c r="F240" s="9"/>
      <c r="G240" s="13"/>
      <c r="H240" s="13" t="s">
        <v>54</v>
      </c>
      <c r="I240" s="38">
        <f>QA*CoKic*0.25</f>
        <v>1</v>
      </c>
      <c r="J240" s="9"/>
      <c r="K240" s="83"/>
      <c r="L240" s="9"/>
      <c r="M240" s="9"/>
      <c r="N240" s="63">
        <v>1</v>
      </c>
      <c r="O240" s="9"/>
      <c r="P240" s="9"/>
      <c r="Q240" s="9"/>
      <c r="R240" s="79">
        <f>I240*N240*($P$83)+O240</f>
        <v>26.47058823529412</v>
      </c>
      <c r="S240" s="11"/>
      <c r="T240" s="9"/>
    </row>
    <row r="241" spans="4:20">
      <c r="D241" s="7"/>
      <c r="E241" s="9"/>
      <c r="F241" s="9"/>
      <c r="G241" s="13"/>
      <c r="H241" s="13" t="s">
        <v>55</v>
      </c>
      <c r="I241" s="38">
        <f>QA*0.5*CoSeg^0.1</f>
        <v>0.51128259128178644</v>
      </c>
      <c r="J241" s="9"/>
      <c r="K241" s="83"/>
      <c r="L241" s="9"/>
      <c r="M241" s="9"/>
      <c r="N241" s="63">
        <v>1</v>
      </c>
      <c r="O241" s="9"/>
      <c r="P241" s="9"/>
      <c r="Q241" s="9"/>
      <c r="R241" s="79">
        <f>I241*N241*($P$83)+O241</f>
        <v>13.533950945694349</v>
      </c>
      <c r="S241" s="11"/>
      <c r="T241" s="9"/>
    </row>
    <row r="242" spans="4:20">
      <c r="D242" s="7"/>
      <c r="E242" s="9"/>
      <c r="F242" s="9"/>
      <c r="G242" s="13"/>
      <c r="H242" s="29"/>
      <c r="I242" s="110"/>
      <c r="J242" s="9"/>
      <c r="K242" s="83"/>
      <c r="L242" s="9"/>
      <c r="M242" s="9"/>
      <c r="N242" s="27"/>
      <c r="O242" s="9"/>
      <c r="P242" s="9"/>
      <c r="Q242" s="9"/>
      <c r="R242" s="9"/>
      <c r="S242" s="11"/>
      <c r="T242" s="9"/>
    </row>
    <row r="243" spans="4:20">
      <c r="D243" s="7"/>
      <c r="E243" s="9"/>
      <c r="F243" s="9"/>
      <c r="G243" s="13" t="s">
        <v>21</v>
      </c>
      <c r="H243" s="13" t="s">
        <v>57</v>
      </c>
      <c r="I243" s="107">
        <f>(QA*2)*CoSeg^0.8</f>
        <v>2.3908812494750924</v>
      </c>
      <c r="J243" s="9"/>
      <c r="K243" s="83"/>
      <c r="L243" s="9"/>
      <c r="M243" s="9"/>
      <c r="N243" s="63">
        <v>1</v>
      </c>
      <c r="O243" s="9"/>
      <c r="P243" s="9"/>
      <c r="Q243" s="9"/>
      <c r="R243" s="79">
        <f>I243*N243*($P$83)+O243</f>
        <v>63.288033074340689</v>
      </c>
      <c r="S243" s="11"/>
      <c r="T243" s="9"/>
    </row>
    <row r="244" spans="4:20">
      <c r="D244" s="7"/>
      <c r="E244" s="9"/>
      <c r="F244" s="9"/>
      <c r="G244" s="13"/>
      <c r="H244" s="13" t="s">
        <v>161</v>
      </c>
      <c r="I244" s="38">
        <f>1*CoSeg^0.5*CoCli</f>
        <v>2.7280716750873597</v>
      </c>
      <c r="J244" s="9"/>
      <c r="K244" s="83"/>
      <c r="L244" s="9"/>
      <c r="M244" s="9"/>
      <c r="N244" s="63">
        <v>1</v>
      </c>
      <c r="O244" s="9"/>
      <c r="P244" s="9"/>
      <c r="Q244" s="9"/>
      <c r="R244" s="79">
        <f>I244*N244*($P$83)+O244</f>
        <v>72.213661987606585</v>
      </c>
      <c r="S244" s="11"/>
      <c r="T244" s="9"/>
    </row>
    <row r="245" spans="4:20">
      <c r="D245" s="7"/>
      <c r="E245" s="9"/>
      <c r="F245" s="9"/>
      <c r="G245" s="13"/>
      <c r="H245" s="13" t="s">
        <v>162</v>
      </c>
      <c r="I245" s="38">
        <f>AsRev*CoSeg*1.2</f>
        <v>6</v>
      </c>
      <c r="J245" s="9"/>
      <c r="K245" s="83"/>
      <c r="L245" s="9"/>
      <c r="M245" s="9"/>
      <c r="N245" s="63">
        <v>1</v>
      </c>
      <c r="O245" s="9"/>
      <c r="P245" s="9"/>
      <c r="Q245" s="9"/>
      <c r="R245" s="79">
        <f>I245*N245*($P$83)+O245</f>
        <v>158.82352941176472</v>
      </c>
      <c r="S245" s="11"/>
      <c r="T245" s="9"/>
    </row>
    <row r="246" spans="4:20">
      <c r="D246" s="7"/>
      <c r="E246" s="9"/>
      <c r="F246" s="9"/>
      <c r="G246" s="13"/>
      <c r="H246" s="13" t="s">
        <v>58</v>
      </c>
      <c r="I246" s="38">
        <f>1*DePRO*1.3</f>
        <v>1.3</v>
      </c>
      <c r="J246" s="9"/>
      <c r="K246" s="83"/>
      <c r="L246" s="9"/>
      <c r="M246" s="9"/>
      <c r="N246" s="63">
        <v>1</v>
      </c>
      <c r="O246" s="9"/>
      <c r="P246" s="9"/>
      <c r="Q246" s="9"/>
      <c r="R246" s="79">
        <f>I246*N246*($P$83)+O246</f>
        <v>34.411764705882355</v>
      </c>
      <c r="S246" s="11"/>
      <c r="T246" s="9"/>
    </row>
    <row r="247" spans="4:20">
      <c r="D247" s="7"/>
      <c r="E247" s="9"/>
      <c r="F247" s="9"/>
      <c r="G247" s="13"/>
      <c r="H247" s="29"/>
      <c r="I247" s="110"/>
      <c r="J247" s="9"/>
      <c r="K247" s="83"/>
      <c r="L247" s="9"/>
      <c r="M247" s="9"/>
      <c r="N247" s="63"/>
      <c r="O247" s="9"/>
      <c r="P247" s="9"/>
      <c r="Q247" s="9"/>
      <c r="R247" s="79"/>
      <c r="S247" s="11"/>
      <c r="T247" s="9"/>
    </row>
    <row r="248" spans="4:20">
      <c r="D248" s="7"/>
      <c r="E248" s="9"/>
      <c r="F248" s="9"/>
      <c r="G248" s="13" t="s">
        <v>60</v>
      </c>
      <c r="H248" s="13" t="s">
        <v>83</v>
      </c>
      <c r="I248" s="38">
        <f>AsRev*CoSeg*1.2</f>
        <v>6</v>
      </c>
      <c r="J248" s="9"/>
      <c r="K248" s="83"/>
      <c r="L248" s="9"/>
      <c r="M248" s="9"/>
      <c r="N248" s="63">
        <v>1</v>
      </c>
      <c r="O248" s="9"/>
      <c r="P248" s="9"/>
      <c r="Q248" s="9"/>
      <c r="R248" s="79">
        <f>I248*N248*($P$83)+O248</f>
        <v>158.82352941176472</v>
      </c>
      <c r="S248" s="11"/>
      <c r="T248" s="9"/>
    </row>
    <row r="249" spans="4:20">
      <c r="D249" s="7"/>
      <c r="E249" s="9"/>
      <c r="F249" s="9"/>
      <c r="G249" s="13"/>
      <c r="H249" s="13" t="s">
        <v>84</v>
      </c>
      <c r="I249" s="38">
        <f>(AsRev+0.1*CoInt)*CoSeg*1.3</f>
        <v>6.8733269653740363</v>
      </c>
      <c r="J249" s="9"/>
      <c r="K249" s="83"/>
      <c r="L249" s="9"/>
      <c r="M249" s="9"/>
      <c r="N249" s="63">
        <v>1</v>
      </c>
      <c r="O249" s="9"/>
      <c r="P249" s="9"/>
      <c r="Q249" s="9"/>
      <c r="R249" s="79">
        <f>I249*N249*($P$83)+O249</f>
        <v>181.94100790695981</v>
      </c>
      <c r="S249" s="11"/>
      <c r="T249" s="9"/>
    </row>
    <row r="250" spans="4:20">
      <c r="D250" s="7"/>
      <c r="E250" s="9"/>
      <c r="F250" s="9"/>
      <c r="G250" s="13"/>
      <c r="H250" s="13" t="s">
        <v>58</v>
      </c>
      <c r="I250" s="38">
        <f>2*DePRO*1.5</f>
        <v>3</v>
      </c>
      <c r="J250" s="9"/>
      <c r="K250" s="83"/>
      <c r="L250" s="9"/>
      <c r="M250" s="9"/>
      <c r="N250" s="63">
        <v>1</v>
      </c>
      <c r="O250" s="9"/>
      <c r="P250" s="9"/>
      <c r="Q250" s="9"/>
      <c r="R250" s="79">
        <f>I250*N250*($P$83)+O250</f>
        <v>79.411764705882362</v>
      </c>
      <c r="S250" s="11"/>
      <c r="T250" s="9"/>
    </row>
    <row r="251" spans="4:20">
      <c r="D251" s="7"/>
      <c r="E251" s="9"/>
      <c r="F251" s="9"/>
      <c r="G251" s="13"/>
      <c r="H251" s="13" t="s">
        <v>61</v>
      </c>
      <c r="I251" s="38">
        <f>1*QA</f>
        <v>1</v>
      </c>
      <c r="J251" s="9"/>
      <c r="K251" s="83"/>
      <c r="L251" s="9"/>
      <c r="M251" s="9"/>
      <c r="N251" s="63">
        <v>1</v>
      </c>
      <c r="O251" s="9"/>
      <c r="P251" s="9"/>
      <c r="Q251" s="9"/>
      <c r="R251" s="79">
        <f>I251*N251*($P$83)+O251</f>
        <v>26.47058823529412</v>
      </c>
      <c r="S251" s="11"/>
      <c r="T251" s="9"/>
    </row>
    <row r="252" spans="4:20">
      <c r="D252" s="7"/>
      <c r="E252" s="9"/>
      <c r="F252" s="9"/>
      <c r="G252" s="13"/>
      <c r="H252" s="29"/>
      <c r="I252" s="110"/>
      <c r="J252" s="9"/>
      <c r="K252" s="83"/>
      <c r="L252" s="9"/>
      <c r="M252" s="9"/>
      <c r="N252" s="27"/>
      <c r="O252" s="9"/>
      <c r="P252" s="9"/>
      <c r="Q252" s="9"/>
      <c r="R252" s="9"/>
      <c r="S252" s="11"/>
      <c r="T252" s="9"/>
    </row>
    <row r="253" spans="4:20">
      <c r="D253" s="7"/>
      <c r="E253" s="9"/>
      <c r="F253" s="9"/>
      <c r="G253" s="13" t="s">
        <v>62</v>
      </c>
      <c r="H253" s="13" t="s">
        <v>163</v>
      </c>
      <c r="I253" s="38">
        <f>QA*1*1.3</f>
        <v>1.3</v>
      </c>
      <c r="J253" s="9"/>
      <c r="K253" s="83"/>
      <c r="L253" s="9"/>
      <c r="M253" s="9"/>
      <c r="N253" s="63">
        <v>1</v>
      </c>
      <c r="O253" s="9"/>
      <c r="P253" s="9"/>
      <c r="Q253" s="9"/>
      <c r="R253" s="79">
        <f>I253*N253*($P$83)+O253</f>
        <v>34.411764705882355</v>
      </c>
      <c r="S253" s="11"/>
      <c r="T253" s="9"/>
    </row>
    <row r="254" spans="4:20">
      <c r="D254" s="7"/>
      <c r="E254" s="9"/>
      <c r="F254" s="9"/>
      <c r="G254" s="13"/>
      <c r="H254" s="13" t="s">
        <v>85</v>
      </c>
      <c r="I254" s="38">
        <f>AsRev*0.25*CoSeg*1.2</f>
        <v>1.5</v>
      </c>
      <c r="J254" s="9"/>
      <c r="K254" s="83"/>
      <c r="L254" s="9"/>
      <c r="M254" s="9"/>
      <c r="N254" s="63">
        <v>1</v>
      </c>
      <c r="O254" s="9"/>
      <c r="P254" s="9"/>
      <c r="Q254" s="9"/>
      <c r="R254" s="79">
        <f>I254*N254*($P$83)+O254</f>
        <v>39.705882352941181</v>
      </c>
      <c r="S254" s="11"/>
      <c r="T254" s="9"/>
    </row>
    <row r="255" spans="4:20">
      <c r="D255" s="7"/>
      <c r="E255" s="9"/>
      <c r="F255" s="9"/>
      <c r="G255" s="13"/>
      <c r="H255" s="13" t="s">
        <v>86</v>
      </c>
      <c r="I255" s="38">
        <f>(AsRev+0.1*CoInt)*CoSeg*1.5</f>
        <v>7.9307618831238873</v>
      </c>
      <c r="J255" s="9"/>
      <c r="K255" s="83"/>
      <c r="L255" s="9"/>
      <c r="M255" s="9"/>
      <c r="N255" s="63">
        <v>1</v>
      </c>
      <c r="O255" s="9"/>
      <c r="P255" s="9"/>
      <c r="Q255" s="9"/>
      <c r="R255" s="79">
        <f>I255*N255*($P$83)+O255</f>
        <v>209.9319322003382</v>
      </c>
      <c r="S255" s="11"/>
      <c r="T255" s="9"/>
    </row>
    <row r="256" spans="4:20">
      <c r="D256" s="7"/>
      <c r="E256" s="9"/>
      <c r="F256" s="9"/>
      <c r="G256" s="13"/>
      <c r="H256" s="13" t="s">
        <v>58</v>
      </c>
      <c r="I256" s="38">
        <f>1*QA*2</f>
        <v>2</v>
      </c>
      <c r="J256" s="9"/>
      <c r="K256" s="83"/>
      <c r="L256" s="9"/>
      <c r="M256" s="9"/>
      <c r="N256" s="63">
        <v>1</v>
      </c>
      <c r="O256" s="9"/>
      <c r="P256" s="9"/>
      <c r="Q256" s="9"/>
      <c r="R256" s="79">
        <f>I256*N256*($P$83)+O256</f>
        <v>52.941176470588239</v>
      </c>
      <c r="S256" s="11"/>
      <c r="T256" s="9"/>
    </row>
    <row r="257" spans="4:20">
      <c r="D257" s="7"/>
      <c r="E257" s="9"/>
      <c r="F257" s="9"/>
      <c r="G257" s="13"/>
      <c r="H257" s="29"/>
      <c r="I257" s="38"/>
      <c r="J257" s="9"/>
      <c r="K257" s="83"/>
      <c r="L257" s="9"/>
      <c r="M257" s="9"/>
      <c r="N257" s="27"/>
      <c r="O257" s="9"/>
      <c r="P257" s="9"/>
      <c r="Q257" s="9"/>
      <c r="R257" s="9"/>
      <c r="S257" s="11"/>
      <c r="T257" s="9"/>
    </row>
    <row r="258" spans="4:20">
      <c r="D258" s="7"/>
      <c r="E258" s="9"/>
      <c r="F258" s="9"/>
      <c r="G258" s="13" t="s">
        <v>64</v>
      </c>
      <c r="H258" s="13" t="s">
        <v>163</v>
      </c>
      <c r="I258" s="38">
        <f>0.5*QA</f>
        <v>0.5</v>
      </c>
      <c r="J258" s="9"/>
      <c r="K258" s="83"/>
      <c r="L258" s="9"/>
      <c r="M258" s="9"/>
      <c r="N258" s="63">
        <v>1</v>
      </c>
      <c r="O258" s="9"/>
      <c r="P258" s="9"/>
      <c r="Q258" s="9"/>
      <c r="R258" s="79">
        <f t="shared" ref="R258:R263" si="12">I258*N258*($P$83)+O258</f>
        <v>13.23529411764706</v>
      </c>
      <c r="S258" s="11"/>
      <c r="T258" s="9"/>
    </row>
    <row r="259" spans="4:20">
      <c r="D259" s="7"/>
      <c r="E259" s="9"/>
      <c r="F259" s="9"/>
      <c r="G259" s="13"/>
      <c r="H259" s="13" t="s">
        <v>85</v>
      </c>
      <c r="I259" s="38">
        <f>AsRev*0.125*CoSeg*1.2</f>
        <v>0.75</v>
      </c>
      <c r="J259" s="9"/>
      <c r="K259" s="83"/>
      <c r="L259" s="9"/>
      <c r="M259" s="9"/>
      <c r="N259" s="63">
        <v>1</v>
      </c>
      <c r="O259" s="9"/>
      <c r="P259" s="9"/>
      <c r="Q259" s="9"/>
      <c r="R259" s="79">
        <f t="shared" si="12"/>
        <v>19.852941176470591</v>
      </c>
      <c r="S259" s="11"/>
      <c r="T259" s="9"/>
    </row>
    <row r="260" spans="4:20">
      <c r="D260" s="7"/>
      <c r="E260" s="9"/>
      <c r="F260" s="9"/>
      <c r="G260" s="13"/>
      <c r="H260" s="13" t="s">
        <v>87</v>
      </c>
      <c r="I260" s="38">
        <f>(AsRev+0.1*CoInt)*CoSeg*1.4</f>
        <v>7.4020444242489614</v>
      </c>
      <c r="J260" s="9"/>
      <c r="K260" s="83"/>
      <c r="L260" s="9"/>
      <c r="M260" s="9"/>
      <c r="N260" s="63">
        <v>1</v>
      </c>
      <c r="O260" s="9"/>
      <c r="P260" s="9"/>
      <c r="Q260" s="9"/>
      <c r="R260" s="79">
        <f t="shared" si="12"/>
        <v>195.936470053649</v>
      </c>
      <c r="S260" s="11"/>
      <c r="T260" s="9"/>
    </row>
    <row r="261" spans="4:20">
      <c r="D261" s="7"/>
      <c r="E261" s="9"/>
      <c r="F261" s="9"/>
      <c r="G261" s="13"/>
      <c r="H261" s="13" t="s">
        <v>58</v>
      </c>
      <c r="I261" s="38">
        <f>QA*1*1.5</f>
        <v>1.5</v>
      </c>
      <c r="J261" s="9"/>
      <c r="K261" s="83"/>
      <c r="L261" s="9"/>
      <c r="M261" s="9"/>
      <c r="N261" s="63">
        <v>1</v>
      </c>
      <c r="O261" s="9"/>
      <c r="P261" s="9"/>
      <c r="Q261" s="9"/>
      <c r="R261" s="79">
        <f t="shared" si="12"/>
        <v>39.705882352941181</v>
      </c>
      <c r="S261" s="11"/>
      <c r="T261" s="9"/>
    </row>
    <row r="262" spans="4:20">
      <c r="D262" s="7"/>
      <c r="E262" s="9"/>
      <c r="F262" s="9"/>
      <c r="G262" s="13"/>
      <c r="H262" s="13" t="s">
        <v>65</v>
      </c>
      <c r="I262" s="38">
        <f>QA*1</f>
        <v>1</v>
      </c>
      <c r="J262" s="9"/>
      <c r="K262" s="83"/>
      <c r="L262" s="8"/>
      <c r="M262" s="9"/>
      <c r="N262" s="63">
        <v>1</v>
      </c>
      <c r="O262" s="9"/>
      <c r="P262" s="9"/>
      <c r="Q262" s="9"/>
      <c r="R262" s="79">
        <f t="shared" si="12"/>
        <v>26.47058823529412</v>
      </c>
      <c r="S262" s="11"/>
      <c r="T262" s="9"/>
    </row>
    <row r="263" spans="4:20">
      <c r="D263" s="7"/>
      <c r="E263" s="9"/>
      <c r="F263" s="9"/>
      <c r="G263" s="9"/>
      <c r="H263" s="13" t="s">
        <v>61</v>
      </c>
      <c r="I263" s="38">
        <f>QA*1</f>
        <v>1</v>
      </c>
      <c r="J263" s="9"/>
      <c r="K263" s="83"/>
      <c r="L263" s="9"/>
      <c r="M263" s="9"/>
      <c r="N263" s="63">
        <v>1</v>
      </c>
      <c r="O263" s="9"/>
      <c r="P263" s="9"/>
      <c r="Q263" s="9"/>
      <c r="R263" s="79">
        <f t="shared" si="12"/>
        <v>26.47058823529412</v>
      </c>
      <c r="S263" s="11"/>
      <c r="T263" s="9"/>
    </row>
    <row r="264" spans="4:20">
      <c r="D264" s="7"/>
      <c r="E264" s="9"/>
      <c r="F264" s="9"/>
      <c r="G264" s="9"/>
      <c r="H264" s="29"/>
      <c r="I264" s="42"/>
      <c r="J264" s="9"/>
      <c r="K264" s="9"/>
      <c r="L264" s="9"/>
      <c r="M264" s="9"/>
      <c r="N264" s="27"/>
      <c r="O264" s="9"/>
      <c r="P264" s="9"/>
      <c r="Q264" s="9"/>
      <c r="R264" s="9"/>
      <c r="S264" s="11"/>
      <c r="T264" s="9"/>
    </row>
    <row r="265" spans="4:20">
      <c r="D265" s="7"/>
      <c r="E265" s="9"/>
      <c r="F265" s="8" t="s">
        <v>88</v>
      </c>
      <c r="G265" s="9"/>
      <c r="H265" s="9"/>
      <c r="I265" s="44">
        <f>SUM(I239:I263)</f>
        <v>56.186368788591125</v>
      </c>
      <c r="J265" s="9"/>
      <c r="K265" s="9"/>
      <c r="L265" s="9"/>
      <c r="M265" s="9"/>
      <c r="N265" s="27"/>
      <c r="O265" s="9"/>
      <c r="P265" s="9"/>
      <c r="Q265" s="9"/>
      <c r="R265" s="78">
        <f>SUM(R239:R263)</f>
        <v>1487.2862326391769</v>
      </c>
      <c r="S265" s="89">
        <f>R265/$R$311</f>
        <v>3.0888690858011353E-2</v>
      </c>
      <c r="T265" s="9"/>
    </row>
    <row r="266" spans="4:20">
      <c r="D266" s="7"/>
      <c r="E266" s="9"/>
      <c r="F266" s="9"/>
      <c r="G266" s="9"/>
      <c r="H266" s="9"/>
      <c r="I266" s="9"/>
      <c r="J266" s="9"/>
      <c r="K266" s="9"/>
      <c r="L266" s="9"/>
      <c r="M266" s="9"/>
      <c r="N266" s="27"/>
      <c r="O266" s="9"/>
      <c r="P266" s="9"/>
      <c r="Q266" s="9"/>
      <c r="R266" s="9"/>
      <c r="S266" s="11"/>
      <c r="T266" s="9"/>
    </row>
    <row r="267" spans="4:20">
      <c r="D267" s="7"/>
      <c r="E267" s="8" t="s">
        <v>41</v>
      </c>
      <c r="F267" s="9"/>
      <c r="G267" s="9"/>
      <c r="H267" s="9"/>
      <c r="I267" s="9"/>
      <c r="J267" s="9"/>
      <c r="K267" s="9"/>
      <c r="L267" s="9"/>
      <c r="M267" s="9"/>
      <c r="N267" s="27"/>
      <c r="O267" s="27"/>
      <c r="P267" s="9"/>
      <c r="Q267" s="9"/>
      <c r="R267" s="9"/>
      <c r="S267" s="11"/>
      <c r="T267" s="9"/>
    </row>
    <row r="268" spans="4:20">
      <c r="D268" s="7"/>
      <c r="E268" s="9"/>
      <c r="F268" s="9"/>
      <c r="G268" s="8" t="s">
        <v>45</v>
      </c>
      <c r="H268" s="8" t="s">
        <v>46</v>
      </c>
      <c r="I268" s="8" t="s">
        <v>47</v>
      </c>
      <c r="J268" s="13"/>
      <c r="K268" s="27"/>
      <c r="L268" s="22" t="s">
        <v>48</v>
      </c>
      <c r="M268" s="27"/>
      <c r="N268" s="27"/>
      <c r="O268" s="20" t="s">
        <v>49</v>
      </c>
      <c r="P268" s="9"/>
      <c r="Q268" s="9"/>
      <c r="R268" s="20" t="s">
        <v>50</v>
      </c>
      <c r="S268" s="23"/>
      <c r="T268" s="27"/>
    </row>
    <row r="269" spans="4:20">
      <c r="D269" s="7"/>
      <c r="E269" s="9"/>
      <c r="F269" s="9"/>
      <c r="G269" s="9"/>
      <c r="H269" s="9"/>
      <c r="I269" s="9"/>
      <c r="J269" s="9"/>
      <c r="K269" s="10" t="s">
        <v>42</v>
      </c>
      <c r="L269" s="10"/>
      <c r="M269" s="10"/>
      <c r="N269" s="20" t="s">
        <v>201</v>
      </c>
      <c r="O269" s="20" t="s">
        <v>51</v>
      </c>
      <c r="P269" s="9"/>
      <c r="Q269" s="9"/>
      <c r="R269" s="46">
        <v>0.75</v>
      </c>
      <c r="S269" s="23"/>
      <c r="T269" s="22"/>
    </row>
    <row r="270" spans="4:20">
      <c r="D270" s="7"/>
      <c r="E270" s="9"/>
      <c r="F270" s="9"/>
      <c r="G270" s="13" t="s">
        <v>52</v>
      </c>
      <c r="H270" s="9" t="s">
        <v>89</v>
      </c>
      <c r="I270" s="38">
        <f>SUM(TT)*0.05*CoDif</f>
        <v>0.35000000000000003</v>
      </c>
      <c r="J270" s="9"/>
      <c r="K270" s="69">
        <v>1</v>
      </c>
      <c r="L270" s="10"/>
      <c r="M270" s="10"/>
      <c r="N270" s="20"/>
      <c r="O270" s="20"/>
      <c r="P270" s="9"/>
      <c r="Q270" s="9"/>
      <c r="R270" s="79">
        <f t="shared" ref="R270:R277" si="13">I270*K270*($I$86/(2080*$R$269))+O270</f>
        <v>13.685897435897438</v>
      </c>
      <c r="S270" s="11"/>
      <c r="T270" s="9"/>
    </row>
    <row r="271" spans="4:20">
      <c r="D271" s="7"/>
      <c r="E271" s="9"/>
      <c r="F271" s="9"/>
      <c r="G271" s="9"/>
      <c r="H271" s="9" t="s">
        <v>90</v>
      </c>
      <c r="I271" s="38">
        <f>(2*PR+0.5*AP)*CoLoc*CoSeg^0.5</f>
        <v>0</v>
      </c>
      <c r="J271" s="9"/>
      <c r="K271" s="69">
        <v>1</v>
      </c>
      <c r="L271" s="10"/>
      <c r="M271" s="10"/>
      <c r="N271" s="20"/>
      <c r="O271" s="20"/>
      <c r="P271" s="9"/>
      <c r="Q271" s="9"/>
      <c r="R271" s="79">
        <f t="shared" si="13"/>
        <v>0</v>
      </c>
      <c r="S271" s="11"/>
      <c r="T271" s="9"/>
    </row>
    <row r="272" spans="4:20">
      <c r="D272" s="7"/>
      <c r="E272" s="9"/>
      <c r="F272" s="9"/>
      <c r="G272" s="9"/>
      <c r="H272" s="13" t="s">
        <v>91</v>
      </c>
      <c r="I272" s="38">
        <f>2*CoSeg^0.5</f>
        <v>2.2360679774997898</v>
      </c>
      <c r="J272" s="9"/>
      <c r="K272" s="69">
        <v>1</v>
      </c>
      <c r="L272" s="10"/>
      <c r="M272" s="10"/>
      <c r="N272" s="20"/>
      <c r="O272" s="20"/>
      <c r="P272" s="9"/>
      <c r="Q272" s="9"/>
      <c r="R272" s="79">
        <f t="shared" si="13"/>
        <v>87.435991427876402</v>
      </c>
      <c r="S272" s="11"/>
      <c r="T272" s="9"/>
    </row>
    <row r="273" spans="4:20">
      <c r="D273" s="7"/>
      <c r="E273" s="9"/>
      <c r="F273" s="9"/>
      <c r="G273" s="9"/>
      <c r="H273" s="13" t="s">
        <v>53</v>
      </c>
      <c r="I273" s="38">
        <f>(PR+AP)*0.5</f>
        <v>0.5</v>
      </c>
      <c r="J273" s="9"/>
      <c r="K273" s="69">
        <v>1</v>
      </c>
      <c r="L273" s="9"/>
      <c r="M273" s="9"/>
      <c r="N273" s="27"/>
      <c r="O273" s="9"/>
      <c r="P273" s="9"/>
      <c r="Q273" s="9"/>
      <c r="R273" s="79">
        <f t="shared" si="13"/>
        <v>19.551282051282051</v>
      </c>
      <c r="S273" s="11"/>
      <c r="T273" s="9"/>
    </row>
    <row r="274" spans="4:20">
      <c r="D274" s="7"/>
      <c r="E274" s="9"/>
      <c r="F274" s="9"/>
      <c r="G274" s="13"/>
      <c r="H274" s="13" t="s">
        <v>54</v>
      </c>
      <c r="I274" s="38">
        <f>(PR+AP)*CoKic</f>
        <v>4</v>
      </c>
      <c r="J274" s="9"/>
      <c r="K274" s="69">
        <v>1</v>
      </c>
      <c r="L274" s="9"/>
      <c r="M274" s="9"/>
      <c r="N274" s="27"/>
      <c r="O274" s="9"/>
      <c r="P274" s="9"/>
      <c r="Q274" s="9"/>
      <c r="R274" s="79">
        <f t="shared" si="13"/>
        <v>156.41025641025641</v>
      </c>
      <c r="S274" s="11"/>
      <c r="T274" s="9"/>
    </row>
    <row r="275" spans="4:20">
      <c r="D275" s="7"/>
      <c r="E275" s="9"/>
      <c r="F275" s="9"/>
      <c r="G275" s="13"/>
      <c r="H275" s="13" t="s">
        <v>92</v>
      </c>
      <c r="I275" s="38">
        <f>1*CoKic^0.3</f>
        <v>1.515716566510398</v>
      </c>
      <c r="J275" s="9"/>
      <c r="K275" s="69">
        <v>1</v>
      </c>
      <c r="L275" s="9"/>
      <c r="M275" s="9"/>
      <c r="N275" s="27"/>
      <c r="O275" s="9"/>
      <c r="P275" s="9"/>
      <c r="Q275" s="9"/>
      <c r="R275" s="79">
        <f t="shared" si="13"/>
        <v>59.268404203291205</v>
      </c>
      <c r="S275" s="11"/>
      <c r="T275" s="9"/>
    </row>
    <row r="276" spans="4:20">
      <c r="D276" s="7"/>
      <c r="E276" s="9"/>
      <c r="F276" s="9"/>
      <c r="G276" s="13"/>
      <c r="H276" s="13" t="s">
        <v>55</v>
      </c>
      <c r="I276" s="38">
        <f>(PR+AP)*0.5*CoSeg^0.1</f>
        <v>0.51128259128178644</v>
      </c>
      <c r="J276" s="9"/>
      <c r="K276" s="69">
        <v>1</v>
      </c>
      <c r="L276" s="9"/>
      <c r="M276" s="9"/>
      <c r="N276" s="27"/>
      <c r="O276" s="9"/>
      <c r="P276" s="9"/>
      <c r="Q276" s="9"/>
      <c r="R276" s="79">
        <f t="shared" si="13"/>
        <v>19.992460300121135</v>
      </c>
      <c r="S276" s="11"/>
      <c r="T276" s="9"/>
    </row>
    <row r="277" spans="4:20">
      <c r="D277" s="7"/>
      <c r="E277" s="9"/>
      <c r="F277" s="9"/>
      <c r="G277" s="13"/>
      <c r="H277" s="13" t="s">
        <v>93</v>
      </c>
      <c r="I277" s="38">
        <f>2*(TT^0.3)*(CoSeg^0.5)*((DeCon+DeAlph+DePRO)^0.3)*CoCli</f>
        <v>13.600396209539726</v>
      </c>
      <c r="J277" s="9"/>
      <c r="K277" s="69">
        <v>1</v>
      </c>
      <c r="L277" s="9"/>
      <c r="M277" s="9"/>
      <c r="N277" s="27"/>
      <c r="O277" s="9"/>
      <c r="P277" s="9"/>
      <c r="Q277" s="9"/>
      <c r="R277" s="79">
        <f t="shared" si="13"/>
        <v>531.81036460379698</v>
      </c>
      <c r="S277" s="11"/>
      <c r="T277" s="9"/>
    </row>
    <row r="278" spans="4:20">
      <c r="D278" s="7"/>
      <c r="E278" s="9"/>
      <c r="F278" s="9"/>
      <c r="G278" s="13"/>
      <c r="H278" s="249" t="s">
        <v>291</v>
      </c>
      <c r="I278" s="250">
        <f>SUM(L40:L41)</f>
        <v>36</v>
      </c>
      <c r="J278" s="9"/>
      <c r="K278" s="9"/>
      <c r="L278" s="9"/>
      <c r="M278" s="9"/>
      <c r="N278" s="27"/>
      <c r="O278" s="9"/>
      <c r="P278" s="9"/>
      <c r="Q278" s="9"/>
      <c r="R278" s="9"/>
      <c r="S278" s="11"/>
      <c r="T278" s="9"/>
    </row>
    <row r="279" spans="4:20">
      <c r="D279" s="7"/>
      <c r="E279" s="9"/>
      <c r="F279" s="9"/>
      <c r="G279" s="13" t="s">
        <v>21</v>
      </c>
      <c r="H279" s="13" t="s">
        <v>149</v>
      </c>
      <c r="I279" s="107">
        <f>DeCon*(PR*(2+CoDif+CoDis)*CoSeg^0.5+AP*2)</f>
        <v>3.9626825856998695</v>
      </c>
      <c r="J279" s="9"/>
      <c r="K279" s="69">
        <v>1</v>
      </c>
      <c r="L279" s="9"/>
      <c r="M279" s="9"/>
      <c r="N279" s="27"/>
      <c r="O279" s="9"/>
      <c r="P279" s="9"/>
      <c r="Q279" s="9"/>
      <c r="R279" s="79">
        <f>I279*K279*($I$86/(2080*$R$269))+O279</f>
        <v>154.95104982544362</v>
      </c>
      <c r="S279" s="11"/>
      <c r="T279" s="9"/>
    </row>
    <row r="280" spans="4:20">
      <c r="D280" s="7"/>
      <c r="E280" s="9"/>
      <c r="F280" s="9"/>
      <c r="G280" s="13"/>
      <c r="H280" s="13" t="s">
        <v>57</v>
      </c>
      <c r="I280" s="107">
        <f>(PR*2+AP*0.5)*CoSeg^0.8</f>
        <v>2.3908812494750924</v>
      </c>
      <c r="J280" s="9"/>
      <c r="K280" s="69">
        <v>1</v>
      </c>
      <c r="L280" s="9"/>
      <c r="M280" s="9"/>
      <c r="N280" s="27"/>
      <c r="O280" s="9"/>
      <c r="P280" s="9"/>
      <c r="Q280" s="9"/>
      <c r="R280" s="79">
        <f>I280*K280*($I$86/(2080*$R$269))+O280</f>
        <v>93.489587319218359</v>
      </c>
      <c r="S280" s="11"/>
      <c r="T280" s="9"/>
    </row>
    <row r="281" spans="4:20">
      <c r="D281" s="7"/>
      <c r="E281" s="9"/>
      <c r="F281" s="9"/>
      <c r="G281" s="13"/>
      <c r="H281" s="13" t="s">
        <v>170</v>
      </c>
      <c r="I281" s="38">
        <f>TT^0.8*0.75*CoSeg^0.8*CoCli</f>
        <v>10.376920170654756</v>
      </c>
      <c r="J281" s="9"/>
      <c r="K281" s="69">
        <v>1</v>
      </c>
      <c r="L281" s="9"/>
      <c r="M281" s="9"/>
      <c r="N281" s="27"/>
      <c r="O281" s="9"/>
      <c r="P281" s="9"/>
      <c r="Q281" s="9"/>
      <c r="R281" s="79">
        <f>I281*K281*($I$86/(2080*$R$269))+O281</f>
        <v>405.764186160218</v>
      </c>
      <c r="S281" s="11"/>
      <c r="T281" s="9"/>
    </row>
    <row r="282" spans="4:20">
      <c r="D282" s="7"/>
      <c r="E282" s="9"/>
      <c r="F282" s="9"/>
      <c r="G282" s="13"/>
      <c r="H282" s="13" t="s">
        <v>171</v>
      </c>
      <c r="I282" s="38">
        <f>(1+CoCli+CoDif)*CoSeg^0.8</f>
        <v>5.3078298757344156</v>
      </c>
      <c r="J282" s="9"/>
      <c r="K282" s="69">
        <v>1</v>
      </c>
      <c r="L282" s="9"/>
      <c r="M282" s="9"/>
      <c r="N282" s="27"/>
      <c r="O282" s="9"/>
      <c r="P282" s="9"/>
      <c r="Q282" s="9"/>
      <c r="R282" s="79">
        <f>I282*K282*($I$86/(2080*$R$269))+O282</f>
        <v>207.54975796140982</v>
      </c>
      <c r="S282" s="11"/>
      <c r="T282" s="9"/>
    </row>
    <row r="283" spans="4:20">
      <c r="D283" s="7"/>
      <c r="E283" s="9"/>
      <c r="F283" s="9"/>
      <c r="G283" s="13"/>
      <c r="H283" s="13" t="s">
        <v>58</v>
      </c>
      <c r="I283" s="38">
        <f>(PR*4*DePRO)</f>
        <v>4</v>
      </c>
      <c r="J283" s="9"/>
      <c r="K283" s="69">
        <v>1</v>
      </c>
      <c r="L283" s="9"/>
      <c r="M283" s="9"/>
      <c r="N283" s="27"/>
      <c r="O283" s="9"/>
      <c r="P283" s="9"/>
      <c r="Q283" s="9"/>
      <c r="R283" s="79">
        <f>I283*K283*($I$86/(2080*$R$269))+O283</f>
        <v>156.41025641025641</v>
      </c>
      <c r="S283" s="11"/>
      <c r="T283" s="9"/>
    </row>
    <row r="284" spans="4:20">
      <c r="D284" s="7"/>
      <c r="E284" s="9"/>
      <c r="F284" s="9"/>
      <c r="G284" s="13"/>
      <c r="H284" s="13"/>
      <c r="I284" s="38"/>
      <c r="J284" s="9"/>
      <c r="K284" s="9"/>
      <c r="L284" s="9"/>
      <c r="M284" s="9"/>
      <c r="N284" s="27"/>
      <c r="O284" s="9"/>
      <c r="P284" s="9"/>
      <c r="Q284" s="9"/>
      <c r="R284" s="9"/>
      <c r="S284" s="11"/>
      <c r="T284" s="9"/>
    </row>
    <row r="285" spans="4:20">
      <c r="D285" s="7"/>
      <c r="E285" s="9"/>
      <c r="F285" s="9"/>
      <c r="G285" s="13" t="s">
        <v>60</v>
      </c>
      <c r="H285" s="13" t="s">
        <v>170</v>
      </c>
      <c r="I285" s="38">
        <f>TT^0.8*1.25*CoSeg^0.8*CoCli</f>
        <v>17.294866951091258</v>
      </c>
      <c r="J285" s="9"/>
      <c r="K285" s="69">
        <v>1</v>
      </c>
      <c r="L285" s="9"/>
      <c r="M285" s="9"/>
      <c r="N285" s="27"/>
      <c r="O285" s="9"/>
      <c r="P285" s="9"/>
      <c r="Q285" s="9"/>
      <c r="R285" s="79">
        <f>I285*K285*($I$86/(2080*$R$269))+O285</f>
        <v>676.27364360036324</v>
      </c>
      <c r="S285" s="11"/>
      <c r="T285" s="9"/>
    </row>
    <row r="286" spans="4:20">
      <c r="D286" s="7"/>
      <c r="E286" s="9"/>
      <c r="F286" s="9"/>
      <c r="G286" s="13"/>
      <c r="H286" s="13" t="s">
        <v>171</v>
      </c>
      <c r="I286" s="38">
        <f>(1+CoCli+CoDif)*CoSeg^0.8</f>
        <v>5.3078298757344156</v>
      </c>
      <c r="J286" s="9"/>
      <c r="K286" s="69">
        <v>1</v>
      </c>
      <c r="L286" s="9"/>
      <c r="M286" s="9"/>
      <c r="N286" s="27"/>
      <c r="O286" s="9"/>
      <c r="P286" s="9"/>
      <c r="Q286" s="9"/>
      <c r="R286" s="79">
        <f>I286*K286*($I$86/(2080*$R$269))+O286</f>
        <v>207.54975796140982</v>
      </c>
      <c r="S286" s="11"/>
      <c r="T286" s="9"/>
    </row>
    <row r="287" spans="4:20">
      <c r="D287" s="7"/>
      <c r="E287" s="9"/>
      <c r="F287" s="9"/>
      <c r="G287" s="13"/>
      <c r="H287" s="13" t="s">
        <v>251</v>
      </c>
      <c r="I287" s="38">
        <f>Co508Com*CoSeg^5*2</f>
        <v>6.103515625</v>
      </c>
      <c r="J287" s="9"/>
      <c r="K287" s="69">
        <v>1</v>
      </c>
      <c r="L287" s="9"/>
      <c r="M287" s="9"/>
      <c r="N287" s="27"/>
      <c r="O287" s="9"/>
      <c r="P287" s="9"/>
      <c r="Q287" s="9"/>
      <c r="R287" s="79">
        <f>I287*K287*($I$86/(2080*$R$269))+O287</f>
        <v>238.66311097756409</v>
      </c>
      <c r="S287" s="11"/>
      <c r="T287" s="9"/>
    </row>
    <row r="288" spans="4:20">
      <c r="D288" s="7"/>
      <c r="E288" s="9"/>
      <c r="F288" s="9"/>
      <c r="G288" s="13"/>
      <c r="H288" s="13" t="s">
        <v>58</v>
      </c>
      <c r="I288" s="38">
        <f>PR*6*DeAlph</f>
        <v>6</v>
      </c>
      <c r="J288" s="9"/>
      <c r="K288" s="69">
        <v>1</v>
      </c>
      <c r="L288" s="9"/>
      <c r="M288" s="9"/>
      <c r="N288" s="27"/>
      <c r="O288" s="9"/>
      <c r="P288" s="9"/>
      <c r="Q288" s="9"/>
      <c r="R288" s="79">
        <f>I288*K288*($I$86/(2080*$R$269))+O288</f>
        <v>234.61538461538461</v>
      </c>
      <c r="S288" s="11"/>
      <c r="T288" s="9"/>
    </row>
    <row r="289" spans="4:20">
      <c r="D289" s="7"/>
      <c r="E289" s="9"/>
      <c r="F289" s="9"/>
      <c r="G289" s="13"/>
      <c r="H289" s="13" t="s">
        <v>61</v>
      </c>
      <c r="I289" s="38">
        <f>SUM(PR, AP)*1</f>
        <v>1</v>
      </c>
      <c r="J289" s="9"/>
      <c r="K289" s="69">
        <v>1</v>
      </c>
      <c r="L289" s="9"/>
      <c r="M289" s="9"/>
      <c r="N289" s="27"/>
      <c r="O289" s="9"/>
      <c r="P289" s="9"/>
      <c r="Q289" s="9"/>
      <c r="R289" s="79">
        <f>I289*K289*($I$86/(2080*$R$269))+O289</f>
        <v>39.102564102564102</v>
      </c>
      <c r="S289" s="11"/>
      <c r="T289" s="9"/>
    </row>
    <row r="290" spans="4:20">
      <c r="D290" s="7"/>
      <c r="E290" s="9"/>
      <c r="F290" s="9"/>
      <c r="G290" s="13"/>
      <c r="H290" s="13"/>
      <c r="I290" s="38"/>
      <c r="J290" s="9"/>
      <c r="K290" s="9"/>
      <c r="L290" s="9"/>
      <c r="M290" s="9"/>
      <c r="N290" s="27"/>
      <c r="O290" s="9"/>
      <c r="P290" s="9"/>
      <c r="Q290" s="9"/>
      <c r="R290" s="9"/>
      <c r="S290" s="11"/>
      <c r="T290" s="9"/>
    </row>
    <row r="291" spans="4:20">
      <c r="D291" s="7"/>
      <c r="E291" s="9"/>
      <c r="F291" s="9"/>
      <c r="G291" s="13" t="s">
        <v>62</v>
      </c>
      <c r="H291" s="13" t="s">
        <v>163</v>
      </c>
      <c r="I291" s="38">
        <f>SUM(PR, AP)*1</f>
        <v>1</v>
      </c>
      <c r="J291" s="9"/>
      <c r="K291" s="69">
        <v>1</v>
      </c>
      <c r="L291" s="9"/>
      <c r="M291" s="9"/>
      <c r="N291" s="27"/>
      <c r="O291" s="9"/>
      <c r="P291" s="9"/>
      <c r="Q291" s="9"/>
      <c r="R291" s="79">
        <f>I291*K291*($I$86/(2080*$R$269))+O291</f>
        <v>39.102564102564102</v>
      </c>
      <c r="S291" s="11"/>
      <c r="T291" s="9"/>
    </row>
    <row r="292" spans="4:20">
      <c r="D292" s="7"/>
      <c r="E292" s="9"/>
      <c r="F292" s="9"/>
      <c r="G292" s="13"/>
      <c r="H292" s="13" t="s">
        <v>94</v>
      </c>
      <c r="I292" s="107">
        <f>(0.05*(CoCli+CoDif))*Seg*0.1</f>
        <v>2.5800461138961168</v>
      </c>
      <c r="J292" s="9"/>
      <c r="K292" s="69">
        <v>1</v>
      </c>
      <c r="L292" s="9"/>
      <c r="M292" s="9"/>
      <c r="N292" s="27"/>
      <c r="O292" s="9"/>
      <c r="P292" s="9"/>
      <c r="Q292" s="9"/>
      <c r="R292" s="79">
        <f>I292*K292*($I$86/(2080*$R$269))+O292</f>
        <v>100.88641855619431</v>
      </c>
      <c r="S292" s="11"/>
      <c r="T292" s="9"/>
    </row>
    <row r="293" spans="4:20">
      <c r="D293" s="7"/>
      <c r="E293" s="9"/>
      <c r="F293" s="9"/>
      <c r="G293" s="13"/>
      <c r="H293" s="13" t="s">
        <v>170</v>
      </c>
      <c r="I293" s="38">
        <f>TT^0.8*0.5*CoSeg^0.8*CoCli</f>
        <v>6.9179467804365027</v>
      </c>
      <c r="J293" s="9"/>
      <c r="K293" s="69">
        <v>1</v>
      </c>
      <c r="L293" s="9"/>
      <c r="M293" s="9"/>
      <c r="N293" s="27"/>
      <c r="O293" s="9"/>
      <c r="P293" s="9"/>
      <c r="Q293" s="9"/>
      <c r="R293" s="79">
        <f>I293*K293*($I$86/(2080*$R$269))+O293</f>
        <v>270.5094574401453</v>
      </c>
      <c r="S293" s="11"/>
      <c r="T293" s="9"/>
    </row>
    <row r="294" spans="4:20">
      <c r="D294" s="7"/>
      <c r="E294" s="9"/>
      <c r="F294" s="9"/>
      <c r="G294" s="13"/>
      <c r="H294" s="13" t="s">
        <v>171</v>
      </c>
      <c r="I294" s="38">
        <f>(1+CoCli+CoDif)*CoSeg^0.8</f>
        <v>5.3078298757344156</v>
      </c>
      <c r="J294" s="9"/>
      <c r="K294" s="69">
        <v>1</v>
      </c>
      <c r="L294" s="9"/>
      <c r="M294" s="9"/>
      <c r="N294" s="27"/>
      <c r="O294" s="9"/>
      <c r="P294" s="9"/>
      <c r="Q294" s="9"/>
      <c r="R294" s="79">
        <f>I294*K294*($I$86/(2080*$R$269))+O294</f>
        <v>207.54975796140982</v>
      </c>
      <c r="S294" s="11"/>
      <c r="T294" s="9"/>
    </row>
    <row r="295" spans="4:20">
      <c r="D295" s="7"/>
      <c r="E295" s="9"/>
      <c r="F295" s="9"/>
      <c r="G295" s="13"/>
      <c r="H295" s="13" t="s">
        <v>58</v>
      </c>
      <c r="I295" s="38">
        <f>PR*4*DeAlph</f>
        <v>4</v>
      </c>
      <c r="J295" s="9"/>
      <c r="K295" s="69">
        <v>1</v>
      </c>
      <c r="L295" s="9"/>
      <c r="M295" s="9"/>
      <c r="N295" s="27"/>
      <c r="O295" s="9"/>
      <c r="P295" s="9"/>
      <c r="Q295" s="9"/>
      <c r="R295" s="79">
        <f>I295*K295*($I$86/(2080*$R$269))+O295</f>
        <v>156.41025641025641</v>
      </c>
      <c r="S295" s="11"/>
      <c r="T295" s="9"/>
    </row>
    <row r="296" spans="4:20">
      <c r="D296" s="7"/>
      <c r="E296" s="9"/>
      <c r="F296" s="9"/>
      <c r="G296" s="13"/>
      <c r="H296" s="13"/>
      <c r="I296" s="38"/>
      <c r="J296" s="9"/>
      <c r="K296" s="9"/>
      <c r="L296" s="9"/>
      <c r="M296" s="9"/>
      <c r="N296" s="27"/>
      <c r="O296" s="9"/>
      <c r="P296" s="9"/>
      <c r="Q296" s="9"/>
      <c r="R296" s="9"/>
      <c r="S296" s="11"/>
      <c r="T296" s="9"/>
    </row>
    <row r="297" spans="4:20">
      <c r="D297" s="7"/>
      <c r="E297" s="9"/>
      <c r="F297" s="9"/>
      <c r="G297" s="13" t="s">
        <v>64</v>
      </c>
      <c r="H297" s="13" t="s">
        <v>163</v>
      </c>
      <c r="I297" s="38">
        <f>SUM(PR, AP)*0.5</f>
        <v>0.5</v>
      </c>
      <c r="J297" s="9"/>
      <c r="K297" s="69">
        <v>1</v>
      </c>
      <c r="L297" s="9"/>
      <c r="M297" s="9"/>
      <c r="N297" s="27"/>
      <c r="O297" s="9"/>
      <c r="P297" s="9"/>
      <c r="Q297" s="9"/>
      <c r="R297" s="79">
        <f t="shared" ref="R297:R303" si="14">I297*K297*($I$86/(2080*$R$269))+O297</f>
        <v>19.551282051282051</v>
      </c>
      <c r="S297" s="11"/>
      <c r="T297" s="9"/>
    </row>
    <row r="298" spans="4:20">
      <c r="D298" s="7"/>
      <c r="E298" s="9"/>
      <c r="F298" s="9"/>
      <c r="G298" s="9"/>
      <c r="H298" s="13" t="s">
        <v>94</v>
      </c>
      <c r="I298" s="107">
        <f>(0.01*(CoCli+CoDif))*Seg*0.1</f>
        <v>0.51600922277922334</v>
      </c>
      <c r="J298" s="9"/>
      <c r="K298" s="69">
        <v>1</v>
      </c>
      <c r="L298" s="9"/>
      <c r="M298" s="9"/>
      <c r="N298" s="27"/>
      <c r="O298" s="9"/>
      <c r="P298" s="9"/>
      <c r="Q298" s="9"/>
      <c r="R298" s="79">
        <f t="shared" si="14"/>
        <v>20.177283711238861</v>
      </c>
      <c r="S298" s="11"/>
      <c r="T298" s="9"/>
    </row>
    <row r="299" spans="4:20">
      <c r="D299" s="7"/>
      <c r="E299" s="9"/>
      <c r="F299" s="9"/>
      <c r="G299" s="9"/>
      <c r="H299" s="13" t="s">
        <v>170</v>
      </c>
      <c r="I299" s="38">
        <f>TT^0.8*0.25*CoSeg^0.8*CoCli</f>
        <v>3.4589733902182513</v>
      </c>
      <c r="J299" s="9"/>
      <c r="K299" s="69">
        <v>1</v>
      </c>
      <c r="L299" s="9"/>
      <c r="M299" s="9"/>
      <c r="N299" s="27"/>
      <c r="O299" s="9"/>
      <c r="P299" s="9"/>
      <c r="Q299" s="9"/>
      <c r="R299" s="79">
        <f t="shared" si="14"/>
        <v>135.25472872007265</v>
      </c>
      <c r="S299" s="11"/>
      <c r="T299" s="9"/>
    </row>
    <row r="300" spans="4:20">
      <c r="D300" s="7"/>
      <c r="E300" s="9"/>
      <c r="F300" s="9"/>
      <c r="G300" s="9"/>
      <c r="H300" s="13" t="s">
        <v>171</v>
      </c>
      <c r="I300" s="38">
        <f>(1+CoCli+CoDif)*CoSeg^0.8</f>
        <v>5.3078298757344156</v>
      </c>
      <c r="J300" s="9"/>
      <c r="K300" s="69">
        <v>1</v>
      </c>
      <c r="L300" s="9"/>
      <c r="M300" s="9"/>
      <c r="N300" s="27"/>
      <c r="O300" s="9"/>
      <c r="P300" s="9"/>
      <c r="Q300" s="9"/>
      <c r="R300" s="79">
        <f t="shared" si="14"/>
        <v>207.54975796140982</v>
      </c>
      <c r="S300" s="11"/>
      <c r="T300" s="9"/>
    </row>
    <row r="301" spans="4:20">
      <c r="D301" s="7"/>
      <c r="E301" s="9"/>
      <c r="F301" s="9"/>
      <c r="G301" s="13"/>
      <c r="H301" s="13" t="s">
        <v>58</v>
      </c>
      <c r="I301" s="38">
        <f>PR*4*DeAlph</f>
        <v>4</v>
      </c>
      <c r="J301" s="9"/>
      <c r="K301" s="69">
        <v>1</v>
      </c>
      <c r="L301" s="9"/>
      <c r="M301" s="9"/>
      <c r="N301" s="27"/>
      <c r="O301" s="9"/>
      <c r="P301" s="9"/>
      <c r="Q301" s="9"/>
      <c r="R301" s="79">
        <f t="shared" si="14"/>
        <v>156.41025641025641</v>
      </c>
      <c r="S301" s="11"/>
      <c r="T301" s="9"/>
    </row>
    <row r="302" spans="4:20">
      <c r="D302" s="7"/>
      <c r="E302" s="9"/>
      <c r="F302" s="9"/>
      <c r="G302" s="13"/>
      <c r="H302" s="13" t="s">
        <v>65</v>
      </c>
      <c r="I302" s="38">
        <f>SUM(PR,AP)*2</f>
        <v>2</v>
      </c>
      <c r="J302" s="9"/>
      <c r="K302" s="69">
        <v>1</v>
      </c>
      <c r="L302" s="9"/>
      <c r="M302" s="9"/>
      <c r="N302" s="27"/>
      <c r="O302" s="9"/>
      <c r="P302" s="9"/>
      <c r="Q302" s="9"/>
      <c r="R302" s="79">
        <f t="shared" si="14"/>
        <v>78.205128205128204</v>
      </c>
      <c r="S302" s="11"/>
      <c r="T302" s="9"/>
    </row>
    <row r="303" spans="4:20">
      <c r="D303" s="7"/>
      <c r="E303" s="9"/>
      <c r="F303" s="9"/>
      <c r="G303" s="9"/>
      <c r="H303" s="13" t="s">
        <v>61</v>
      </c>
      <c r="I303" s="38">
        <f>SUM(PR, AP)*1</f>
        <v>1</v>
      </c>
      <c r="J303" s="9"/>
      <c r="K303" s="69">
        <v>1</v>
      </c>
      <c r="L303" s="9"/>
      <c r="M303" s="9"/>
      <c r="N303" s="27"/>
      <c r="O303" s="9"/>
      <c r="P303" s="9"/>
      <c r="Q303" s="9"/>
      <c r="R303" s="79">
        <f t="shared" si="14"/>
        <v>39.102564102564102</v>
      </c>
      <c r="S303" s="11"/>
      <c r="T303" s="9"/>
    </row>
    <row r="304" spans="4:20">
      <c r="D304" s="7"/>
      <c r="E304" s="9"/>
      <c r="F304" s="9"/>
      <c r="G304" s="9"/>
      <c r="H304" s="13"/>
      <c r="I304" s="38"/>
      <c r="J304" s="9"/>
      <c r="K304" s="69"/>
      <c r="L304" s="9"/>
      <c r="M304" s="9"/>
      <c r="N304" s="27"/>
      <c r="O304" s="9"/>
      <c r="P304" s="9"/>
      <c r="Q304" s="9"/>
      <c r="R304" s="79"/>
      <c r="S304" s="11"/>
      <c r="T304" s="9"/>
    </row>
    <row r="305" spans="4:20">
      <c r="D305" s="7"/>
      <c r="E305" s="9"/>
      <c r="F305" s="9"/>
      <c r="G305" s="9" t="s">
        <v>108</v>
      </c>
      <c r="H305" s="13"/>
      <c r="I305" s="38"/>
      <c r="J305" s="9"/>
      <c r="K305" s="69"/>
      <c r="L305" s="9"/>
      <c r="M305" s="9"/>
      <c r="N305" s="27"/>
      <c r="O305" s="9"/>
      <c r="P305" s="9"/>
      <c r="Q305" s="9"/>
      <c r="R305" s="79"/>
      <c r="S305" s="11"/>
      <c r="T305" s="9"/>
    </row>
    <row r="306" spans="4:20">
      <c r="D306" s="7"/>
      <c r="E306" s="9"/>
      <c r="F306" s="8"/>
      <c r="G306" s="13"/>
      <c r="H306" s="167" t="s">
        <v>290</v>
      </c>
      <c r="I306" s="172" t="s">
        <v>275</v>
      </c>
      <c r="J306" s="9"/>
      <c r="K306" s="9"/>
      <c r="L306" s="9"/>
      <c r="M306" s="9"/>
      <c r="N306" s="27"/>
      <c r="O306" s="27">
        <v>240</v>
      </c>
      <c r="P306" s="9"/>
      <c r="Q306" s="9"/>
      <c r="R306" s="170">
        <f>O306</f>
        <v>240</v>
      </c>
      <c r="S306" s="89"/>
      <c r="T306" s="9"/>
    </row>
    <row r="307" spans="4:20">
      <c r="D307" s="7"/>
      <c r="E307" s="9"/>
      <c r="F307" s="8"/>
      <c r="G307" s="13"/>
      <c r="H307" s="167" t="s">
        <v>291</v>
      </c>
      <c r="I307" s="172" t="s">
        <v>275</v>
      </c>
      <c r="J307" s="9"/>
      <c r="K307" s="9"/>
      <c r="L307" s="9"/>
      <c r="M307" s="9"/>
      <c r="N307" s="27"/>
      <c r="O307" s="27">
        <f>SUM(O36:O41)</f>
        <v>4850</v>
      </c>
      <c r="P307" s="9"/>
      <c r="Q307" s="9"/>
      <c r="R307" s="170">
        <f>O307</f>
        <v>4850</v>
      </c>
      <c r="S307" s="89"/>
      <c r="T307" s="9"/>
    </row>
    <row r="308" spans="4:20">
      <c r="D308" s="7"/>
      <c r="E308" s="9"/>
      <c r="F308" s="9"/>
      <c r="G308" s="9"/>
      <c r="H308" s="13"/>
      <c r="I308" s="43"/>
      <c r="J308" s="9"/>
      <c r="K308" s="9"/>
      <c r="L308" s="9"/>
      <c r="M308" s="9"/>
      <c r="N308" s="27"/>
      <c r="O308" s="9"/>
      <c r="P308" s="9"/>
      <c r="Q308" s="9"/>
      <c r="R308" s="9"/>
      <c r="S308" s="11"/>
      <c r="T308" s="9"/>
    </row>
    <row r="309" spans="4:20">
      <c r="D309" s="7"/>
      <c r="E309" s="9"/>
      <c r="F309" s="8" t="s">
        <v>95</v>
      </c>
      <c r="G309" s="9"/>
      <c r="H309" s="9"/>
      <c r="I309" s="44">
        <f>SUM(I270:I303)</f>
        <v>157.04662493702045</v>
      </c>
      <c r="J309" s="9"/>
      <c r="K309" s="9"/>
      <c r="L309" s="9"/>
      <c r="M309" s="9"/>
      <c r="N309" s="27"/>
      <c r="O309" s="9"/>
      <c r="P309" s="9"/>
      <c r="Q309" s="9"/>
      <c r="R309" s="78">
        <f>SUM(R270:R307)</f>
        <v>9823.2334109988769</v>
      </c>
      <c r="S309" s="89">
        <f>R309/$R$311</f>
        <v>0.20401373548654744</v>
      </c>
      <c r="T309" s="9"/>
    </row>
    <row r="310" spans="4:20">
      <c r="D310" s="7"/>
      <c r="E310" s="9"/>
      <c r="F310" s="9"/>
      <c r="G310" s="9"/>
      <c r="H310" s="9"/>
      <c r="I310" s="9"/>
      <c r="J310" s="9"/>
      <c r="K310" s="9"/>
      <c r="L310" s="9"/>
      <c r="M310" s="9"/>
      <c r="N310" s="9"/>
      <c r="O310" s="9"/>
      <c r="P310" s="9"/>
      <c r="Q310" s="9"/>
      <c r="R310" s="9"/>
      <c r="S310" s="11"/>
      <c r="T310" s="9"/>
    </row>
    <row r="311" spans="4:20" ht="13.5" thickBot="1">
      <c r="D311" s="16"/>
      <c r="E311" s="30" t="s">
        <v>96</v>
      </c>
      <c r="F311" s="17"/>
      <c r="G311" s="17"/>
      <c r="H311" s="17"/>
      <c r="I311" s="87">
        <f>I309+I265+I232+I171+I131+I182+I194</f>
        <v>1081.3671068657109</v>
      </c>
      <c r="J311" s="17"/>
      <c r="K311" s="17"/>
      <c r="L311" s="17"/>
      <c r="M311" s="17"/>
      <c r="N311" s="17"/>
      <c r="O311" s="17">
        <f>SUM(O101:O310)</f>
        <v>10265</v>
      </c>
      <c r="P311" s="17"/>
      <c r="Q311" s="17"/>
      <c r="R311" s="88">
        <f>R309+R265+R232+R171+R131+R182+R195</f>
        <v>48149.862986291999</v>
      </c>
      <c r="S311" s="31"/>
      <c r="T311" s="9"/>
    </row>
    <row r="313" spans="4:20" ht="13.5" hidden="1" thickBot="1"/>
    <row r="314" spans="4:20" hidden="1">
      <c r="D314" s="2" t="s">
        <v>97</v>
      </c>
      <c r="E314" s="3"/>
      <c r="F314" s="4"/>
      <c r="G314" s="4"/>
      <c r="H314" s="5"/>
      <c r="I314" s="5"/>
      <c r="J314" s="5"/>
      <c r="K314" s="5"/>
      <c r="L314" s="5"/>
      <c r="M314" s="6"/>
    </row>
    <row r="315" spans="4:20" hidden="1">
      <c r="D315" s="7"/>
      <c r="E315" s="9"/>
      <c r="F315" s="9"/>
      <c r="G315" s="9"/>
      <c r="H315" s="9"/>
      <c r="I315" s="9"/>
      <c r="J315" s="9"/>
      <c r="K315" s="20" t="s">
        <v>185</v>
      </c>
      <c r="L315" s="20" t="s">
        <v>186</v>
      </c>
      <c r="M315" s="51" t="s">
        <v>187</v>
      </c>
    </row>
    <row r="316" spans="4:20" hidden="1">
      <c r="D316" s="32" t="s">
        <v>98</v>
      </c>
      <c r="E316" s="9"/>
      <c r="F316" s="9"/>
      <c r="G316" s="9"/>
      <c r="H316" s="10" t="s">
        <v>47</v>
      </c>
      <c r="I316" s="10" t="s">
        <v>29</v>
      </c>
      <c r="J316" s="10" t="s">
        <v>99</v>
      </c>
      <c r="K316" s="53" t="s">
        <v>188</v>
      </c>
      <c r="L316" s="53" t="s">
        <v>189</v>
      </c>
      <c r="M316" s="51" t="s">
        <v>100</v>
      </c>
    </row>
    <row r="317" spans="4:20" hidden="1">
      <c r="D317" s="7"/>
      <c r="E317" s="9"/>
      <c r="F317" s="9" t="s">
        <v>101</v>
      </c>
      <c r="G317" s="9"/>
      <c r="H317" s="9"/>
      <c r="I317" s="9"/>
      <c r="J317" s="9"/>
      <c r="K317" s="9"/>
      <c r="L317" s="9"/>
      <c r="M317" s="11"/>
    </row>
    <row r="318" spans="4:20" hidden="1">
      <c r="D318" s="7"/>
      <c r="E318" s="9"/>
      <c r="F318" s="9" t="s">
        <v>102</v>
      </c>
      <c r="G318" s="9"/>
      <c r="H318" s="9"/>
      <c r="I318" s="9"/>
      <c r="J318" s="9"/>
      <c r="K318" s="9"/>
      <c r="L318" s="9"/>
      <c r="M318" s="11"/>
    </row>
    <row r="319" spans="4:20" hidden="1">
      <c r="D319" s="7"/>
      <c r="E319" s="9"/>
      <c r="F319" s="9"/>
      <c r="G319" s="9" t="s">
        <v>103</v>
      </c>
      <c r="H319" s="9"/>
      <c r="I319" s="9"/>
      <c r="J319" s="9"/>
      <c r="K319" s="9"/>
      <c r="L319" s="9"/>
      <c r="M319" s="11"/>
    </row>
    <row r="320" spans="4:20" hidden="1">
      <c r="D320" s="7"/>
      <c r="E320" s="9"/>
      <c r="F320" s="9"/>
      <c r="G320" s="9" t="s">
        <v>104</v>
      </c>
      <c r="H320" s="9"/>
      <c r="I320" s="9"/>
      <c r="J320" s="9"/>
      <c r="K320" s="9"/>
      <c r="L320" s="9"/>
      <c r="M320" s="11"/>
    </row>
    <row r="321" spans="4:18" hidden="1">
      <c r="D321" s="7"/>
      <c r="E321" s="9"/>
      <c r="F321" s="9"/>
      <c r="G321" s="9" t="s">
        <v>105</v>
      </c>
      <c r="H321" s="9"/>
      <c r="I321" s="9"/>
      <c r="J321" s="9"/>
      <c r="K321" s="9"/>
      <c r="L321" s="9"/>
      <c r="M321" s="11"/>
    </row>
    <row r="322" spans="4:18" hidden="1">
      <c r="D322" s="7"/>
      <c r="E322" s="9"/>
      <c r="F322" s="9"/>
      <c r="G322" s="9" t="s">
        <v>106</v>
      </c>
      <c r="H322" s="9"/>
      <c r="I322" s="9"/>
      <c r="J322" s="9"/>
      <c r="K322" s="9"/>
      <c r="L322" s="9"/>
      <c r="M322" s="11"/>
    </row>
    <row r="323" spans="4:18" hidden="1">
      <c r="D323" s="7"/>
      <c r="E323" s="9"/>
      <c r="F323" s="9"/>
      <c r="G323" s="9" t="s">
        <v>107</v>
      </c>
      <c r="H323" s="9"/>
      <c r="I323" s="9"/>
      <c r="J323" s="9"/>
      <c r="K323" s="9"/>
      <c r="L323" s="9"/>
      <c r="M323" s="11"/>
    </row>
    <row r="324" spans="4:18" hidden="1">
      <c r="D324" s="7"/>
      <c r="E324" s="9"/>
      <c r="F324" s="9"/>
      <c r="G324" s="9" t="s">
        <v>108</v>
      </c>
      <c r="H324" s="9"/>
      <c r="I324" s="9"/>
      <c r="J324" s="9"/>
      <c r="K324" s="9"/>
      <c r="L324" s="9"/>
      <c r="M324" s="11"/>
    </row>
    <row r="325" spans="4:18" hidden="1">
      <c r="D325" s="7"/>
      <c r="E325" s="9"/>
      <c r="F325" s="9" t="s">
        <v>109</v>
      </c>
      <c r="G325" s="9"/>
      <c r="H325" s="9"/>
      <c r="I325" s="9"/>
      <c r="J325" s="9"/>
      <c r="K325" s="9"/>
      <c r="L325" s="9"/>
      <c r="M325" s="11"/>
    </row>
    <row r="326" spans="4:18" hidden="1">
      <c r="D326" s="7"/>
      <c r="E326" s="9"/>
      <c r="F326" s="9" t="s">
        <v>110</v>
      </c>
      <c r="G326" s="9"/>
      <c r="H326" s="9"/>
      <c r="I326" s="9"/>
      <c r="J326" s="9"/>
      <c r="K326" s="9"/>
      <c r="L326" s="9"/>
      <c r="M326" s="11"/>
    </row>
    <row r="327" spans="4:18" hidden="1">
      <c r="D327" s="7"/>
      <c r="E327" s="9"/>
      <c r="F327" s="9" t="s">
        <v>111</v>
      </c>
      <c r="G327" s="9"/>
      <c r="H327" s="9"/>
      <c r="I327" s="9"/>
      <c r="J327" s="9"/>
      <c r="K327" s="9"/>
      <c r="L327" s="9"/>
      <c r="M327" s="11"/>
    </row>
    <row r="328" spans="4:18" hidden="1">
      <c r="D328" s="7"/>
      <c r="E328" s="9"/>
      <c r="F328" s="9"/>
      <c r="G328" s="9" t="s">
        <v>31</v>
      </c>
      <c r="H328" s="9"/>
      <c r="I328" s="9"/>
      <c r="J328" s="9"/>
      <c r="K328" s="9"/>
      <c r="L328" s="9"/>
      <c r="M328" s="11"/>
    </row>
    <row r="329" spans="4:18" hidden="1">
      <c r="D329" s="7"/>
      <c r="E329" s="9"/>
      <c r="F329" s="9"/>
      <c r="G329" s="9" t="s">
        <v>32</v>
      </c>
      <c r="H329" s="9"/>
      <c r="I329" s="9"/>
      <c r="J329" s="9"/>
      <c r="K329" s="9"/>
      <c r="L329" s="9"/>
      <c r="M329" s="11"/>
    </row>
    <row r="330" spans="4:18" hidden="1">
      <c r="D330" s="7"/>
      <c r="E330" s="9"/>
      <c r="F330" s="9" t="s">
        <v>112</v>
      </c>
      <c r="G330" s="9"/>
      <c r="H330" s="9"/>
      <c r="I330" s="9"/>
      <c r="J330" s="9"/>
      <c r="K330" s="9"/>
      <c r="L330" s="9"/>
      <c r="M330" s="11"/>
    </row>
    <row r="331" spans="4:18" hidden="1">
      <c r="D331" s="7"/>
      <c r="E331" s="9"/>
      <c r="F331" s="9"/>
      <c r="G331" s="9" t="s">
        <v>190</v>
      </c>
      <c r="H331" s="9"/>
      <c r="I331" s="9"/>
      <c r="J331" s="9"/>
      <c r="K331" s="9"/>
      <c r="L331" s="9"/>
      <c r="M331" s="11"/>
    </row>
    <row r="332" spans="4:18" hidden="1">
      <c r="D332" s="7"/>
      <c r="E332" s="9"/>
      <c r="F332" s="9"/>
      <c r="G332" s="9" t="s">
        <v>191</v>
      </c>
      <c r="H332" s="9"/>
      <c r="I332" s="9"/>
      <c r="J332" s="9"/>
      <c r="K332" s="9"/>
      <c r="L332" s="9"/>
      <c r="M332" s="11"/>
    </row>
    <row r="333" spans="4:18" hidden="1">
      <c r="D333" s="7"/>
      <c r="E333" s="9"/>
      <c r="F333" s="9" t="s">
        <v>192</v>
      </c>
      <c r="G333" s="9"/>
      <c r="H333" s="9"/>
      <c r="I333" s="9"/>
      <c r="J333" s="9"/>
      <c r="K333" s="9"/>
      <c r="L333" s="9"/>
      <c r="M333" s="11"/>
    </row>
    <row r="334" spans="4:18" hidden="1">
      <c r="D334" s="7"/>
      <c r="E334" s="9" t="s">
        <v>113</v>
      </c>
      <c r="F334" s="9"/>
      <c r="G334" s="9"/>
      <c r="H334" s="9"/>
      <c r="I334" s="9"/>
      <c r="J334" s="9"/>
      <c r="K334" s="9"/>
      <c r="L334" s="9"/>
      <c r="M334" s="11"/>
      <c r="O334" s="9"/>
      <c r="P334" s="22"/>
      <c r="Q334" s="22"/>
      <c r="R334" s="27"/>
    </row>
    <row r="335" spans="4:18" hidden="1">
      <c r="D335" s="7"/>
      <c r="E335" s="9"/>
      <c r="F335" s="9"/>
      <c r="G335" s="9"/>
      <c r="H335" s="9"/>
      <c r="I335" s="9"/>
      <c r="J335" s="9"/>
      <c r="K335" s="9"/>
      <c r="L335" s="9"/>
      <c r="M335" s="11"/>
      <c r="O335" s="22"/>
      <c r="P335" s="22"/>
      <c r="Q335" s="22"/>
      <c r="R335" s="22"/>
    </row>
    <row r="336" spans="4:18" hidden="1">
      <c r="D336" s="32" t="s">
        <v>114</v>
      </c>
      <c r="E336" s="9"/>
      <c r="F336" s="9"/>
      <c r="G336" s="9"/>
      <c r="H336" s="9"/>
      <c r="I336" s="9"/>
      <c r="J336" s="9"/>
      <c r="K336" s="9"/>
      <c r="L336" s="9"/>
      <c r="M336" s="11"/>
    </row>
    <row r="337" spans="4:16" hidden="1">
      <c r="D337" s="7"/>
      <c r="E337" s="9"/>
      <c r="F337" s="9" t="s">
        <v>115</v>
      </c>
      <c r="G337" s="9"/>
      <c r="H337" s="9"/>
      <c r="I337" s="9"/>
      <c r="J337" s="9"/>
      <c r="K337" s="9"/>
      <c r="L337" s="9"/>
      <c r="M337" s="11"/>
    </row>
    <row r="338" spans="4:16" hidden="1">
      <c r="D338" s="7"/>
      <c r="E338" s="9"/>
      <c r="F338" s="9" t="s">
        <v>116</v>
      </c>
      <c r="G338" s="9"/>
      <c r="H338" s="9"/>
      <c r="I338" s="9"/>
      <c r="J338" s="9"/>
      <c r="K338" s="9"/>
      <c r="L338" s="9"/>
      <c r="M338" s="11"/>
    </row>
    <row r="339" spans="4:16" hidden="1">
      <c r="D339" s="7"/>
      <c r="E339" s="9"/>
      <c r="F339" s="9" t="s">
        <v>117</v>
      </c>
      <c r="G339" s="9"/>
      <c r="H339" s="9"/>
      <c r="I339" s="9"/>
      <c r="J339" s="9"/>
      <c r="K339" s="9"/>
      <c r="L339" s="9"/>
      <c r="M339" s="11"/>
    </row>
    <row r="340" spans="4:16" hidden="1">
      <c r="D340" s="7"/>
      <c r="E340" s="9"/>
      <c r="F340" s="9"/>
      <c r="G340" s="9" t="s">
        <v>103</v>
      </c>
      <c r="H340" s="9"/>
      <c r="I340" s="9"/>
      <c r="J340" s="9"/>
      <c r="K340" s="9"/>
      <c r="L340" s="9"/>
      <c r="M340" s="11"/>
    </row>
    <row r="341" spans="4:16" hidden="1">
      <c r="D341" s="7"/>
      <c r="E341" s="9"/>
      <c r="F341" s="9"/>
      <c r="G341" s="9" t="s">
        <v>104</v>
      </c>
      <c r="H341" s="9"/>
      <c r="I341" s="9"/>
      <c r="J341" s="9"/>
      <c r="K341" s="9"/>
      <c r="L341" s="9"/>
      <c r="M341" s="11"/>
    </row>
    <row r="342" spans="4:16" hidden="1">
      <c r="D342" s="7"/>
      <c r="E342" s="9"/>
      <c r="F342" s="9"/>
      <c r="G342" s="9" t="s">
        <v>105</v>
      </c>
      <c r="H342" s="9"/>
      <c r="I342" s="9"/>
      <c r="J342" s="9"/>
      <c r="K342" s="9"/>
      <c r="L342" s="9"/>
      <c r="M342" s="11"/>
    </row>
    <row r="343" spans="4:16" hidden="1">
      <c r="D343" s="7"/>
      <c r="E343" s="9"/>
      <c r="F343" s="9"/>
      <c r="G343" s="9" t="s">
        <v>106</v>
      </c>
      <c r="H343" s="9"/>
      <c r="I343" s="9"/>
      <c r="J343" s="9"/>
      <c r="K343" s="9"/>
      <c r="L343" s="9"/>
      <c r="M343" s="11"/>
    </row>
    <row r="344" spans="4:16" hidden="1">
      <c r="D344" s="7"/>
      <c r="E344" s="9" t="s">
        <v>118</v>
      </c>
      <c r="F344" s="9"/>
      <c r="G344" s="9"/>
      <c r="H344" s="9"/>
      <c r="I344" s="9"/>
      <c r="J344" s="9"/>
      <c r="K344" s="9"/>
      <c r="L344" s="9"/>
      <c r="M344" s="11"/>
    </row>
    <row r="345" spans="4:16" hidden="1">
      <c r="D345" s="32" t="s">
        <v>119</v>
      </c>
      <c r="E345" s="9"/>
      <c r="F345" s="9"/>
      <c r="G345" s="9"/>
      <c r="H345" s="9"/>
      <c r="I345" s="9"/>
      <c r="J345" s="9"/>
      <c r="K345" s="54">
        <f>377805.9+373076</f>
        <v>750881.9</v>
      </c>
      <c r="L345" s="90">
        <f>K345/$L$89</f>
        <v>11.914221566387408</v>
      </c>
      <c r="M345" s="91">
        <f>$I$311*L345</f>
        <v>12883.647305801409</v>
      </c>
      <c r="O345" s="55"/>
    </row>
    <row r="346" spans="4:16" hidden="1">
      <c r="D346" s="7" t="s">
        <v>213</v>
      </c>
      <c r="E346" s="9"/>
      <c r="F346" s="9"/>
      <c r="G346" s="9"/>
      <c r="H346" s="9"/>
      <c r="I346" s="9"/>
      <c r="J346" s="9"/>
      <c r="K346" s="9"/>
      <c r="L346" s="9"/>
      <c r="M346" s="11"/>
    </row>
    <row r="347" spans="4:16" ht="13.5" hidden="1" thickBot="1">
      <c r="D347" s="16" t="s">
        <v>120</v>
      </c>
      <c r="E347" s="17"/>
      <c r="F347" s="17"/>
      <c r="G347" s="17"/>
      <c r="H347" s="17"/>
      <c r="I347" s="17"/>
      <c r="J347" s="17"/>
      <c r="K347" s="17"/>
      <c r="L347" s="17"/>
      <c r="M347" s="31"/>
    </row>
    <row r="348" spans="4:16" hidden="1">
      <c r="O348" s="55"/>
    </row>
    <row r="349" spans="4:16" ht="13.5" hidden="1" thickBot="1"/>
    <row r="350" spans="4:16" hidden="1">
      <c r="D350" s="2" t="s">
        <v>121</v>
      </c>
      <c r="E350" s="3"/>
      <c r="F350" s="4"/>
      <c r="G350" s="4"/>
      <c r="H350" s="5"/>
      <c r="I350" s="5"/>
      <c r="J350" s="5"/>
      <c r="K350" s="5"/>
      <c r="L350" s="6"/>
      <c r="N350" s="223" t="s">
        <v>340</v>
      </c>
      <c r="O350" s="6"/>
      <c r="P350" s="9"/>
    </row>
    <row r="351" spans="4:16" hidden="1">
      <c r="D351" s="33"/>
      <c r="E351" s="34"/>
      <c r="F351" s="35"/>
      <c r="G351" s="35"/>
      <c r="H351" s="9"/>
      <c r="I351" s="9"/>
      <c r="J351" s="20" t="s">
        <v>185</v>
      </c>
      <c r="K351" s="20" t="s">
        <v>186</v>
      </c>
      <c r="L351" s="51" t="s">
        <v>187</v>
      </c>
      <c r="N351" s="7" t="s">
        <v>339</v>
      </c>
      <c r="O351" s="11"/>
      <c r="P351" s="9"/>
    </row>
    <row r="352" spans="4:16" hidden="1">
      <c r="D352" s="32" t="s">
        <v>122</v>
      </c>
      <c r="E352" s="9"/>
      <c r="F352" s="9"/>
      <c r="G352" s="9"/>
      <c r="H352" s="10" t="s">
        <v>47</v>
      </c>
      <c r="I352" s="10" t="s">
        <v>123</v>
      </c>
      <c r="J352" s="53" t="s">
        <v>188</v>
      </c>
      <c r="K352" s="53" t="s">
        <v>189</v>
      </c>
      <c r="L352" s="51" t="s">
        <v>124</v>
      </c>
      <c r="N352" s="7"/>
      <c r="O352" s="11"/>
      <c r="P352" s="9"/>
    </row>
    <row r="353" spans="4:16" hidden="1">
      <c r="D353" s="7"/>
      <c r="E353" s="24" t="s">
        <v>193</v>
      </c>
      <c r="F353" s="9"/>
      <c r="G353" s="9"/>
      <c r="H353" s="9"/>
      <c r="I353" s="56"/>
      <c r="J353" s="56"/>
      <c r="K353" s="56"/>
      <c r="L353" s="11"/>
      <c r="N353" s="127" t="s">
        <v>216</v>
      </c>
      <c r="O353" s="11">
        <v>81</v>
      </c>
      <c r="P353" s="9"/>
    </row>
    <row r="354" spans="4:16" hidden="1">
      <c r="D354" s="7"/>
      <c r="E354" s="9" t="s">
        <v>125</v>
      </c>
      <c r="F354" s="9"/>
      <c r="G354" s="9"/>
      <c r="H354" s="9"/>
      <c r="I354" s="9"/>
      <c r="J354" s="56"/>
      <c r="K354" s="56"/>
      <c r="L354" s="11"/>
      <c r="N354" s="127" t="s">
        <v>217</v>
      </c>
      <c r="O354" s="11">
        <v>83</v>
      </c>
      <c r="P354" s="9"/>
    </row>
    <row r="355" spans="4:16" hidden="1">
      <c r="D355" s="7"/>
      <c r="E355" s="9" t="s">
        <v>126</v>
      </c>
      <c r="F355" s="9"/>
      <c r="G355" s="9"/>
      <c r="H355" s="9"/>
      <c r="I355" s="9"/>
      <c r="J355" s="56"/>
      <c r="K355" s="56"/>
      <c r="L355" s="11"/>
      <c r="N355" s="127" t="s">
        <v>333</v>
      </c>
      <c r="O355" s="11">
        <v>78</v>
      </c>
      <c r="P355" s="9"/>
    </row>
    <row r="356" spans="4:16" hidden="1">
      <c r="D356" s="7"/>
      <c r="E356" s="9"/>
      <c r="F356" s="9" t="s">
        <v>127</v>
      </c>
      <c r="G356" s="9"/>
      <c r="H356" s="9"/>
      <c r="I356" s="9"/>
      <c r="J356" s="56"/>
      <c r="K356" s="56"/>
      <c r="L356" s="11"/>
      <c r="N356" s="127" t="s">
        <v>42</v>
      </c>
      <c r="O356" s="14">
        <v>94</v>
      </c>
      <c r="P356" s="9"/>
    </row>
    <row r="357" spans="4:16" hidden="1">
      <c r="D357" s="7"/>
      <c r="E357" s="9"/>
      <c r="F357" s="9" t="s">
        <v>128</v>
      </c>
      <c r="G357" s="9"/>
      <c r="H357" s="9"/>
      <c r="I357" s="9"/>
      <c r="J357" s="56"/>
      <c r="K357" s="56"/>
      <c r="L357" s="11"/>
      <c r="N357" s="127" t="s">
        <v>218</v>
      </c>
      <c r="O357" s="14">
        <v>88</v>
      </c>
      <c r="P357" s="9"/>
    </row>
    <row r="358" spans="4:16" hidden="1">
      <c r="D358" s="7"/>
      <c r="E358" s="9"/>
      <c r="F358" s="9" t="s">
        <v>129</v>
      </c>
      <c r="G358" s="9"/>
      <c r="H358" s="9"/>
      <c r="I358" s="9"/>
      <c r="J358" s="56"/>
      <c r="K358" s="56"/>
      <c r="L358" s="11"/>
      <c r="N358" s="127" t="s">
        <v>40</v>
      </c>
      <c r="O358" s="14">
        <v>71</v>
      </c>
      <c r="P358" s="9"/>
    </row>
    <row r="359" spans="4:16" ht="13.5" hidden="1" thickBot="1">
      <c r="D359" s="7"/>
      <c r="E359" s="9" t="s">
        <v>130</v>
      </c>
      <c r="F359" s="9"/>
      <c r="G359" s="9"/>
      <c r="H359" s="9"/>
      <c r="I359" s="9"/>
      <c r="J359" s="56"/>
      <c r="K359" s="56"/>
      <c r="L359" s="11"/>
      <c r="N359" s="16"/>
      <c r="O359" s="31"/>
      <c r="P359" s="9"/>
    </row>
    <row r="360" spans="4:16" hidden="1">
      <c r="D360" s="7"/>
      <c r="E360" s="9"/>
      <c r="F360" s="9" t="s">
        <v>131</v>
      </c>
      <c r="G360" s="9"/>
      <c r="H360" s="9"/>
      <c r="I360" s="9"/>
      <c r="J360" s="56"/>
      <c r="K360" s="56"/>
      <c r="L360" s="11"/>
      <c r="N360" s="9"/>
      <c r="O360" s="9"/>
      <c r="P360" s="9"/>
    </row>
    <row r="361" spans="4:16" hidden="1">
      <c r="D361" s="7"/>
      <c r="E361" s="9"/>
      <c r="F361" s="9" t="s">
        <v>132</v>
      </c>
      <c r="G361" s="9"/>
      <c r="H361" s="9"/>
      <c r="I361" s="9"/>
      <c r="J361" s="56"/>
      <c r="K361" s="56"/>
      <c r="L361" s="11"/>
      <c r="N361" s="9"/>
      <c r="O361" s="9"/>
      <c r="P361" s="9"/>
    </row>
    <row r="362" spans="4:16" hidden="1">
      <c r="D362" s="7"/>
      <c r="E362" s="9" t="s">
        <v>133</v>
      </c>
      <c r="F362" s="9"/>
      <c r="G362" s="9"/>
      <c r="H362" s="9"/>
      <c r="I362" s="9"/>
      <c r="J362" s="56">
        <v>733230.18489964469</v>
      </c>
      <c r="K362" s="92">
        <f>J362/$L$89</f>
        <v>11.634142309273367</v>
      </c>
      <c r="L362" s="93">
        <f>$I$311*K362</f>
        <v>12580.778809842901</v>
      </c>
      <c r="N362" s="224"/>
      <c r="O362" s="9"/>
      <c r="P362" s="9"/>
    </row>
    <row r="363" spans="4:16" hidden="1">
      <c r="D363" s="7"/>
      <c r="E363" s="9"/>
      <c r="F363" s="9"/>
      <c r="G363" s="9"/>
      <c r="H363" s="9"/>
      <c r="I363" s="9"/>
      <c r="J363" s="56"/>
      <c r="K363" s="58"/>
      <c r="L363" s="94"/>
      <c r="N363" s="9"/>
      <c r="O363" s="9"/>
      <c r="P363" s="9"/>
    </row>
    <row r="364" spans="4:16" hidden="1">
      <c r="D364" s="57" t="s">
        <v>134</v>
      </c>
      <c r="E364" s="9"/>
      <c r="F364" s="9"/>
      <c r="G364" s="9"/>
      <c r="H364" s="9"/>
      <c r="I364" s="9"/>
      <c r="J364" s="58">
        <v>400000</v>
      </c>
      <c r="K364" s="92">
        <f>J364/$L$89</f>
        <v>6.3467885250063469</v>
      </c>
      <c r="L364" s="93">
        <f>$I$311*K364</f>
        <v>6863.2083451746057</v>
      </c>
      <c r="N364" s="9"/>
      <c r="O364" s="9"/>
      <c r="P364" s="9"/>
    </row>
    <row r="365" spans="4:16" hidden="1">
      <c r="D365" s="7"/>
      <c r="E365" s="9"/>
      <c r="F365" s="9"/>
      <c r="G365" s="9"/>
      <c r="H365" s="9"/>
      <c r="I365" s="9"/>
      <c r="J365" s="56"/>
      <c r="K365" s="56"/>
      <c r="L365" s="11"/>
      <c r="N365" s="9"/>
      <c r="O365" s="9"/>
      <c r="P365" s="9"/>
    </row>
    <row r="366" spans="4:16" hidden="1">
      <c r="D366" s="32" t="s">
        <v>135</v>
      </c>
      <c r="E366" s="9"/>
      <c r="F366" s="9"/>
      <c r="G366" s="9"/>
      <c r="H366" s="9"/>
      <c r="I366" s="9"/>
      <c r="J366" s="54">
        <f>J364+J362</f>
        <v>1133230.1848996447</v>
      </c>
      <c r="K366" s="90">
        <f>J366/$L$89</f>
        <v>17.980930834279715</v>
      </c>
      <c r="L366" s="91">
        <f>$I$311*K366</f>
        <v>19443.987155017508</v>
      </c>
      <c r="N366" s="9"/>
      <c r="O366" s="9"/>
      <c r="P366" s="9"/>
    </row>
    <row r="367" spans="4:16" hidden="1">
      <c r="D367" s="7"/>
      <c r="E367" s="9"/>
      <c r="F367" s="9"/>
      <c r="G367" s="9"/>
      <c r="H367" s="9"/>
      <c r="I367" s="9"/>
      <c r="J367" s="9"/>
      <c r="K367" s="9"/>
      <c r="L367" s="11"/>
      <c r="N367" s="9"/>
      <c r="O367" s="9"/>
      <c r="P367" s="9"/>
    </row>
    <row r="368" spans="4:16" hidden="1">
      <c r="D368" s="7" t="s">
        <v>194</v>
      </c>
      <c r="E368" s="9"/>
      <c r="F368" s="9"/>
      <c r="G368" s="9"/>
      <c r="H368" s="9"/>
      <c r="I368" s="9"/>
      <c r="J368" s="9"/>
      <c r="K368" s="9"/>
      <c r="L368" s="11"/>
      <c r="N368" s="9"/>
      <c r="O368" s="9"/>
      <c r="P368" s="9"/>
    </row>
    <row r="369" spans="4:16" hidden="1">
      <c r="D369" s="7" t="s">
        <v>195</v>
      </c>
      <c r="E369" s="9"/>
      <c r="F369" s="9"/>
      <c r="G369" s="9"/>
      <c r="H369" s="9"/>
      <c r="I369" s="9"/>
      <c r="J369" s="9"/>
      <c r="K369" s="9"/>
      <c r="L369" s="11"/>
      <c r="N369" s="9"/>
      <c r="O369" s="9"/>
      <c r="P369" s="9"/>
    </row>
    <row r="370" spans="4:16" ht="13.5" hidden="1" thickBot="1">
      <c r="D370" s="16" t="s">
        <v>196</v>
      </c>
      <c r="E370" s="17"/>
      <c r="F370" s="17"/>
      <c r="G370" s="17"/>
      <c r="H370" s="17"/>
      <c r="I370" s="17"/>
      <c r="J370" s="17"/>
      <c r="K370" s="17"/>
      <c r="L370" s="31"/>
      <c r="N370" s="9"/>
      <c r="O370" s="9"/>
      <c r="P370" s="9"/>
    </row>
    <row r="371" spans="4:16" hidden="1"/>
    <row r="372" spans="4:16" ht="13.5" thickBot="1"/>
    <row r="373" spans="4:16">
      <c r="D373" s="2" t="s">
        <v>136</v>
      </c>
      <c r="E373" s="3"/>
      <c r="F373" s="4"/>
      <c r="G373" s="4"/>
      <c r="H373" s="5"/>
      <c r="I373" s="5"/>
      <c r="J373" s="5"/>
      <c r="K373" s="6"/>
    </row>
    <row r="374" spans="4:16">
      <c r="D374" s="33"/>
      <c r="E374" s="34"/>
      <c r="F374" s="35"/>
      <c r="G374" s="35"/>
      <c r="H374" s="9"/>
      <c r="I374" s="10" t="s">
        <v>206</v>
      </c>
      <c r="J374" s="10" t="s">
        <v>341</v>
      </c>
      <c r="K374" s="225" t="s">
        <v>342</v>
      </c>
    </row>
    <row r="375" spans="4:16">
      <c r="D375" s="32" t="s">
        <v>137</v>
      </c>
      <c r="E375" s="9"/>
      <c r="F375" s="9"/>
      <c r="G375" s="9"/>
      <c r="H375" s="10" t="s">
        <v>197</v>
      </c>
      <c r="I375" s="10" t="s">
        <v>207</v>
      </c>
      <c r="J375" s="10" t="s">
        <v>208</v>
      </c>
      <c r="K375" s="226" t="s">
        <v>343</v>
      </c>
    </row>
    <row r="376" spans="4:16">
      <c r="D376" s="7"/>
      <c r="E376" s="36"/>
      <c r="F376" s="9"/>
      <c r="G376" s="37">
        <v>0</v>
      </c>
      <c r="H376" s="77">
        <f t="shared" ref="H376:H381" si="15">I376-$I$376</f>
        <v>0</v>
      </c>
      <c r="I376" s="77">
        <f t="shared" ref="I376:I381" si="16">($I$309*$O$356+$I$265*$O$358+$I$232*$O$357+$I$171*$O$354+$I$131*$O$353+$I$182*$O$355+$I$194*$O$355+$O$311)/(1-G376)</f>
        <v>100442.81686405945</v>
      </c>
      <c r="J376" s="71">
        <f t="shared" ref="J376:J381" si="17">I376/$I$311</f>
        <v>92.88503064901613</v>
      </c>
      <c r="K376" s="186">
        <f t="shared" ref="K376:K381" si="18">(I376-$O$311)/$I$311</f>
        <v>83.392417146324519</v>
      </c>
    </row>
    <row r="377" spans="4:16">
      <c r="D377" s="7"/>
      <c r="E377" s="9"/>
      <c r="F377" s="9"/>
      <c r="G377" s="37">
        <v>0.05</v>
      </c>
      <c r="H377" s="77">
        <f t="shared" si="15"/>
        <v>5286.4640454768232</v>
      </c>
      <c r="I377" s="77">
        <f t="shared" si="16"/>
        <v>105729.28090953628</v>
      </c>
      <c r="J377" s="71">
        <f t="shared" si="17"/>
        <v>97.773716472648559</v>
      </c>
      <c r="K377" s="186">
        <f t="shared" si="18"/>
        <v>88.281102969956962</v>
      </c>
    </row>
    <row r="378" spans="4:16">
      <c r="D378" s="7"/>
      <c r="E378" s="9"/>
      <c r="F378" s="9"/>
      <c r="G378" s="37">
        <v>0.1</v>
      </c>
      <c r="H378" s="77">
        <f t="shared" si="15"/>
        <v>11160.312984895485</v>
      </c>
      <c r="I378" s="77">
        <f t="shared" si="16"/>
        <v>111603.12984895494</v>
      </c>
      <c r="J378" s="71">
        <f t="shared" si="17"/>
        <v>103.20558961001791</v>
      </c>
      <c r="K378" s="186">
        <f t="shared" si="18"/>
        <v>93.712976107326313</v>
      </c>
    </row>
    <row r="379" spans="4:16">
      <c r="D379" s="7"/>
      <c r="E379" s="9"/>
      <c r="F379" s="9"/>
      <c r="G379" s="37">
        <v>0.15</v>
      </c>
      <c r="H379" s="77">
        <f t="shared" si="15"/>
        <v>17725.202976010492</v>
      </c>
      <c r="I379" s="77">
        <f t="shared" si="16"/>
        <v>118168.01984006994</v>
      </c>
      <c r="J379" s="71">
        <f t="shared" si="17"/>
        <v>109.27650664590132</v>
      </c>
      <c r="K379" s="186">
        <f t="shared" si="18"/>
        <v>99.783893143209724</v>
      </c>
    </row>
    <row r="380" spans="4:16">
      <c r="D380" s="7"/>
      <c r="E380" s="9"/>
      <c r="F380" s="9"/>
      <c r="G380" s="59">
        <v>0.2</v>
      </c>
      <c r="H380" s="77">
        <f t="shared" si="15"/>
        <v>25110.704216014856</v>
      </c>
      <c r="I380" s="77">
        <f t="shared" si="16"/>
        <v>125553.52108007431</v>
      </c>
      <c r="J380" s="71">
        <f t="shared" si="17"/>
        <v>116.10628831127015</v>
      </c>
      <c r="K380" s="186">
        <f t="shared" si="18"/>
        <v>106.61367480857855</v>
      </c>
    </row>
    <row r="381" spans="4:16" ht="13.5" thickBot="1">
      <c r="D381" s="16"/>
      <c r="E381" s="17"/>
      <c r="F381" s="17"/>
      <c r="G381" s="221">
        <v>0.25</v>
      </c>
      <c r="H381" s="227">
        <f t="shared" si="15"/>
        <v>33480.938954686484</v>
      </c>
      <c r="I381" s="227">
        <f t="shared" si="16"/>
        <v>133923.75581874594</v>
      </c>
      <c r="J381" s="222">
        <f t="shared" si="17"/>
        <v>123.8467075320215</v>
      </c>
      <c r="K381" s="228">
        <f t="shared" si="18"/>
        <v>114.3540940293299</v>
      </c>
    </row>
    <row r="383" spans="4:16" ht="13.5" thickBot="1"/>
    <row r="384" spans="4:16">
      <c r="D384" s="2" t="s">
        <v>198</v>
      </c>
      <c r="E384" s="3"/>
      <c r="F384" s="4"/>
      <c r="G384" s="4"/>
      <c r="H384" s="5"/>
      <c r="I384" s="5"/>
      <c r="J384" s="5"/>
      <c r="K384" s="6"/>
    </row>
    <row r="385" spans="4:11">
      <c r="D385" s="33"/>
      <c r="E385" s="34"/>
      <c r="F385" s="35"/>
      <c r="G385" s="35"/>
      <c r="H385" s="9"/>
      <c r="I385" s="9"/>
      <c r="J385" s="9"/>
      <c r="K385" s="11"/>
    </row>
    <row r="386" spans="4:11">
      <c r="D386" s="32" t="s">
        <v>199</v>
      </c>
      <c r="E386" s="9"/>
      <c r="F386" s="9"/>
      <c r="G386" s="9"/>
      <c r="H386" s="20" t="s">
        <v>29</v>
      </c>
      <c r="I386" s="9"/>
      <c r="J386" s="20" t="s">
        <v>47</v>
      </c>
      <c r="K386" s="11"/>
    </row>
    <row r="387" spans="4:11">
      <c r="D387" s="7"/>
      <c r="E387" s="36"/>
      <c r="F387" s="9"/>
      <c r="G387" s="37" t="s">
        <v>19</v>
      </c>
      <c r="H387" s="9"/>
      <c r="I387" s="9"/>
      <c r="J387" s="9"/>
      <c r="K387" s="11"/>
    </row>
    <row r="388" spans="4:11">
      <c r="D388" s="7"/>
      <c r="E388" s="9"/>
      <c r="F388" s="9"/>
      <c r="G388" s="37" t="s">
        <v>33</v>
      </c>
      <c r="H388" s="9"/>
      <c r="I388" s="9"/>
      <c r="J388" s="9"/>
      <c r="K388" s="11"/>
    </row>
    <row r="389" spans="4:11">
      <c r="D389" s="7"/>
      <c r="E389" s="9"/>
      <c r="F389" s="9"/>
      <c r="G389" s="37" t="s">
        <v>37</v>
      </c>
      <c r="H389" s="9"/>
      <c r="I389" s="9"/>
      <c r="J389" s="9"/>
      <c r="K389" s="11"/>
    </row>
    <row r="390" spans="4:11">
      <c r="D390" s="7"/>
      <c r="E390" s="9"/>
      <c r="F390" s="9"/>
      <c r="G390" s="37" t="s">
        <v>40</v>
      </c>
      <c r="H390" s="9"/>
      <c r="I390" s="9"/>
      <c r="J390" s="9"/>
      <c r="K390" s="11"/>
    </row>
    <row r="391" spans="4:11">
      <c r="D391" s="7"/>
      <c r="E391" s="9"/>
      <c r="F391" s="9"/>
      <c r="G391" s="59" t="s">
        <v>41</v>
      </c>
      <c r="H391" s="9"/>
      <c r="I391" s="9"/>
      <c r="J391" s="9"/>
      <c r="K391" s="11"/>
    </row>
    <row r="392" spans="4:11">
      <c r="D392" s="7"/>
      <c r="E392" s="9"/>
      <c r="F392" s="9"/>
      <c r="G392" s="59"/>
      <c r="H392" s="9"/>
      <c r="I392" s="9"/>
      <c r="J392" s="9"/>
      <c r="K392" s="11"/>
    </row>
    <row r="393" spans="4:11" ht="13.5" thickBot="1">
      <c r="D393" s="16" t="s">
        <v>200</v>
      </c>
      <c r="E393" s="17"/>
      <c r="F393" s="17"/>
      <c r="G393" s="17"/>
      <c r="H393" s="17"/>
      <c r="I393" s="17"/>
      <c r="J393" s="17"/>
      <c r="K393" s="31"/>
    </row>
  </sheetData>
  <phoneticPr fontId="0" type="noConversion"/>
  <dataValidations count="18">
    <dataValidation type="list" allowBlank="1" showInputMessage="1" showErrorMessage="1" sqref="H36">
      <formula1>$X$36:$AB$36</formula1>
    </dataValidation>
    <dataValidation type="list" allowBlank="1" showInputMessage="1" showErrorMessage="1" sqref="W93:AB93 W97:AB98">
      <formula1>"CT,MM,PM,TE,QA"</formula1>
    </dataValidation>
    <dataValidation type="list" allowBlank="1" showInputMessage="1" showErrorMessage="1" sqref="H31">
      <formula1>$X$31:$Y$31</formula1>
    </dataValidation>
    <dataValidation type="list" allowBlank="1" showInputMessage="1" showErrorMessage="1" sqref="H19">
      <formula1>$X$19:$Z$19</formula1>
    </dataValidation>
    <dataValidation type="list" allowBlank="1" showInputMessage="1" showErrorMessage="1" sqref="H20">
      <formula1>$X$20:$Z$20</formula1>
    </dataValidation>
    <dataValidation type="list" allowBlank="1" showInputMessage="1" showErrorMessage="1" sqref="H21">
      <formula1>$X$21:$Y$21</formula1>
    </dataValidation>
    <dataValidation type="list" allowBlank="1" showInputMessage="1" showErrorMessage="1" sqref="H22">
      <formula1>$X$22:$Y$22</formula1>
    </dataValidation>
    <dataValidation type="list" allowBlank="1" showInputMessage="1" showErrorMessage="1" sqref="H24">
      <formula1>$X$24:$Y$24</formula1>
    </dataValidation>
    <dataValidation type="list" allowBlank="1" showInputMessage="1" showErrorMessage="1" sqref="H26">
      <formula1>$X$26:$AB$26</formula1>
    </dataValidation>
    <dataValidation type="list" allowBlank="1" showInputMessage="1" showErrorMessage="1" sqref="H28">
      <formula1>$X$28:$Z$28</formula1>
    </dataValidation>
    <dataValidation type="list" allowBlank="1" showInputMessage="1" showErrorMessage="1" sqref="H30">
      <formula1>$X$30:$Z$30</formula1>
    </dataValidation>
    <dataValidation type="list" allowBlank="1" showInputMessage="1" showErrorMessage="1" sqref="H13">
      <formula1>$X$13:$AB$13</formula1>
    </dataValidation>
    <dataValidation type="list" allowBlank="1" showInputMessage="1" showErrorMessage="1" sqref="H14">
      <formula1>$X$14:$AB$14</formula1>
    </dataValidation>
    <dataValidation type="list" allowBlank="1" showInputMessage="1" showErrorMessage="1" sqref="H15">
      <formula1>$X$15:$Z$15</formula1>
    </dataValidation>
    <dataValidation type="list" allowBlank="1" showInputMessage="1" showErrorMessage="1" sqref="H9">
      <formula1>$X$9:$Y$9</formula1>
    </dataValidation>
    <dataValidation type="list" allowBlank="1" showInputMessage="1" showErrorMessage="1" sqref="H16">
      <formula1>$X$16:$Y$16</formula1>
    </dataValidation>
    <dataValidation type="list" allowBlank="1" showInputMessage="1" showErrorMessage="1" sqref="H3">
      <formula1>Projects</formula1>
    </dataValidation>
    <dataValidation type="list" allowBlank="1" showInputMessage="1" showErrorMessage="1" sqref="H25">
      <formula1>$X$25:$Y$25</formula1>
    </dataValidation>
  </dataValidations>
  <pageMargins left="0.75" right="0.75" top="1" bottom="1" header="0.5" footer="0.5"/>
  <pageSetup orientation="portrait" r:id="rId1"/>
  <headerFooter alignWithMargins="0"/>
  <ignoredErrors>
    <ignoredError sqref="J23 J28" formula="1"/>
  </ignoredErrors>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cols>
    <col min="1" max="1" width="17" customWidth="1"/>
    <col min="2" max="2" width="19.85546875" customWidth="1"/>
  </cols>
  <sheetData>
    <row r="1" spans="1:1">
      <c r="A1" t="s">
        <v>242</v>
      </c>
    </row>
  </sheetData>
  <phoneticPr fontId="13" type="noConversion"/>
  <dataValidations count="1">
    <dataValidation type="list" allowBlank="1" showInputMessage="1" showErrorMessage="1" sqref="A1">
      <formula1>SampleProjects</formula1>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AF52"/>
  <sheetViews>
    <sheetView workbookViewId="0">
      <pane xSplit="1" ySplit="2" topLeftCell="B3" activePane="bottomRight" state="frozen"/>
      <selection pane="topRight" activeCell="B1" sqref="B1"/>
      <selection pane="bottomLeft" activeCell="A3" sqref="A3"/>
      <selection pane="bottomRight" activeCell="AF17" sqref="AF17"/>
    </sheetView>
  </sheetViews>
  <sheetFormatPr defaultRowHeight="12.75"/>
  <cols>
    <col min="1" max="1" width="29.5703125" customWidth="1"/>
    <col min="2" max="2" width="4.7109375" customWidth="1"/>
    <col min="3" max="3" width="5" bestFit="1" customWidth="1"/>
    <col min="4" max="14" width="5" customWidth="1"/>
    <col min="15" max="16" width="6.140625" customWidth="1"/>
    <col min="17" max="31" width="5" customWidth="1"/>
    <col min="32" max="32" width="4.28515625" customWidth="1"/>
    <col min="33" max="33" width="4.7109375" customWidth="1"/>
  </cols>
  <sheetData>
    <row r="1" spans="1:32">
      <c r="A1" t="s">
        <v>18</v>
      </c>
      <c r="C1" s="251" t="s">
        <v>241</v>
      </c>
      <c r="D1" s="251"/>
      <c r="E1" s="251"/>
      <c r="F1" s="251"/>
      <c r="G1" s="251"/>
      <c r="H1" s="251"/>
      <c r="I1" s="251"/>
      <c r="J1" s="251"/>
      <c r="K1" s="251"/>
      <c r="L1" s="251"/>
      <c r="M1" s="251"/>
      <c r="N1" s="251"/>
      <c r="O1" s="251"/>
      <c r="P1" s="251"/>
      <c r="Q1" s="251"/>
      <c r="R1" s="251"/>
      <c r="S1" s="251"/>
      <c r="T1" s="251"/>
      <c r="U1" s="251"/>
      <c r="V1" s="251"/>
      <c r="W1" s="251"/>
      <c r="X1" s="251"/>
      <c r="Y1" s="251"/>
      <c r="Z1" s="251"/>
      <c r="AA1" s="251"/>
      <c r="AB1" s="251"/>
      <c r="AC1" s="251"/>
      <c r="AD1" s="251"/>
      <c r="AE1" s="155"/>
    </row>
    <row r="2" spans="1:32" ht="127.5">
      <c r="A2">
        <f>HLOOKUP("Canon: B&amp;W", C2:W3, 2, FALSE)</f>
        <v>1</v>
      </c>
      <c r="B2" s="105" t="s">
        <v>248</v>
      </c>
      <c r="C2" s="147" t="s">
        <v>234</v>
      </c>
      <c r="D2" s="147" t="s">
        <v>226</v>
      </c>
      <c r="E2" s="105" t="s">
        <v>235</v>
      </c>
      <c r="F2" s="147" t="s">
        <v>233</v>
      </c>
      <c r="G2" s="147" t="s">
        <v>239</v>
      </c>
      <c r="H2" s="105" t="s">
        <v>225</v>
      </c>
      <c r="I2" s="105" t="s">
        <v>310</v>
      </c>
      <c r="J2" s="105" t="s">
        <v>229</v>
      </c>
      <c r="K2" s="105" t="s">
        <v>232</v>
      </c>
      <c r="L2" s="147" t="s">
        <v>240</v>
      </c>
      <c r="M2" s="147" t="s">
        <v>247</v>
      </c>
      <c r="N2" s="105" t="s">
        <v>236</v>
      </c>
      <c r="O2" s="105" t="s">
        <v>307</v>
      </c>
      <c r="P2" s="105" t="s">
        <v>309</v>
      </c>
      <c r="Q2" s="153" t="s">
        <v>237</v>
      </c>
      <c r="R2" s="105" t="s">
        <v>231</v>
      </c>
      <c r="S2" s="105" t="s">
        <v>238</v>
      </c>
      <c r="T2" s="105" t="s">
        <v>245</v>
      </c>
      <c r="U2" s="105" t="s">
        <v>220</v>
      </c>
      <c r="V2" s="105" t="s">
        <v>219</v>
      </c>
      <c r="W2" s="105" t="s">
        <v>230</v>
      </c>
      <c r="X2" s="105" t="s">
        <v>222</v>
      </c>
      <c r="Y2" s="147" t="s">
        <v>221</v>
      </c>
      <c r="Z2" s="196" t="s">
        <v>308</v>
      </c>
      <c r="AA2" s="105" t="s">
        <v>224</v>
      </c>
      <c r="AB2" s="147" t="s">
        <v>227</v>
      </c>
      <c r="AC2" s="105" t="s">
        <v>223</v>
      </c>
      <c r="AD2" s="105" t="s">
        <v>246</v>
      </c>
      <c r="AE2" s="105" t="s">
        <v>256</v>
      </c>
      <c r="AF2" s="105" t="s">
        <v>228</v>
      </c>
    </row>
    <row r="3" spans="1:32">
      <c r="A3" s="9" t="s">
        <v>4</v>
      </c>
      <c r="B3" s="9"/>
      <c r="C3">
        <v>1</v>
      </c>
      <c r="D3">
        <v>0</v>
      </c>
      <c r="E3">
        <v>1</v>
      </c>
      <c r="F3">
        <v>1</v>
      </c>
      <c r="G3">
        <v>0</v>
      </c>
      <c r="H3">
        <v>0</v>
      </c>
      <c r="I3">
        <v>0</v>
      </c>
      <c r="J3">
        <v>0</v>
      </c>
      <c r="K3">
        <v>0</v>
      </c>
      <c r="L3">
        <v>0</v>
      </c>
      <c r="M3">
        <v>1</v>
      </c>
      <c r="N3">
        <v>0</v>
      </c>
      <c r="O3">
        <v>1</v>
      </c>
      <c r="P3">
        <v>0</v>
      </c>
      <c r="Q3">
        <v>0</v>
      </c>
      <c r="R3">
        <v>0</v>
      </c>
      <c r="S3">
        <v>0</v>
      </c>
      <c r="T3">
        <v>0</v>
      </c>
      <c r="U3">
        <v>0</v>
      </c>
      <c r="V3">
        <v>0</v>
      </c>
      <c r="W3">
        <v>0</v>
      </c>
      <c r="X3">
        <v>0</v>
      </c>
      <c r="Y3">
        <v>1</v>
      </c>
      <c r="Z3">
        <v>1</v>
      </c>
      <c r="AA3">
        <v>1</v>
      </c>
      <c r="AB3">
        <v>1</v>
      </c>
      <c r="AC3">
        <v>0</v>
      </c>
      <c r="AD3">
        <v>0</v>
      </c>
      <c r="AE3">
        <v>0</v>
      </c>
      <c r="AF3">
        <v>0</v>
      </c>
    </row>
    <row r="4" spans="1:32">
      <c r="A4" s="9" t="s">
        <v>155</v>
      </c>
      <c r="B4" s="9"/>
      <c r="C4">
        <v>5</v>
      </c>
      <c r="D4">
        <v>1</v>
      </c>
      <c r="E4">
        <v>1</v>
      </c>
      <c r="F4">
        <v>2</v>
      </c>
      <c r="G4">
        <v>1</v>
      </c>
      <c r="H4">
        <v>1</v>
      </c>
      <c r="I4">
        <v>1</v>
      </c>
      <c r="J4">
        <v>1</v>
      </c>
      <c r="K4">
        <v>1</v>
      </c>
      <c r="L4">
        <v>1</v>
      </c>
      <c r="M4">
        <v>1</v>
      </c>
      <c r="N4">
        <v>1</v>
      </c>
      <c r="O4">
        <v>9</v>
      </c>
      <c r="P4">
        <v>1</v>
      </c>
      <c r="Q4">
        <v>1</v>
      </c>
      <c r="R4">
        <v>1</v>
      </c>
      <c r="S4">
        <v>1</v>
      </c>
      <c r="T4">
        <v>1</v>
      </c>
      <c r="U4">
        <v>1</v>
      </c>
      <c r="V4">
        <v>1</v>
      </c>
      <c r="W4">
        <v>1</v>
      </c>
      <c r="X4">
        <v>1</v>
      </c>
      <c r="Y4">
        <v>6</v>
      </c>
      <c r="Z4">
        <v>2</v>
      </c>
      <c r="AA4">
        <v>3</v>
      </c>
      <c r="AB4">
        <v>6</v>
      </c>
      <c r="AC4">
        <v>1</v>
      </c>
      <c r="AD4">
        <v>1</v>
      </c>
      <c r="AE4">
        <v>1</v>
      </c>
      <c r="AF4">
        <v>1</v>
      </c>
    </row>
    <row r="5" spans="1:32">
      <c r="A5" s="9" t="s">
        <v>60</v>
      </c>
      <c r="B5" s="9"/>
      <c r="C5">
        <v>5</v>
      </c>
      <c r="D5">
        <v>1</v>
      </c>
      <c r="E5">
        <v>1</v>
      </c>
      <c r="F5">
        <v>2</v>
      </c>
      <c r="G5">
        <v>1</v>
      </c>
      <c r="H5">
        <v>1</v>
      </c>
      <c r="I5">
        <v>1</v>
      </c>
      <c r="J5">
        <v>1</v>
      </c>
      <c r="K5">
        <v>1</v>
      </c>
      <c r="L5">
        <v>3</v>
      </c>
      <c r="M5">
        <v>1</v>
      </c>
      <c r="N5">
        <v>1</v>
      </c>
      <c r="O5">
        <v>9</v>
      </c>
      <c r="P5">
        <v>1</v>
      </c>
      <c r="Q5">
        <v>1</v>
      </c>
      <c r="R5">
        <v>1</v>
      </c>
      <c r="S5">
        <v>1</v>
      </c>
      <c r="T5">
        <v>1</v>
      </c>
      <c r="U5">
        <v>1</v>
      </c>
      <c r="V5">
        <v>1</v>
      </c>
      <c r="W5">
        <v>1</v>
      </c>
      <c r="X5">
        <v>1</v>
      </c>
      <c r="Y5">
        <v>6</v>
      </c>
      <c r="Z5">
        <v>2</v>
      </c>
      <c r="AA5">
        <v>3</v>
      </c>
      <c r="AB5">
        <v>6</v>
      </c>
      <c r="AC5">
        <v>1</v>
      </c>
      <c r="AD5">
        <v>1</v>
      </c>
      <c r="AE5">
        <v>1</v>
      </c>
      <c r="AF5">
        <v>1</v>
      </c>
    </row>
    <row r="6" spans="1:32">
      <c r="A6" s="13" t="s">
        <v>6</v>
      </c>
      <c r="B6" s="13"/>
      <c r="C6">
        <v>1</v>
      </c>
      <c r="P6" t="s">
        <v>258</v>
      </c>
    </row>
    <row r="7" spans="1:32">
      <c r="A7" s="13" t="s">
        <v>7</v>
      </c>
      <c r="B7" s="13"/>
      <c r="L7" t="s">
        <v>258</v>
      </c>
    </row>
    <row r="8" spans="1:32">
      <c r="A8" s="13" t="s">
        <v>8</v>
      </c>
      <c r="B8" s="13"/>
      <c r="C8">
        <v>1</v>
      </c>
      <c r="L8" t="s">
        <v>258</v>
      </c>
    </row>
    <row r="9" spans="1:32">
      <c r="A9" s="9"/>
      <c r="B9" s="9"/>
    </row>
    <row r="10" spans="1:32">
      <c r="A10" s="9" t="s">
        <v>12</v>
      </c>
      <c r="B10" s="9"/>
      <c r="C10">
        <v>1140</v>
      </c>
      <c r="D10">
        <v>60</v>
      </c>
      <c r="E10">
        <v>60</v>
      </c>
      <c r="F10">
        <v>220</v>
      </c>
      <c r="G10">
        <v>30</v>
      </c>
      <c r="H10">
        <v>100</v>
      </c>
      <c r="I10">
        <v>100</v>
      </c>
      <c r="J10">
        <v>90</v>
      </c>
      <c r="K10">
        <v>120</v>
      </c>
      <c r="L10">
        <v>90</v>
      </c>
      <c r="M10">
        <v>150</v>
      </c>
      <c r="N10">
        <v>40</v>
      </c>
      <c r="O10">
        <v>2829</v>
      </c>
      <c r="P10">
        <v>180</v>
      </c>
      <c r="Q10">
        <v>90</v>
      </c>
      <c r="R10">
        <v>60</v>
      </c>
      <c r="S10">
        <v>120</v>
      </c>
      <c r="T10">
        <v>120</v>
      </c>
      <c r="U10">
        <v>90</v>
      </c>
      <c r="V10">
        <v>120</v>
      </c>
      <c r="W10">
        <v>120</v>
      </c>
      <c r="X10">
        <v>90</v>
      </c>
      <c r="Y10">
        <v>1200</v>
      </c>
      <c r="Z10">
        <v>130</v>
      </c>
      <c r="AA10">
        <v>280</v>
      </c>
      <c r="AB10">
        <v>1400</v>
      </c>
      <c r="AC10">
        <v>60</v>
      </c>
      <c r="AD10">
        <v>95</v>
      </c>
      <c r="AE10">
        <v>90</v>
      </c>
      <c r="AF10">
        <v>60</v>
      </c>
    </row>
    <row r="11" spans="1:32">
      <c r="A11" s="9" t="s">
        <v>13</v>
      </c>
      <c r="B11" s="9"/>
      <c r="C11">
        <v>4</v>
      </c>
      <c r="D11">
        <v>4</v>
      </c>
      <c r="E11">
        <v>4</v>
      </c>
      <c r="F11">
        <v>3</v>
      </c>
      <c r="G11">
        <v>5</v>
      </c>
      <c r="H11">
        <v>1</v>
      </c>
      <c r="I11">
        <v>4</v>
      </c>
      <c r="J11">
        <v>3</v>
      </c>
      <c r="K11">
        <v>3</v>
      </c>
      <c r="L11">
        <v>5</v>
      </c>
      <c r="M11">
        <v>2</v>
      </c>
      <c r="N11">
        <v>3</v>
      </c>
      <c r="O11">
        <v>2</v>
      </c>
      <c r="P11">
        <v>2</v>
      </c>
      <c r="Q11">
        <v>4</v>
      </c>
      <c r="R11">
        <v>3</v>
      </c>
      <c r="S11">
        <v>5</v>
      </c>
      <c r="T11">
        <v>3</v>
      </c>
      <c r="U11">
        <v>3</v>
      </c>
      <c r="V11">
        <v>3</v>
      </c>
      <c r="W11">
        <v>3</v>
      </c>
      <c r="X11">
        <v>3</v>
      </c>
      <c r="Y11">
        <v>3</v>
      </c>
      <c r="Z11">
        <v>4</v>
      </c>
      <c r="AA11">
        <v>4</v>
      </c>
      <c r="AB11">
        <v>4</v>
      </c>
      <c r="AC11">
        <v>3</v>
      </c>
      <c r="AD11">
        <v>3</v>
      </c>
      <c r="AE11">
        <v>4</v>
      </c>
      <c r="AF11">
        <v>3</v>
      </c>
    </row>
    <row r="12" spans="1:32">
      <c r="A12" s="9" t="s">
        <v>14</v>
      </c>
      <c r="B12" s="9"/>
      <c r="C12">
        <v>3</v>
      </c>
      <c r="D12">
        <v>2</v>
      </c>
      <c r="E12">
        <v>2</v>
      </c>
      <c r="F12">
        <v>3</v>
      </c>
      <c r="G12">
        <v>3</v>
      </c>
      <c r="H12">
        <v>2</v>
      </c>
      <c r="I12">
        <v>3</v>
      </c>
      <c r="J12">
        <v>2</v>
      </c>
      <c r="K12">
        <v>2</v>
      </c>
      <c r="L12">
        <v>1</v>
      </c>
      <c r="M12">
        <v>4</v>
      </c>
      <c r="N12">
        <v>1</v>
      </c>
      <c r="O12">
        <v>5</v>
      </c>
      <c r="P12">
        <v>3</v>
      </c>
      <c r="Q12">
        <v>3</v>
      </c>
      <c r="R12">
        <v>2</v>
      </c>
      <c r="S12">
        <v>2</v>
      </c>
      <c r="T12">
        <v>2</v>
      </c>
      <c r="U12">
        <v>2</v>
      </c>
      <c r="V12">
        <v>2</v>
      </c>
      <c r="W12">
        <v>2</v>
      </c>
      <c r="X12">
        <v>2</v>
      </c>
      <c r="Y12">
        <v>3</v>
      </c>
      <c r="Z12">
        <v>3</v>
      </c>
      <c r="AA12">
        <v>2</v>
      </c>
      <c r="AB12">
        <v>4</v>
      </c>
      <c r="AC12">
        <v>2</v>
      </c>
      <c r="AD12">
        <v>2</v>
      </c>
      <c r="AE12">
        <v>2</v>
      </c>
      <c r="AF12">
        <v>2</v>
      </c>
    </row>
    <row r="13" spans="1:32" s="148" customFormat="1">
      <c r="A13" s="137" t="s">
        <v>148</v>
      </c>
      <c r="B13" s="137"/>
      <c r="C13" s="148">
        <v>3</v>
      </c>
      <c r="D13" s="148">
        <v>2</v>
      </c>
      <c r="E13" s="148">
        <v>2</v>
      </c>
      <c r="F13" s="148">
        <v>3</v>
      </c>
      <c r="G13" s="148">
        <v>1</v>
      </c>
      <c r="H13" s="148">
        <v>2</v>
      </c>
      <c r="I13" s="148">
        <v>2</v>
      </c>
      <c r="J13" s="148">
        <v>1</v>
      </c>
      <c r="K13" s="148">
        <v>2</v>
      </c>
      <c r="L13" s="148">
        <v>3</v>
      </c>
      <c r="M13" s="148">
        <v>3</v>
      </c>
      <c r="N13" s="148">
        <v>2</v>
      </c>
      <c r="O13" s="148">
        <v>1</v>
      </c>
      <c r="P13" s="148">
        <v>3</v>
      </c>
      <c r="Q13" s="148">
        <v>2</v>
      </c>
      <c r="R13" s="148">
        <v>2</v>
      </c>
      <c r="S13" s="148">
        <v>2</v>
      </c>
      <c r="T13" s="148">
        <v>1</v>
      </c>
      <c r="U13" s="148">
        <v>1</v>
      </c>
      <c r="V13" s="148">
        <v>1</v>
      </c>
      <c r="W13" s="148">
        <v>1</v>
      </c>
      <c r="X13" s="148">
        <v>1</v>
      </c>
      <c r="Y13" s="148">
        <v>3</v>
      </c>
      <c r="Z13" s="148">
        <v>3</v>
      </c>
      <c r="AA13" s="148">
        <v>1</v>
      </c>
      <c r="AB13" s="148">
        <v>3</v>
      </c>
      <c r="AC13" s="148">
        <v>1</v>
      </c>
      <c r="AD13" s="148">
        <v>1</v>
      </c>
      <c r="AE13" s="148">
        <v>1</v>
      </c>
      <c r="AF13" s="148">
        <v>2</v>
      </c>
    </row>
    <row r="14" spans="1:32" s="150" customFormat="1">
      <c r="A14" s="149" t="s">
        <v>140</v>
      </c>
      <c r="B14" s="149"/>
      <c r="C14" s="150">
        <v>2</v>
      </c>
      <c r="D14" s="150">
        <v>1</v>
      </c>
      <c r="E14" s="150">
        <v>2</v>
      </c>
      <c r="F14" s="150">
        <v>3</v>
      </c>
      <c r="G14" s="150">
        <v>1</v>
      </c>
      <c r="H14" s="150">
        <v>2</v>
      </c>
      <c r="I14" s="150">
        <v>2</v>
      </c>
      <c r="J14" s="150">
        <v>1</v>
      </c>
      <c r="K14" s="150">
        <v>2</v>
      </c>
      <c r="L14" s="150">
        <v>2</v>
      </c>
      <c r="M14" s="150">
        <v>2</v>
      </c>
      <c r="N14" s="150">
        <v>1</v>
      </c>
      <c r="O14" s="150">
        <v>1</v>
      </c>
      <c r="P14" s="150">
        <v>3</v>
      </c>
      <c r="Q14" s="150">
        <v>2</v>
      </c>
      <c r="R14" s="150">
        <v>2</v>
      </c>
      <c r="S14" s="150">
        <v>2</v>
      </c>
      <c r="T14" s="150">
        <v>1</v>
      </c>
      <c r="U14" s="150">
        <v>1</v>
      </c>
      <c r="V14" s="150">
        <v>1</v>
      </c>
      <c r="W14" s="150">
        <v>1</v>
      </c>
      <c r="X14" s="150">
        <v>1</v>
      </c>
      <c r="Y14" s="150">
        <v>3</v>
      </c>
      <c r="Z14" s="150">
        <v>2</v>
      </c>
      <c r="AA14" s="150">
        <v>1</v>
      </c>
      <c r="AB14" s="150">
        <v>3</v>
      </c>
      <c r="AC14" s="150">
        <v>1</v>
      </c>
      <c r="AD14" s="150">
        <v>1</v>
      </c>
      <c r="AE14" s="150">
        <v>1</v>
      </c>
      <c r="AF14" s="150">
        <v>1</v>
      </c>
    </row>
    <row r="15" spans="1:32" s="150" customFormat="1">
      <c r="A15" s="149" t="s">
        <v>254</v>
      </c>
      <c r="B15" s="149"/>
      <c r="C15" s="150">
        <v>2</v>
      </c>
      <c r="D15" s="150">
        <v>1</v>
      </c>
      <c r="E15" s="150">
        <v>1</v>
      </c>
      <c r="F15" s="150">
        <v>3</v>
      </c>
      <c r="G15" s="150">
        <v>1</v>
      </c>
      <c r="H15" s="150">
        <v>1</v>
      </c>
      <c r="I15" s="150">
        <v>1</v>
      </c>
      <c r="J15" s="150">
        <v>1</v>
      </c>
      <c r="K15" s="150">
        <v>1</v>
      </c>
      <c r="L15" s="150">
        <v>1</v>
      </c>
      <c r="M15" s="150">
        <v>1</v>
      </c>
      <c r="N15" s="150">
        <v>1</v>
      </c>
      <c r="O15" s="150">
        <v>1</v>
      </c>
      <c r="P15" s="150">
        <v>3</v>
      </c>
      <c r="Q15" s="150">
        <v>1</v>
      </c>
      <c r="R15" s="150">
        <v>1</v>
      </c>
      <c r="S15" s="150">
        <v>1</v>
      </c>
      <c r="T15" s="150">
        <v>1</v>
      </c>
      <c r="U15" s="150">
        <v>1</v>
      </c>
      <c r="V15" s="150">
        <v>1</v>
      </c>
      <c r="W15" s="150">
        <v>1</v>
      </c>
      <c r="X15" s="150">
        <v>1</v>
      </c>
      <c r="Y15" s="150">
        <v>2</v>
      </c>
      <c r="Z15" s="150">
        <v>1</v>
      </c>
      <c r="AA15" s="150">
        <v>1</v>
      </c>
      <c r="AB15" s="150">
        <v>2</v>
      </c>
      <c r="AC15" s="150">
        <v>1</v>
      </c>
      <c r="AD15" s="150">
        <v>1</v>
      </c>
      <c r="AE15" s="150">
        <v>1</v>
      </c>
      <c r="AF15" s="150">
        <v>1</v>
      </c>
    </row>
    <row r="16" spans="1:32" s="152" customFormat="1">
      <c r="A16" s="151" t="s">
        <v>141</v>
      </c>
      <c r="B16" s="151"/>
      <c r="C16" s="152">
        <v>1</v>
      </c>
      <c r="D16" s="152">
        <v>0</v>
      </c>
      <c r="E16" s="152">
        <v>0</v>
      </c>
      <c r="F16" s="152">
        <v>1</v>
      </c>
      <c r="G16" s="152">
        <v>0</v>
      </c>
      <c r="H16" s="152">
        <v>0</v>
      </c>
      <c r="I16" s="152">
        <v>1</v>
      </c>
      <c r="J16" s="152">
        <v>0</v>
      </c>
      <c r="K16" s="152">
        <v>1</v>
      </c>
      <c r="L16" s="152">
        <v>1</v>
      </c>
      <c r="M16" s="152">
        <v>1</v>
      </c>
      <c r="N16" s="152">
        <v>1</v>
      </c>
      <c r="O16" s="152">
        <v>0</v>
      </c>
      <c r="P16" s="152">
        <v>1</v>
      </c>
      <c r="Q16" s="152">
        <v>1</v>
      </c>
      <c r="R16" s="152">
        <v>0</v>
      </c>
      <c r="S16" s="152">
        <v>1</v>
      </c>
      <c r="T16" s="152">
        <v>0</v>
      </c>
      <c r="U16" s="152">
        <v>0</v>
      </c>
      <c r="V16" s="152">
        <v>0</v>
      </c>
      <c r="W16" s="152">
        <v>1</v>
      </c>
      <c r="X16" s="152">
        <v>0</v>
      </c>
      <c r="Y16" s="152">
        <v>1</v>
      </c>
      <c r="Z16" s="152">
        <v>1</v>
      </c>
      <c r="AA16" s="152">
        <v>0</v>
      </c>
      <c r="AB16" s="152">
        <v>1</v>
      </c>
      <c r="AC16" s="152">
        <v>1</v>
      </c>
      <c r="AD16" s="152">
        <v>0</v>
      </c>
      <c r="AE16" s="152">
        <v>0</v>
      </c>
      <c r="AF16" s="152">
        <v>1</v>
      </c>
    </row>
    <row r="17" spans="1:32">
      <c r="A17" s="13" t="s">
        <v>153</v>
      </c>
      <c r="B17" s="13"/>
      <c r="C17" t="s">
        <v>258</v>
      </c>
      <c r="D17" t="s">
        <v>258</v>
      </c>
      <c r="E17" t="s">
        <v>258</v>
      </c>
      <c r="F17" t="s">
        <v>258</v>
      </c>
      <c r="G17" t="s">
        <v>258</v>
      </c>
      <c r="H17" t="s">
        <v>258</v>
      </c>
      <c r="I17" t="s">
        <v>258</v>
      </c>
      <c r="J17" t="s">
        <v>258</v>
      </c>
      <c r="K17" t="s">
        <v>258</v>
      </c>
      <c r="L17" t="s">
        <v>258</v>
      </c>
      <c r="M17" t="s">
        <v>258</v>
      </c>
      <c r="N17" t="s">
        <v>258</v>
      </c>
      <c r="O17" t="s">
        <v>258</v>
      </c>
      <c r="P17">
        <v>0</v>
      </c>
      <c r="Q17" t="s">
        <v>258</v>
      </c>
      <c r="R17" t="s">
        <v>258</v>
      </c>
      <c r="S17" t="s">
        <v>258</v>
      </c>
      <c r="T17" t="s">
        <v>258</v>
      </c>
      <c r="U17" t="s">
        <v>258</v>
      </c>
      <c r="V17" t="s">
        <v>258</v>
      </c>
      <c r="W17" t="s">
        <v>258</v>
      </c>
      <c r="X17" t="s">
        <v>258</v>
      </c>
      <c r="Y17" t="s">
        <v>258</v>
      </c>
      <c r="Z17" t="s">
        <v>258</v>
      </c>
      <c r="AA17" t="s">
        <v>258</v>
      </c>
      <c r="AB17" t="s">
        <v>258</v>
      </c>
      <c r="AC17" t="s">
        <v>258</v>
      </c>
      <c r="AD17" t="s">
        <v>258</v>
      </c>
      <c r="AE17" t="s">
        <v>258</v>
      </c>
      <c r="AF17" t="s">
        <v>258</v>
      </c>
    </row>
    <row r="18" spans="1:32">
      <c r="A18" s="13" t="s">
        <v>249</v>
      </c>
      <c r="B18" s="9"/>
      <c r="C18">
        <v>4</v>
      </c>
      <c r="D18">
        <v>0</v>
      </c>
      <c r="E18">
        <v>1</v>
      </c>
      <c r="F18">
        <v>1</v>
      </c>
      <c r="G18">
        <v>0</v>
      </c>
      <c r="H18">
        <v>0</v>
      </c>
      <c r="I18">
        <v>0</v>
      </c>
      <c r="J18">
        <v>1</v>
      </c>
      <c r="K18">
        <v>0</v>
      </c>
      <c r="L18">
        <v>3</v>
      </c>
      <c r="M18">
        <v>3</v>
      </c>
      <c r="N18">
        <v>0</v>
      </c>
      <c r="O18">
        <v>1</v>
      </c>
      <c r="P18">
        <v>0</v>
      </c>
      <c r="Q18">
        <v>0</v>
      </c>
      <c r="R18">
        <v>0</v>
      </c>
      <c r="S18">
        <v>1</v>
      </c>
      <c r="T18">
        <v>0</v>
      </c>
      <c r="U18">
        <v>0</v>
      </c>
      <c r="V18">
        <v>0</v>
      </c>
      <c r="W18">
        <v>0</v>
      </c>
      <c r="X18">
        <v>0</v>
      </c>
      <c r="Y18">
        <v>2</v>
      </c>
      <c r="Z18">
        <v>0</v>
      </c>
      <c r="AA18">
        <v>0</v>
      </c>
      <c r="AB18">
        <v>4</v>
      </c>
      <c r="AC18">
        <v>1</v>
      </c>
      <c r="AD18">
        <v>0</v>
      </c>
      <c r="AE18">
        <v>0</v>
      </c>
      <c r="AF18">
        <v>0</v>
      </c>
    </row>
    <row r="19" spans="1:32">
      <c r="A19" s="13" t="s">
        <v>150</v>
      </c>
      <c r="B19" s="13"/>
      <c r="C19">
        <v>1</v>
      </c>
      <c r="D19">
        <v>0</v>
      </c>
      <c r="E19">
        <v>0</v>
      </c>
      <c r="F19">
        <v>1</v>
      </c>
      <c r="G19">
        <v>0</v>
      </c>
      <c r="H19">
        <v>1</v>
      </c>
      <c r="I19">
        <v>0</v>
      </c>
      <c r="J19">
        <v>0</v>
      </c>
      <c r="K19">
        <v>0</v>
      </c>
      <c r="L19">
        <v>0</v>
      </c>
      <c r="M19">
        <v>1</v>
      </c>
      <c r="N19">
        <v>0</v>
      </c>
      <c r="O19">
        <v>0</v>
      </c>
      <c r="P19">
        <v>0</v>
      </c>
      <c r="Q19">
        <v>0</v>
      </c>
      <c r="R19">
        <v>0</v>
      </c>
      <c r="S19">
        <v>0</v>
      </c>
      <c r="T19">
        <v>0</v>
      </c>
      <c r="U19">
        <v>0</v>
      </c>
      <c r="V19">
        <v>0</v>
      </c>
      <c r="W19">
        <v>0</v>
      </c>
      <c r="X19">
        <v>0</v>
      </c>
      <c r="Y19">
        <v>1</v>
      </c>
      <c r="Z19">
        <v>0</v>
      </c>
      <c r="AA19">
        <v>0</v>
      </c>
      <c r="AB19">
        <v>1</v>
      </c>
      <c r="AC19">
        <v>0</v>
      </c>
      <c r="AD19">
        <v>0</v>
      </c>
      <c r="AE19">
        <v>0</v>
      </c>
      <c r="AF19">
        <v>0</v>
      </c>
    </row>
    <row r="20" spans="1:32">
      <c r="A20" s="9" t="s">
        <v>15</v>
      </c>
      <c r="B20" s="9"/>
      <c r="C20">
        <v>3</v>
      </c>
      <c r="D20">
        <v>2</v>
      </c>
      <c r="E20">
        <v>2</v>
      </c>
      <c r="F20">
        <v>2</v>
      </c>
      <c r="G20">
        <v>4</v>
      </c>
      <c r="H20">
        <v>2</v>
      </c>
      <c r="I20">
        <v>3</v>
      </c>
      <c r="J20">
        <v>3</v>
      </c>
      <c r="K20">
        <v>4</v>
      </c>
      <c r="L20">
        <v>4</v>
      </c>
      <c r="M20">
        <v>5</v>
      </c>
      <c r="N20">
        <v>2</v>
      </c>
      <c r="O20">
        <v>3</v>
      </c>
      <c r="P20">
        <v>2</v>
      </c>
      <c r="Q20">
        <v>5</v>
      </c>
      <c r="R20">
        <v>2</v>
      </c>
      <c r="S20">
        <v>5</v>
      </c>
      <c r="T20">
        <v>1</v>
      </c>
      <c r="U20">
        <v>1</v>
      </c>
      <c r="V20">
        <v>1</v>
      </c>
      <c r="W20">
        <v>2</v>
      </c>
      <c r="X20">
        <v>1</v>
      </c>
      <c r="Y20">
        <v>2</v>
      </c>
      <c r="Z20">
        <v>2</v>
      </c>
      <c r="AA20">
        <v>3</v>
      </c>
      <c r="AB20">
        <v>3</v>
      </c>
      <c r="AC20">
        <v>1</v>
      </c>
      <c r="AD20">
        <v>2</v>
      </c>
      <c r="AE20">
        <v>3</v>
      </c>
      <c r="AF20">
        <v>4</v>
      </c>
    </row>
    <row r="21" spans="1:32">
      <c r="A21" s="13" t="s">
        <v>159</v>
      </c>
      <c r="B21" s="13"/>
      <c r="C21">
        <v>24</v>
      </c>
      <c r="D21">
        <v>4</v>
      </c>
      <c r="E21">
        <v>4</v>
      </c>
      <c r="F21">
        <v>8</v>
      </c>
      <c r="G21">
        <v>2</v>
      </c>
      <c r="H21">
        <v>2</v>
      </c>
      <c r="I21">
        <v>2</v>
      </c>
      <c r="J21">
        <v>4</v>
      </c>
      <c r="K21">
        <v>8</v>
      </c>
      <c r="L21">
        <v>12</v>
      </c>
      <c r="M21">
        <v>8</v>
      </c>
      <c r="N21">
        <v>2</v>
      </c>
      <c r="O21">
        <v>8</v>
      </c>
      <c r="P21">
        <v>4</v>
      </c>
      <c r="Q21">
        <v>8</v>
      </c>
      <c r="R21">
        <v>2</v>
      </c>
      <c r="S21">
        <v>4</v>
      </c>
      <c r="T21">
        <v>2</v>
      </c>
      <c r="U21">
        <v>2</v>
      </c>
      <c r="V21">
        <v>2</v>
      </c>
      <c r="W21">
        <v>8</v>
      </c>
      <c r="X21">
        <v>2</v>
      </c>
      <c r="Y21">
        <v>0</v>
      </c>
      <c r="Z21">
        <v>4</v>
      </c>
      <c r="AA21">
        <v>8</v>
      </c>
      <c r="AB21">
        <v>8</v>
      </c>
      <c r="AC21">
        <v>4</v>
      </c>
      <c r="AD21">
        <v>4</v>
      </c>
      <c r="AE21">
        <v>2</v>
      </c>
      <c r="AF21">
        <v>4</v>
      </c>
    </row>
    <row r="22" spans="1:32">
      <c r="A22" s="13" t="s">
        <v>169</v>
      </c>
      <c r="B22" s="13"/>
      <c r="C22">
        <v>2</v>
      </c>
      <c r="D22">
        <v>1</v>
      </c>
      <c r="E22">
        <v>1</v>
      </c>
      <c r="F22">
        <v>2</v>
      </c>
      <c r="G22">
        <v>1</v>
      </c>
      <c r="H22">
        <v>1</v>
      </c>
      <c r="I22">
        <v>1</v>
      </c>
      <c r="J22">
        <v>2</v>
      </c>
      <c r="K22">
        <v>2</v>
      </c>
      <c r="L22">
        <v>2</v>
      </c>
      <c r="M22">
        <v>2</v>
      </c>
      <c r="N22">
        <v>1</v>
      </c>
      <c r="O22">
        <v>1</v>
      </c>
      <c r="P22">
        <v>2</v>
      </c>
      <c r="Q22">
        <v>2</v>
      </c>
      <c r="R22">
        <v>1</v>
      </c>
      <c r="S22">
        <v>1</v>
      </c>
      <c r="T22">
        <v>1</v>
      </c>
      <c r="U22">
        <v>1</v>
      </c>
      <c r="V22">
        <v>1</v>
      </c>
      <c r="W22">
        <v>2</v>
      </c>
      <c r="X22">
        <v>1</v>
      </c>
      <c r="Y22">
        <v>0</v>
      </c>
      <c r="Z22">
        <v>1</v>
      </c>
      <c r="AA22">
        <v>2</v>
      </c>
      <c r="AB22">
        <v>3</v>
      </c>
      <c r="AC22">
        <v>2</v>
      </c>
      <c r="AD22">
        <v>2</v>
      </c>
      <c r="AE22">
        <v>1</v>
      </c>
      <c r="AF22">
        <v>1</v>
      </c>
    </row>
    <row r="23" spans="1:32">
      <c r="A23" s="13" t="s">
        <v>156</v>
      </c>
      <c r="B23" s="13"/>
      <c r="C23">
        <v>80</v>
      </c>
      <c r="D23">
        <v>0</v>
      </c>
      <c r="E23">
        <v>0</v>
      </c>
      <c r="F23">
        <v>0</v>
      </c>
      <c r="G23">
        <v>20</v>
      </c>
      <c r="H23">
        <v>0</v>
      </c>
      <c r="I23">
        <v>0</v>
      </c>
      <c r="J23">
        <v>0</v>
      </c>
      <c r="K23">
        <v>32</v>
      </c>
      <c r="L23">
        <v>0</v>
      </c>
      <c r="M23">
        <v>0</v>
      </c>
      <c r="N23">
        <v>0</v>
      </c>
      <c r="O23">
        <v>80</v>
      </c>
      <c r="P23">
        <v>0</v>
      </c>
      <c r="Q23">
        <v>0</v>
      </c>
      <c r="R23">
        <v>0</v>
      </c>
      <c r="S23">
        <v>0</v>
      </c>
      <c r="T23">
        <v>0</v>
      </c>
      <c r="U23">
        <v>0</v>
      </c>
      <c r="V23">
        <v>0</v>
      </c>
      <c r="W23">
        <v>24</v>
      </c>
      <c r="X23">
        <v>0</v>
      </c>
      <c r="Y23">
        <v>150</v>
      </c>
      <c r="Z23">
        <v>0</v>
      </c>
      <c r="AA23">
        <v>24</v>
      </c>
      <c r="AB23">
        <v>80</v>
      </c>
      <c r="AC23">
        <v>0</v>
      </c>
      <c r="AD23">
        <v>8</v>
      </c>
      <c r="AE23">
        <v>24</v>
      </c>
      <c r="AF23">
        <v>0</v>
      </c>
    </row>
    <row r="24" spans="1:32">
      <c r="A24" s="13" t="s">
        <v>173</v>
      </c>
      <c r="B24" s="13"/>
      <c r="C24">
        <v>2</v>
      </c>
      <c r="D24">
        <v>2</v>
      </c>
      <c r="E24">
        <v>2</v>
      </c>
      <c r="F24">
        <v>3</v>
      </c>
      <c r="G24">
        <v>2</v>
      </c>
      <c r="H24">
        <v>2</v>
      </c>
      <c r="I24">
        <v>2</v>
      </c>
      <c r="J24">
        <v>1</v>
      </c>
      <c r="K24">
        <v>1</v>
      </c>
      <c r="L24">
        <v>3</v>
      </c>
      <c r="M24">
        <v>2</v>
      </c>
      <c r="N24">
        <v>2</v>
      </c>
      <c r="O24">
        <v>2</v>
      </c>
      <c r="P24">
        <v>2</v>
      </c>
      <c r="Q24">
        <v>2</v>
      </c>
      <c r="R24">
        <v>2</v>
      </c>
      <c r="S24">
        <v>2</v>
      </c>
      <c r="T24">
        <v>2</v>
      </c>
      <c r="U24">
        <v>2</v>
      </c>
      <c r="V24">
        <v>2</v>
      </c>
      <c r="W24">
        <v>2</v>
      </c>
      <c r="X24">
        <v>2</v>
      </c>
      <c r="Y24">
        <v>3</v>
      </c>
      <c r="Z24">
        <v>2</v>
      </c>
      <c r="AA24">
        <v>2</v>
      </c>
      <c r="AB24">
        <v>2</v>
      </c>
      <c r="AC24">
        <v>2</v>
      </c>
      <c r="AD24">
        <v>2</v>
      </c>
      <c r="AE24">
        <v>2</v>
      </c>
      <c r="AF24">
        <v>2</v>
      </c>
    </row>
    <row r="25" spans="1:32">
      <c r="A25" s="13" t="s">
        <v>172</v>
      </c>
      <c r="B25" s="13"/>
      <c r="C25">
        <v>4</v>
      </c>
      <c r="D25">
        <v>1</v>
      </c>
      <c r="E25">
        <v>1</v>
      </c>
      <c r="F25">
        <v>4</v>
      </c>
      <c r="G25">
        <v>1</v>
      </c>
      <c r="H25">
        <v>1</v>
      </c>
      <c r="I25">
        <v>2</v>
      </c>
      <c r="J25">
        <v>1</v>
      </c>
      <c r="K25">
        <v>1</v>
      </c>
      <c r="L25">
        <v>3</v>
      </c>
      <c r="M25">
        <v>3</v>
      </c>
      <c r="N25">
        <v>1</v>
      </c>
      <c r="O25">
        <v>1</v>
      </c>
      <c r="P25">
        <v>3</v>
      </c>
      <c r="Q25">
        <v>1</v>
      </c>
      <c r="R25">
        <v>1</v>
      </c>
      <c r="S25">
        <v>1</v>
      </c>
      <c r="T25">
        <v>1</v>
      </c>
      <c r="U25">
        <v>1</v>
      </c>
      <c r="V25">
        <v>1</v>
      </c>
      <c r="W25">
        <v>1</v>
      </c>
      <c r="X25">
        <v>1</v>
      </c>
      <c r="Y25">
        <v>4</v>
      </c>
      <c r="Z25">
        <v>1</v>
      </c>
      <c r="AA25">
        <v>1</v>
      </c>
      <c r="AB25">
        <v>5</v>
      </c>
      <c r="AC25">
        <v>1</v>
      </c>
      <c r="AD25">
        <v>1</v>
      </c>
      <c r="AE25">
        <v>1</v>
      </c>
      <c r="AF25">
        <v>0</v>
      </c>
    </row>
    <row r="26" spans="1:32">
      <c r="A26" s="13" t="s">
        <v>251</v>
      </c>
      <c r="B26" s="9"/>
      <c r="C26">
        <v>0</v>
      </c>
      <c r="D26">
        <v>0</v>
      </c>
      <c r="E26">
        <v>0</v>
      </c>
      <c r="F26">
        <v>0</v>
      </c>
      <c r="G26">
        <v>0</v>
      </c>
      <c r="H26">
        <v>0</v>
      </c>
      <c r="I26">
        <v>0</v>
      </c>
      <c r="J26">
        <v>1</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row>
    <row r="27" spans="1:32">
      <c r="A27" s="9" t="s">
        <v>212</v>
      </c>
      <c r="B27" s="9"/>
      <c r="C27">
        <v>1</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1</v>
      </c>
      <c r="Z27">
        <v>0</v>
      </c>
      <c r="AA27">
        <v>0</v>
      </c>
      <c r="AB27">
        <v>1</v>
      </c>
      <c r="AC27">
        <v>0</v>
      </c>
      <c r="AD27">
        <v>0</v>
      </c>
      <c r="AE27">
        <v>0</v>
      </c>
      <c r="AF27">
        <v>0</v>
      </c>
    </row>
    <row r="28" spans="1:32">
      <c r="A28" s="13" t="s">
        <v>211</v>
      </c>
      <c r="B28" s="13"/>
      <c r="C28">
        <v>0</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0</v>
      </c>
      <c r="Z28">
        <v>1</v>
      </c>
      <c r="AA28">
        <v>1</v>
      </c>
      <c r="AB28">
        <v>0</v>
      </c>
      <c r="AC28">
        <v>1</v>
      </c>
      <c r="AD28">
        <v>1</v>
      </c>
      <c r="AE28">
        <v>1</v>
      </c>
      <c r="AF28">
        <v>1</v>
      </c>
    </row>
    <row r="29" spans="1:32">
      <c r="A29" s="9" t="s">
        <v>17</v>
      </c>
      <c r="B29" s="9"/>
      <c r="C29">
        <v>2</v>
      </c>
      <c r="D29">
        <v>0</v>
      </c>
      <c r="E29">
        <v>0</v>
      </c>
      <c r="F29">
        <v>1</v>
      </c>
      <c r="G29">
        <v>0</v>
      </c>
      <c r="H29">
        <v>0</v>
      </c>
      <c r="I29">
        <v>0</v>
      </c>
      <c r="J29">
        <v>0</v>
      </c>
      <c r="K29">
        <v>1</v>
      </c>
      <c r="L29">
        <v>0</v>
      </c>
      <c r="M29">
        <v>0</v>
      </c>
      <c r="N29">
        <v>0</v>
      </c>
      <c r="O29">
        <v>4</v>
      </c>
      <c r="P29">
        <v>0</v>
      </c>
      <c r="Q29">
        <v>0</v>
      </c>
      <c r="R29">
        <v>0</v>
      </c>
      <c r="S29">
        <v>0</v>
      </c>
      <c r="T29">
        <v>0</v>
      </c>
      <c r="U29">
        <v>0</v>
      </c>
      <c r="V29">
        <v>0</v>
      </c>
      <c r="W29">
        <v>1</v>
      </c>
      <c r="X29">
        <v>0</v>
      </c>
      <c r="Y29">
        <v>2</v>
      </c>
      <c r="Z29">
        <v>0</v>
      </c>
      <c r="AA29">
        <v>1</v>
      </c>
      <c r="AB29">
        <v>2</v>
      </c>
      <c r="AC29">
        <v>0</v>
      </c>
      <c r="AD29">
        <v>0</v>
      </c>
      <c r="AE29">
        <v>0</v>
      </c>
      <c r="AF29">
        <v>1</v>
      </c>
    </row>
    <row r="30" spans="1:32">
      <c r="A30" s="9" t="s">
        <v>138</v>
      </c>
      <c r="B30" s="9"/>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row>
    <row r="31" spans="1:32">
      <c r="A31" s="13" t="s">
        <v>139</v>
      </c>
      <c r="B31" s="13"/>
      <c r="C31">
        <v>1</v>
      </c>
      <c r="D31">
        <v>0</v>
      </c>
      <c r="E31">
        <v>0</v>
      </c>
      <c r="F31">
        <v>0</v>
      </c>
      <c r="G31">
        <v>0</v>
      </c>
      <c r="H31">
        <v>0</v>
      </c>
      <c r="I31">
        <v>0</v>
      </c>
      <c r="J31">
        <v>0</v>
      </c>
      <c r="K31">
        <v>0</v>
      </c>
      <c r="L31">
        <v>0</v>
      </c>
      <c r="M31">
        <v>0</v>
      </c>
      <c r="N31">
        <v>0</v>
      </c>
      <c r="O31">
        <v>4</v>
      </c>
      <c r="P31">
        <v>0</v>
      </c>
      <c r="Q31">
        <v>0</v>
      </c>
      <c r="R31">
        <v>0</v>
      </c>
      <c r="S31">
        <v>0</v>
      </c>
      <c r="T31">
        <v>0</v>
      </c>
      <c r="U31">
        <v>0</v>
      </c>
      <c r="V31">
        <v>0</v>
      </c>
      <c r="W31">
        <v>0</v>
      </c>
      <c r="X31">
        <v>0</v>
      </c>
      <c r="Y31">
        <v>2</v>
      </c>
      <c r="Z31">
        <v>0</v>
      </c>
      <c r="AA31">
        <v>0</v>
      </c>
      <c r="AB31">
        <v>2</v>
      </c>
      <c r="AC31">
        <v>0</v>
      </c>
      <c r="AD31">
        <v>0</v>
      </c>
      <c r="AE31">
        <v>0</v>
      </c>
      <c r="AF31">
        <v>0</v>
      </c>
    </row>
    <row r="32" spans="1:32">
      <c r="A32" s="13" t="s">
        <v>164</v>
      </c>
      <c r="B32" s="13"/>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row>
    <row r="33" spans="1:32">
      <c r="A33" s="13" t="s">
        <v>165</v>
      </c>
      <c r="B33" s="13"/>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row>
    <row r="34" spans="1:32">
      <c r="A34" s="13" t="s">
        <v>160</v>
      </c>
      <c r="B34" s="13"/>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row>
    <row r="35" spans="1:32">
      <c r="A35" s="13" t="s">
        <v>167</v>
      </c>
      <c r="B35" s="13"/>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row>
    <row r="36" spans="1:32">
      <c r="A36" s="13" t="s">
        <v>40</v>
      </c>
      <c r="B36" s="13"/>
      <c r="C36">
        <v>1</v>
      </c>
      <c r="D36">
        <v>1</v>
      </c>
      <c r="E36">
        <v>1</v>
      </c>
      <c r="F36">
        <v>1</v>
      </c>
      <c r="G36">
        <v>1</v>
      </c>
      <c r="H36">
        <v>1</v>
      </c>
      <c r="I36">
        <v>1</v>
      </c>
      <c r="J36">
        <v>1</v>
      </c>
      <c r="K36">
        <v>1</v>
      </c>
      <c r="L36">
        <v>1</v>
      </c>
      <c r="M36">
        <v>1</v>
      </c>
      <c r="N36">
        <v>1</v>
      </c>
      <c r="O36">
        <v>3</v>
      </c>
      <c r="P36">
        <v>1</v>
      </c>
      <c r="Q36">
        <v>1</v>
      </c>
      <c r="R36">
        <v>1</v>
      </c>
      <c r="S36">
        <v>1</v>
      </c>
      <c r="T36">
        <v>1</v>
      </c>
      <c r="U36">
        <v>1</v>
      </c>
      <c r="V36">
        <v>1</v>
      </c>
      <c r="W36">
        <v>1</v>
      </c>
      <c r="X36">
        <v>1</v>
      </c>
      <c r="Y36">
        <v>1</v>
      </c>
      <c r="Z36">
        <v>1</v>
      </c>
      <c r="AA36">
        <v>1</v>
      </c>
      <c r="AB36">
        <v>1</v>
      </c>
      <c r="AC36">
        <v>1</v>
      </c>
      <c r="AD36">
        <v>1</v>
      </c>
      <c r="AE36">
        <v>1</v>
      </c>
      <c r="AF36">
        <v>1</v>
      </c>
    </row>
    <row r="37" spans="1:32">
      <c r="A37" s="28" t="s">
        <v>243</v>
      </c>
      <c r="B37" s="28">
        <v>0</v>
      </c>
      <c r="C37">
        <f>SUM(C38:C43)</f>
        <v>6527.15</v>
      </c>
      <c r="D37">
        <v>249</v>
      </c>
      <c r="E37">
        <v>349</v>
      </c>
      <c r="F37">
        <v>1205</v>
      </c>
      <c r="G37">
        <v>248</v>
      </c>
      <c r="H37">
        <v>398</v>
      </c>
      <c r="I37">
        <v>859</v>
      </c>
      <c r="J37">
        <v>455</v>
      </c>
      <c r="K37">
        <v>654</v>
      </c>
      <c r="L37">
        <v>930</v>
      </c>
      <c r="M37">
        <v>1293</v>
      </c>
      <c r="N37">
        <v>248</v>
      </c>
      <c r="O37">
        <v>11121</v>
      </c>
      <c r="P37">
        <v>597</v>
      </c>
      <c r="Q37">
        <v>711</v>
      </c>
      <c r="R37">
        <v>323</v>
      </c>
      <c r="S37">
        <v>987</v>
      </c>
      <c r="T37">
        <v>301</v>
      </c>
      <c r="U37">
        <v>211</v>
      </c>
      <c r="V37">
        <v>256</v>
      </c>
      <c r="W37">
        <v>633</v>
      </c>
      <c r="X37">
        <v>326</v>
      </c>
      <c r="Y37">
        <v>4345</v>
      </c>
      <c r="Z37">
        <v>819</v>
      </c>
      <c r="AA37">
        <v>1082</v>
      </c>
      <c r="AB37">
        <v>5855</v>
      </c>
      <c r="AC37">
        <v>228</v>
      </c>
      <c r="AD37">
        <v>338</v>
      </c>
      <c r="AE37">
        <v>337</v>
      </c>
      <c r="AF37">
        <v>293</v>
      </c>
    </row>
    <row r="38" spans="1:32">
      <c r="A38" s="13" t="s">
        <v>216</v>
      </c>
      <c r="B38" s="13">
        <v>0</v>
      </c>
      <c r="C38">
        <v>1805.15</v>
      </c>
      <c r="D38">
        <v>138</v>
      </c>
      <c r="E38">
        <v>88</v>
      </c>
      <c r="F38">
        <v>376</v>
      </c>
      <c r="G38">
        <v>94</v>
      </c>
      <c r="H38">
        <v>41</v>
      </c>
      <c r="I38">
        <v>214</v>
      </c>
      <c r="J38">
        <v>131</v>
      </c>
      <c r="K38">
        <v>246</v>
      </c>
      <c r="L38">
        <v>74</v>
      </c>
      <c r="M38">
        <v>283</v>
      </c>
      <c r="N38">
        <v>43</v>
      </c>
      <c r="O38">
        <v>4428</v>
      </c>
      <c r="P38">
        <v>140</v>
      </c>
      <c r="Q38">
        <v>193</v>
      </c>
      <c r="R38">
        <v>104</v>
      </c>
      <c r="S38">
        <v>265</v>
      </c>
      <c r="T38">
        <v>93</v>
      </c>
      <c r="U38">
        <v>64</v>
      </c>
      <c r="V38">
        <v>80</v>
      </c>
      <c r="W38">
        <v>187</v>
      </c>
      <c r="X38">
        <v>84</v>
      </c>
      <c r="Y38">
        <v>1248</v>
      </c>
      <c r="Z38">
        <v>247</v>
      </c>
      <c r="AA38">
        <v>399</v>
      </c>
      <c r="AB38">
        <v>1727</v>
      </c>
      <c r="AC38">
        <v>53</v>
      </c>
      <c r="AD38">
        <v>103</v>
      </c>
      <c r="AE38">
        <v>115</v>
      </c>
      <c r="AF38">
        <v>156</v>
      </c>
    </row>
    <row r="39" spans="1:32">
      <c r="A39" s="13" t="s">
        <v>217</v>
      </c>
      <c r="B39" s="13">
        <v>0</v>
      </c>
      <c r="C39" s="15">
        <f>2512-324</f>
        <v>2188</v>
      </c>
      <c r="D39">
        <v>61</v>
      </c>
      <c r="E39">
        <v>180</v>
      </c>
      <c r="F39">
        <v>495</v>
      </c>
      <c r="G39">
        <v>88</v>
      </c>
      <c r="H39">
        <v>257</v>
      </c>
      <c r="I39">
        <v>436</v>
      </c>
      <c r="J39">
        <v>154</v>
      </c>
      <c r="K39">
        <v>227</v>
      </c>
      <c r="L39">
        <v>476</v>
      </c>
      <c r="M39">
        <v>382</v>
      </c>
      <c r="N39">
        <v>143</v>
      </c>
      <c r="O39">
        <v>4117</v>
      </c>
      <c r="P39">
        <v>181</v>
      </c>
      <c r="Q39">
        <v>297</v>
      </c>
      <c r="R39">
        <v>131</v>
      </c>
      <c r="S39">
        <v>476</v>
      </c>
      <c r="T39">
        <v>125</v>
      </c>
      <c r="U39">
        <v>81</v>
      </c>
      <c r="V39">
        <v>122</v>
      </c>
      <c r="W39">
        <v>276</v>
      </c>
      <c r="X39">
        <v>154</v>
      </c>
      <c r="Y39">
        <v>1927</v>
      </c>
      <c r="Z39">
        <v>387</v>
      </c>
      <c r="AA39" s="152">
        <v>439</v>
      </c>
      <c r="AB39">
        <v>1835</v>
      </c>
      <c r="AC39">
        <v>96</v>
      </c>
      <c r="AD39">
        <v>156</v>
      </c>
      <c r="AE39">
        <v>139</v>
      </c>
      <c r="AF39">
        <v>84</v>
      </c>
    </row>
    <row r="40" spans="1:32">
      <c r="A40" s="13" t="s">
        <v>42</v>
      </c>
      <c r="B40" s="13">
        <v>0</v>
      </c>
      <c r="C40">
        <v>1721</v>
      </c>
      <c r="D40">
        <v>36</v>
      </c>
      <c r="E40">
        <v>46</v>
      </c>
      <c r="F40">
        <v>127</v>
      </c>
      <c r="G40">
        <v>44</v>
      </c>
      <c r="H40">
        <v>63</v>
      </c>
      <c r="I40">
        <v>115</v>
      </c>
      <c r="J40">
        <v>82</v>
      </c>
      <c r="K40">
        <v>115</v>
      </c>
      <c r="L40">
        <v>275</v>
      </c>
      <c r="M40">
        <v>427</v>
      </c>
      <c r="N40">
        <v>35</v>
      </c>
      <c r="O40">
        <v>1363</v>
      </c>
      <c r="P40">
        <v>95</v>
      </c>
      <c r="Q40">
        <v>161</v>
      </c>
      <c r="R40">
        <v>45</v>
      </c>
      <c r="S40">
        <v>175</v>
      </c>
      <c r="T40">
        <v>43</v>
      </c>
      <c r="U40">
        <v>33</v>
      </c>
      <c r="V40">
        <v>30</v>
      </c>
      <c r="W40">
        <v>97</v>
      </c>
      <c r="X40">
        <v>43</v>
      </c>
      <c r="Y40">
        <v>485</v>
      </c>
      <c r="Z40">
        <v>72</v>
      </c>
      <c r="AA40">
        <v>168</v>
      </c>
      <c r="AB40">
        <v>888</v>
      </c>
      <c r="AC40">
        <v>45</v>
      </c>
      <c r="AD40">
        <v>56</v>
      </c>
      <c r="AE40">
        <v>38</v>
      </c>
      <c r="AF40">
        <v>42</v>
      </c>
    </row>
    <row r="41" spans="1:32">
      <c r="A41" s="13" t="s">
        <v>218</v>
      </c>
      <c r="B41" s="13">
        <v>0</v>
      </c>
      <c r="C41">
        <v>257</v>
      </c>
      <c r="D41">
        <v>0</v>
      </c>
      <c r="E41">
        <v>22</v>
      </c>
      <c r="F41">
        <v>155</v>
      </c>
      <c r="G41">
        <v>16</v>
      </c>
      <c r="H41">
        <v>14</v>
      </c>
      <c r="I41">
        <v>46</v>
      </c>
      <c r="J41">
        <v>63</v>
      </c>
      <c r="K41">
        <v>21</v>
      </c>
      <c r="L41">
        <v>53</v>
      </c>
      <c r="M41">
        <v>162</v>
      </c>
      <c r="N41">
        <v>19</v>
      </c>
      <c r="O41">
        <v>297</v>
      </c>
      <c r="P41">
        <v>140</v>
      </c>
      <c r="Q41">
        <v>39</v>
      </c>
      <c r="R41">
        <v>16</v>
      </c>
      <c r="S41">
        <v>34</v>
      </c>
      <c r="T41">
        <v>18</v>
      </c>
      <c r="U41">
        <v>7</v>
      </c>
      <c r="V41">
        <v>4</v>
      </c>
      <c r="W41">
        <v>47</v>
      </c>
      <c r="X41">
        <v>15</v>
      </c>
      <c r="Y41">
        <v>507</v>
      </c>
      <c r="Z41">
        <v>34</v>
      </c>
      <c r="AA41">
        <v>97</v>
      </c>
      <c r="AB41">
        <v>1219</v>
      </c>
      <c r="AC41">
        <v>21</v>
      </c>
      <c r="AD41">
        <v>12</v>
      </c>
      <c r="AE41">
        <v>12</v>
      </c>
      <c r="AF41">
        <v>7</v>
      </c>
    </row>
    <row r="42" spans="1:32">
      <c r="A42" s="13" t="s">
        <v>40</v>
      </c>
      <c r="B42" s="13">
        <v>0</v>
      </c>
      <c r="C42">
        <v>232</v>
      </c>
      <c r="D42">
        <v>14</v>
      </c>
      <c r="E42">
        <v>13</v>
      </c>
      <c r="F42">
        <v>52</v>
      </c>
      <c r="G42">
        <v>6</v>
      </c>
      <c r="H42">
        <v>23</v>
      </c>
      <c r="I42">
        <v>40</v>
      </c>
      <c r="J42">
        <v>25</v>
      </c>
      <c r="K42">
        <v>45</v>
      </c>
      <c r="L42">
        <v>52</v>
      </c>
      <c r="M42">
        <v>39</v>
      </c>
      <c r="N42">
        <v>8</v>
      </c>
      <c r="O42">
        <v>604</v>
      </c>
      <c r="P42">
        <v>42</v>
      </c>
      <c r="Q42">
        <v>21</v>
      </c>
      <c r="R42">
        <v>27</v>
      </c>
      <c r="S42">
        <v>37</v>
      </c>
      <c r="T42">
        <v>22</v>
      </c>
      <c r="U42">
        <v>26</v>
      </c>
      <c r="V42">
        <v>20</v>
      </c>
      <c r="W42">
        <v>26</v>
      </c>
      <c r="X42">
        <v>30</v>
      </c>
      <c r="Y42">
        <v>178</v>
      </c>
      <c r="Z42">
        <v>57</v>
      </c>
      <c r="AA42">
        <v>57</v>
      </c>
      <c r="AB42">
        <v>186</v>
      </c>
      <c r="AC42">
        <v>13</v>
      </c>
      <c r="AD42">
        <v>11</v>
      </c>
      <c r="AE42">
        <v>18</v>
      </c>
      <c r="AF42">
        <v>4</v>
      </c>
    </row>
    <row r="43" spans="1:32">
      <c r="A43" s="13" t="s">
        <v>253</v>
      </c>
      <c r="B43" s="13">
        <v>0</v>
      </c>
      <c r="C43">
        <v>324</v>
      </c>
      <c r="D43">
        <v>8</v>
      </c>
      <c r="E43">
        <v>16</v>
      </c>
      <c r="F43">
        <v>44</v>
      </c>
      <c r="G43">
        <v>8</v>
      </c>
      <c r="H43">
        <v>45</v>
      </c>
      <c r="I43">
        <v>8</v>
      </c>
      <c r="J43">
        <v>21</v>
      </c>
      <c r="K43">
        <v>20</v>
      </c>
      <c r="L43">
        <v>104</v>
      </c>
      <c r="M43">
        <v>41</v>
      </c>
      <c r="N43">
        <v>14</v>
      </c>
      <c r="O43">
        <v>311</v>
      </c>
      <c r="P43">
        <v>0</v>
      </c>
      <c r="Q43">
        <v>23</v>
      </c>
      <c r="R43">
        <v>22</v>
      </c>
      <c r="S43">
        <v>89</v>
      </c>
      <c r="T43">
        <v>18</v>
      </c>
      <c r="U43">
        <v>13</v>
      </c>
      <c r="V43">
        <v>14</v>
      </c>
      <c r="W43">
        <v>25</v>
      </c>
      <c r="X43">
        <v>18</v>
      </c>
      <c r="Y43">
        <v>51</v>
      </c>
      <c r="Z43">
        <v>23</v>
      </c>
      <c r="AA43">
        <v>32</v>
      </c>
      <c r="AB43">
        <v>171</v>
      </c>
      <c r="AC43">
        <v>19</v>
      </c>
      <c r="AD43">
        <v>47</v>
      </c>
      <c r="AE43">
        <v>14</v>
      </c>
      <c r="AF43">
        <v>6</v>
      </c>
    </row>
    <row r="51" spans="6:19">
      <c r="F51" s="156"/>
      <c r="G51" s="156"/>
      <c r="H51" s="156"/>
      <c r="I51" s="156"/>
      <c r="J51" s="156"/>
      <c r="K51" s="156"/>
      <c r="M51" s="156"/>
      <c r="N51" s="156"/>
      <c r="O51" s="156"/>
      <c r="P51" s="156"/>
      <c r="Q51" s="156"/>
      <c r="R51" s="156"/>
      <c r="S51" s="156"/>
    </row>
    <row r="52" spans="6:19">
      <c r="F52" s="157"/>
      <c r="G52" s="157"/>
      <c r="H52" s="157"/>
      <c r="I52" s="157"/>
      <c r="J52" s="157"/>
      <c r="K52" s="157"/>
      <c r="M52" s="157"/>
      <c r="N52" s="157"/>
      <c r="O52" s="157"/>
      <c r="P52" s="157"/>
      <c r="Q52" s="157"/>
      <c r="R52" s="157"/>
      <c r="S52" s="157"/>
    </row>
  </sheetData>
  <mergeCells count="1">
    <mergeCell ref="C1:AD1"/>
  </mergeCells>
  <phoneticPr fontId="1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C34"/>
  <sheetViews>
    <sheetView workbookViewId="0">
      <selection activeCell="A21" sqref="A21"/>
    </sheetView>
  </sheetViews>
  <sheetFormatPr defaultRowHeight="12.75"/>
  <cols>
    <col min="2" max="2" width="99" style="168" customWidth="1"/>
  </cols>
  <sheetData>
    <row r="1" spans="1:3">
      <c r="A1" s="1" t="s">
        <v>264</v>
      </c>
      <c r="B1" s="169" t="s">
        <v>265</v>
      </c>
      <c r="C1" s="1" t="s">
        <v>299</v>
      </c>
    </row>
    <row r="2" spans="1:3" ht="38.25">
      <c r="A2" s="187">
        <v>6.4</v>
      </c>
      <c r="B2" s="168" t="s">
        <v>276</v>
      </c>
    </row>
    <row r="3" spans="1:3" ht="25.5">
      <c r="A3" s="187">
        <v>6.5</v>
      </c>
      <c r="B3" s="168" t="s">
        <v>277</v>
      </c>
    </row>
    <row r="4" spans="1:3" ht="38.25">
      <c r="A4" s="187">
        <v>6.6</v>
      </c>
      <c r="B4" s="168" t="s">
        <v>283</v>
      </c>
    </row>
    <row r="5" spans="1:3">
      <c r="A5" s="187">
        <v>6.7</v>
      </c>
      <c r="B5" s="168" t="s">
        <v>292</v>
      </c>
    </row>
    <row r="6" spans="1:3">
      <c r="A6" s="187">
        <v>6.8</v>
      </c>
      <c r="B6" s="168" t="s">
        <v>298</v>
      </c>
      <c r="C6" t="s">
        <v>300</v>
      </c>
    </row>
    <row r="7" spans="1:3">
      <c r="A7" s="187">
        <v>6.9</v>
      </c>
      <c r="B7" s="168" t="s">
        <v>301</v>
      </c>
      <c r="C7" t="s">
        <v>302</v>
      </c>
    </row>
    <row r="8" spans="1:3" ht="25.5">
      <c r="A8" s="187" t="s">
        <v>303</v>
      </c>
      <c r="B8" s="168" t="s">
        <v>304</v>
      </c>
      <c r="C8" t="s">
        <v>300</v>
      </c>
    </row>
    <row r="9" spans="1:3">
      <c r="A9" s="187">
        <v>7</v>
      </c>
      <c r="B9" s="168" t="s">
        <v>305</v>
      </c>
      <c r="C9" t="s">
        <v>306</v>
      </c>
    </row>
    <row r="10" spans="1:3">
      <c r="A10" s="187">
        <v>7.1</v>
      </c>
      <c r="B10" s="168" t="s">
        <v>311</v>
      </c>
      <c r="C10" t="s">
        <v>312</v>
      </c>
    </row>
    <row r="11" spans="1:3">
      <c r="A11" s="187">
        <v>7.2</v>
      </c>
      <c r="B11" s="168" t="s">
        <v>314</v>
      </c>
      <c r="C11" t="s">
        <v>315</v>
      </c>
    </row>
    <row r="12" spans="1:3">
      <c r="A12" s="187">
        <v>7.3</v>
      </c>
      <c r="B12" s="168" t="s">
        <v>316</v>
      </c>
      <c r="C12" t="s">
        <v>317</v>
      </c>
    </row>
    <row r="13" spans="1:3">
      <c r="A13" s="187">
        <v>7.4</v>
      </c>
      <c r="B13" s="198" t="s">
        <v>321</v>
      </c>
      <c r="C13" s="167" t="s">
        <v>317</v>
      </c>
    </row>
    <row r="14" spans="1:3">
      <c r="A14" s="187">
        <v>7.5</v>
      </c>
      <c r="B14" s="168" t="s">
        <v>330</v>
      </c>
      <c r="C14" s="167" t="s">
        <v>336</v>
      </c>
    </row>
    <row r="15" spans="1:3" ht="25.5">
      <c r="A15" s="187">
        <v>7.6</v>
      </c>
      <c r="B15" s="168" t="s">
        <v>334</v>
      </c>
      <c r="C15" t="s">
        <v>335</v>
      </c>
    </row>
    <row r="16" spans="1:3">
      <c r="A16" s="187">
        <v>7.7</v>
      </c>
      <c r="B16" s="168" t="s">
        <v>337</v>
      </c>
      <c r="C16" t="s">
        <v>335</v>
      </c>
    </row>
    <row r="17" spans="1:3" ht="25.5">
      <c r="A17" s="187">
        <v>7.8</v>
      </c>
      <c r="B17" s="168" t="s">
        <v>348</v>
      </c>
      <c r="C17" t="s">
        <v>335</v>
      </c>
    </row>
    <row r="18" spans="1:3">
      <c r="A18" s="187">
        <v>7.9</v>
      </c>
      <c r="B18" s="168" t="s">
        <v>349</v>
      </c>
      <c r="C18" t="s">
        <v>335</v>
      </c>
    </row>
    <row r="19" spans="1:3">
      <c r="A19" s="187">
        <v>8</v>
      </c>
      <c r="B19" s="168" t="s">
        <v>350</v>
      </c>
      <c r="C19" t="s">
        <v>335</v>
      </c>
    </row>
    <row r="20" spans="1:3">
      <c r="A20" s="187">
        <v>8.1</v>
      </c>
      <c r="B20" s="168" t="s">
        <v>353</v>
      </c>
      <c r="C20" t="s">
        <v>335</v>
      </c>
    </row>
    <row r="21" spans="1:3">
      <c r="A21" s="187"/>
    </row>
    <row r="22" spans="1:3">
      <c r="A22" s="187"/>
    </row>
    <row r="23" spans="1:3">
      <c r="A23" s="187"/>
    </row>
    <row r="24" spans="1:3">
      <c r="A24" s="187"/>
    </row>
    <row r="25" spans="1:3">
      <c r="A25" s="187"/>
    </row>
    <row r="26" spans="1:3">
      <c r="A26" s="187"/>
    </row>
    <row r="27" spans="1:3">
      <c r="A27" s="187"/>
    </row>
    <row r="28" spans="1:3">
      <c r="A28" s="187"/>
    </row>
    <row r="29" spans="1:3">
      <c r="A29" s="187"/>
    </row>
    <row r="30" spans="1:3">
      <c r="A30" s="187"/>
    </row>
    <row r="31" spans="1:3">
      <c r="A31" s="187"/>
    </row>
    <row r="32" spans="1:3">
      <c r="A32" s="187"/>
    </row>
    <row r="33" spans="1:1">
      <c r="A33" s="187"/>
    </row>
    <row r="34" spans="1:1">
      <c r="A34" s="187"/>
    </row>
  </sheetData>
  <phoneticPr fontId="13"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51</vt:i4>
      </vt:variant>
    </vt:vector>
  </HeadingPairs>
  <TitlesOfParts>
    <vt:vector size="55" baseType="lpstr">
      <vt:lpstr>Sheet1</vt:lpstr>
      <vt:lpstr>Sheet3</vt:lpstr>
      <vt:lpstr>Test Data</vt:lpstr>
      <vt:lpstr>Version Notes</vt:lpstr>
      <vt:lpstr>AP</vt:lpstr>
      <vt:lpstr>AsCha</vt:lpstr>
      <vt:lpstr>AsDes</vt:lpstr>
      <vt:lpstr>AsRes</vt:lpstr>
      <vt:lpstr>AsRev</vt:lpstr>
      <vt:lpstr>AsScr</vt:lpstr>
      <vt:lpstr>CD</vt:lpstr>
      <vt:lpstr>Co508Com</vt:lpstr>
      <vt:lpstr>CoAud</vt:lpstr>
      <vt:lpstr>CoCli</vt:lpstr>
      <vt:lpstr>CoDif</vt:lpstr>
      <vt:lpstr>CoDis</vt:lpstr>
      <vt:lpstr>CoGui</vt:lpstr>
      <vt:lpstr>CoInt</vt:lpstr>
      <vt:lpstr>CoIntFreq</vt:lpstr>
      <vt:lpstr>CoKic</vt:lpstr>
      <vt:lpstr>CoLMS</vt:lpstr>
      <vt:lpstr>CoLoc</vt:lpstr>
      <vt:lpstr>CoMed</vt:lpstr>
      <vt:lpstr>CoMus</vt:lpstr>
      <vt:lpstr>CoPho</vt:lpstr>
      <vt:lpstr>CoSDes</vt:lpstr>
      <vt:lpstr>CoSeg</vt:lpstr>
      <vt:lpstr>CoTal</vt:lpstr>
      <vt:lpstr>CoTech</vt:lpstr>
      <vt:lpstr>CoVo</vt:lpstr>
      <vt:lpstr>CoWks</vt:lpstr>
      <vt:lpstr>'Test Data'!Criteria</vt:lpstr>
      <vt:lpstr>CtPro</vt:lpstr>
      <vt:lpstr>CtProClean</vt:lpstr>
      <vt:lpstr>CtRes</vt:lpstr>
      <vt:lpstr>CtRev</vt:lpstr>
      <vt:lpstr>DeAlph</vt:lpstr>
      <vt:lpstr>DeCon</vt:lpstr>
      <vt:lpstr>DePRO</vt:lpstr>
      <vt:lpstr>DeVid</vt:lpstr>
      <vt:lpstr>ID</vt:lpstr>
      <vt:lpstr>MMBeCha</vt:lpstr>
      <vt:lpstr>MMInt</vt:lpstr>
      <vt:lpstr>MML</vt:lpstr>
      <vt:lpstr>MMP</vt:lpstr>
      <vt:lpstr>PR</vt:lpstr>
      <vt:lpstr>Projects</vt:lpstr>
      <vt:lpstr>QA</vt:lpstr>
      <vt:lpstr>SampleProjects</vt:lpstr>
      <vt:lpstr>SCD</vt:lpstr>
      <vt:lpstr>Seg</vt:lpstr>
      <vt:lpstr>TeCustInt</vt:lpstr>
      <vt:lpstr>TL</vt:lpstr>
      <vt:lpstr>TP</vt:lpstr>
      <vt:lpstr>TT</vt:lpstr>
    </vt:vector>
  </TitlesOfParts>
  <Company>Enspire Learning,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Centurion</dc:creator>
  <cp:lastModifiedBy>Julia Preston</cp:lastModifiedBy>
  <cp:lastPrinted>2006-05-29T16:58:45Z</cp:lastPrinted>
  <dcterms:created xsi:type="dcterms:W3CDTF">2006-05-23T17:28:07Z</dcterms:created>
  <dcterms:modified xsi:type="dcterms:W3CDTF">2009-06-11T11:56:49Z</dcterms:modified>
</cp:coreProperties>
</file>