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ystragroup-my.sharepoint.com/personal/cdaudet_systra_info/Documents/Documents/6 - Kingdom of Saudi Arabia/Al Ula/3e semestre 2024/"/>
    </mc:Choice>
  </mc:AlternateContent>
  <xr:revisionPtr revIDLastSave="657" documentId="11_23F921ED32738C1BAF2C4C7E15F8C68164BC847B" xr6:coauthVersionLast="47" xr6:coauthVersionMax="47" xr10:uidLastSave="{DF7624F1-8E0F-4A42-A8E0-36EB45477AE5}"/>
  <bookViews>
    <workbookView xWindow="-108" yWindow="-108" windowWidth="23256" windowHeight="12576" xr2:uid="{00000000-000D-0000-FFFF-FFFF00000000}"/>
  </bookViews>
  <sheets>
    <sheet name="Sheet1" sheetId="1" r:id="rId1"/>
    <sheet name="DR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D19" i="2"/>
  <c r="C19" i="2"/>
  <c r="B19" i="2"/>
  <c r="D15" i="2"/>
  <c r="C15" i="2"/>
  <c r="B15" i="2"/>
  <c r="E13" i="2"/>
  <c r="E15" i="2" s="1"/>
  <c r="D13" i="2"/>
  <c r="C13" i="2"/>
  <c r="B13" i="2"/>
  <c r="E5" i="2"/>
  <c r="D5" i="2"/>
  <c r="C5" i="2"/>
  <c r="B5" i="2"/>
  <c r="D30" i="1"/>
  <c r="P30" i="1"/>
  <c r="T34" i="1"/>
  <c r="T41" i="1" s="1"/>
  <c r="T43" i="1" s="1"/>
  <c r="V41" i="1"/>
  <c r="V43" i="1" s="1"/>
  <c r="S41" i="1"/>
  <c r="S43" i="1" s="1"/>
  <c r="R41" i="1"/>
  <c r="R43" i="1" s="1"/>
  <c r="Q41" i="1"/>
  <c r="Q43" i="1" s="1"/>
  <c r="O41" i="1"/>
  <c r="O43" i="1" s="1"/>
  <c r="K41" i="1"/>
  <c r="K43" i="1" s="1"/>
  <c r="H41" i="1"/>
  <c r="E41" i="1"/>
  <c r="E43" i="1" s="1"/>
  <c r="B41" i="1"/>
  <c r="B43" i="1" s="1"/>
  <c r="U34" i="1"/>
  <c r="V34" i="1"/>
  <c r="P34" i="1"/>
  <c r="P41" i="1" s="1"/>
  <c r="P43" i="1" s="1"/>
  <c r="Q34" i="1"/>
  <c r="R34" i="1"/>
  <c r="S34" i="1"/>
  <c r="O34" i="1"/>
  <c r="N34" i="1"/>
  <c r="N41" i="1" s="1"/>
  <c r="N43" i="1" s="1"/>
  <c r="M34" i="1"/>
  <c r="M41" i="1" s="1"/>
  <c r="M43" i="1" s="1"/>
  <c r="L34" i="1"/>
  <c r="L41" i="1" s="1"/>
  <c r="L43" i="1" s="1"/>
  <c r="K34" i="1"/>
  <c r="C52" i="1"/>
  <c r="D52" i="1"/>
  <c r="E52" i="1"/>
  <c r="F52" i="1"/>
  <c r="G52" i="1"/>
  <c r="H52" i="1"/>
  <c r="K52" i="1"/>
  <c r="L52" i="1"/>
  <c r="M52" i="1"/>
  <c r="N52" i="1"/>
  <c r="O52" i="1"/>
  <c r="P52" i="1"/>
  <c r="Q52" i="1"/>
  <c r="R52" i="1"/>
  <c r="T52" i="1"/>
  <c r="U52" i="1"/>
  <c r="V52" i="1"/>
  <c r="B52" i="1"/>
  <c r="C23" i="1"/>
  <c r="D23" i="1" s="1"/>
  <c r="I34" i="1"/>
  <c r="I41" i="1" s="1"/>
  <c r="I43" i="1" s="1"/>
  <c r="G34" i="1"/>
  <c r="G41" i="1" s="1"/>
  <c r="G43" i="1" s="1"/>
  <c r="H34" i="1"/>
  <c r="O36" i="1"/>
  <c r="F65" i="1"/>
  <c r="C51" i="1"/>
  <c r="F68" i="1" s="1"/>
  <c r="D51" i="1"/>
  <c r="F63" i="1" s="1"/>
  <c r="E51" i="1"/>
  <c r="F62" i="1" s="1"/>
  <c r="F51" i="1"/>
  <c r="G51" i="1"/>
  <c r="H51" i="1"/>
  <c r="I51" i="1"/>
  <c r="I52" i="1" s="1"/>
  <c r="J51" i="1"/>
  <c r="J52" i="1" s="1"/>
  <c r="K51" i="1"/>
  <c r="L51" i="1"/>
  <c r="M51" i="1"/>
  <c r="N51" i="1"/>
  <c r="O51" i="1"/>
  <c r="P51" i="1"/>
  <c r="Q51" i="1"/>
  <c r="R51" i="1"/>
  <c r="S51" i="1"/>
  <c r="S52" i="1" s="1"/>
  <c r="T51" i="1"/>
  <c r="U51" i="1"/>
  <c r="V51" i="1"/>
  <c r="B51" i="1"/>
  <c r="F64" i="1" s="1"/>
  <c r="C33" i="1"/>
  <c r="C35" i="1" s="1"/>
  <c r="C42" i="1" s="1"/>
  <c r="J33" i="1"/>
  <c r="J35" i="1" s="1"/>
  <c r="J42" i="1" s="1"/>
  <c r="K33" i="1"/>
  <c r="K35" i="1" s="1"/>
  <c r="K42" i="1" s="1"/>
  <c r="L33" i="1"/>
  <c r="L35" i="1" s="1"/>
  <c r="L42" i="1" s="1"/>
  <c r="Q33" i="1"/>
  <c r="Q35" i="1" s="1"/>
  <c r="Q42" i="1" s="1"/>
  <c r="R33" i="1"/>
  <c r="R35" i="1" s="1"/>
  <c r="R42" i="1" s="1"/>
  <c r="S33" i="1"/>
  <c r="S35" i="1" s="1"/>
  <c r="S42" i="1" s="1"/>
  <c r="C26" i="1"/>
  <c r="C28" i="1" s="1"/>
  <c r="C30" i="1" s="1"/>
  <c r="D26" i="1"/>
  <c r="D28" i="1" s="1"/>
  <c r="E26" i="1"/>
  <c r="E28" i="1" s="1"/>
  <c r="F26" i="1"/>
  <c r="F33" i="1" s="1"/>
  <c r="G26" i="1"/>
  <c r="G28" i="1" s="1"/>
  <c r="H26" i="1"/>
  <c r="H33" i="1" s="1"/>
  <c r="H40" i="1" s="1"/>
  <c r="I26" i="1"/>
  <c r="I28" i="1" s="1"/>
  <c r="J26" i="1"/>
  <c r="K26" i="1"/>
  <c r="K28" i="1" s="1"/>
  <c r="L26" i="1"/>
  <c r="L28" i="1" s="1"/>
  <c r="M26" i="1"/>
  <c r="M28" i="1" s="1"/>
  <c r="N26" i="1"/>
  <c r="N28" i="1" s="1"/>
  <c r="O26" i="1"/>
  <c r="O28" i="1" s="1"/>
  <c r="P26" i="1"/>
  <c r="P28" i="1" s="1"/>
  <c r="Q26" i="1"/>
  <c r="Q28" i="1" s="1"/>
  <c r="Q30" i="1" s="1"/>
  <c r="R26" i="1"/>
  <c r="R28" i="1" s="1"/>
  <c r="R30" i="1" s="1"/>
  <c r="S26" i="1"/>
  <c r="T26" i="1"/>
  <c r="T33" i="1" s="1"/>
  <c r="U26" i="1"/>
  <c r="U33" i="1" s="1"/>
  <c r="U40" i="1" s="1"/>
  <c r="V26" i="1"/>
  <c r="V33" i="1" s="1"/>
  <c r="C27" i="1"/>
  <c r="C29" i="1" s="1"/>
  <c r="D27" i="1"/>
  <c r="D29" i="1" s="1"/>
  <c r="E27" i="1"/>
  <c r="E34" i="1" s="1"/>
  <c r="F27" i="1"/>
  <c r="F34" i="1" s="1"/>
  <c r="F41" i="1" s="1"/>
  <c r="F43" i="1" s="1"/>
  <c r="G27" i="1"/>
  <c r="H27" i="1"/>
  <c r="I27" i="1"/>
  <c r="J27" i="1"/>
  <c r="J34" i="1" s="1"/>
  <c r="J41" i="1" s="1"/>
  <c r="J43" i="1" s="1"/>
  <c r="K27" i="1"/>
  <c r="L27" i="1"/>
  <c r="M27" i="1"/>
  <c r="N27" i="1"/>
  <c r="O27" i="1"/>
  <c r="P27" i="1"/>
  <c r="P29" i="1" s="1"/>
  <c r="Q27" i="1"/>
  <c r="Q29" i="1" s="1"/>
  <c r="R27" i="1"/>
  <c r="R29" i="1" s="1"/>
  <c r="S27" i="1"/>
  <c r="S29" i="1" s="1"/>
  <c r="T27" i="1"/>
  <c r="U27" i="1"/>
  <c r="U29" i="1" s="1"/>
  <c r="V27" i="1"/>
  <c r="F28" i="1"/>
  <c r="F30" i="1" s="1"/>
  <c r="H28" i="1"/>
  <c r="J28" i="1"/>
  <c r="S28" i="1"/>
  <c r="S30" i="1" s="1"/>
  <c r="U28" i="1"/>
  <c r="U30" i="1" s="1"/>
  <c r="V28" i="1"/>
  <c r="V30" i="1" s="1"/>
  <c r="B26" i="1"/>
  <c r="B33" i="1" s="1"/>
  <c r="B40" i="1" s="1"/>
  <c r="F29" i="1"/>
  <c r="V29" i="1"/>
  <c r="B27" i="1"/>
  <c r="B34" i="1" s="1"/>
  <c r="B21" i="1"/>
  <c r="B22" i="1" s="1"/>
  <c r="D70" i="1"/>
  <c r="L70" i="1" s="1"/>
  <c r="D69" i="1"/>
  <c r="L69" i="1" s="1"/>
  <c r="D68" i="1"/>
  <c r="L68" i="1" s="1"/>
  <c r="D67" i="1"/>
  <c r="L67" i="1" s="1"/>
  <c r="D66" i="1"/>
  <c r="L66" i="1" s="1"/>
  <c r="D65" i="1"/>
  <c r="L65" i="1" s="1"/>
  <c r="D64" i="1"/>
  <c r="L64" i="1" s="1"/>
  <c r="D63" i="1"/>
  <c r="L63" i="1" s="1"/>
  <c r="D62" i="1"/>
  <c r="L62" i="1" s="1"/>
  <c r="E70" i="1"/>
  <c r="E69" i="1"/>
  <c r="E68" i="1"/>
  <c r="E67" i="1"/>
  <c r="E65" i="1"/>
  <c r="E64" i="1"/>
  <c r="E63" i="1"/>
  <c r="E62" i="1"/>
  <c r="E60" i="1"/>
  <c r="D73" i="1" l="1"/>
  <c r="B6" i="2"/>
  <c r="B7" i="2"/>
  <c r="E66" i="1" s="1"/>
  <c r="E72" i="1" s="1"/>
  <c r="J30" i="1"/>
  <c r="E23" i="1"/>
  <c r="F23" i="1" s="1"/>
  <c r="G23" i="1" s="1"/>
  <c r="D21" i="1"/>
  <c r="D22" i="1" s="1"/>
  <c r="O30" i="1"/>
  <c r="B9" i="2" s="1"/>
  <c r="B44" i="1"/>
  <c r="N30" i="1"/>
  <c r="L37" i="1"/>
  <c r="K37" i="1"/>
  <c r="D9" i="2"/>
  <c r="E9" i="2" s="1"/>
  <c r="H43" i="1"/>
  <c r="U41" i="1"/>
  <c r="U43" i="1" s="1"/>
  <c r="C21" i="1"/>
  <c r="C22" i="1" s="1"/>
  <c r="S37" i="1"/>
  <c r="F67" i="1"/>
  <c r="F35" i="1"/>
  <c r="F42" i="1" s="1"/>
  <c r="F40" i="1"/>
  <c r="F36" i="1"/>
  <c r="V35" i="1"/>
  <c r="V42" i="1" s="1"/>
  <c r="V40" i="1"/>
  <c r="V44" i="1" s="1"/>
  <c r="T35" i="1"/>
  <c r="T40" i="1"/>
  <c r="B29" i="1"/>
  <c r="B28" i="1"/>
  <c r="B30" i="1" s="1"/>
  <c r="I33" i="1"/>
  <c r="S40" i="1"/>
  <c r="S44" i="1" s="1"/>
  <c r="T28" i="1"/>
  <c r="T30" i="1" s="1"/>
  <c r="G33" i="1"/>
  <c r="C40" i="1"/>
  <c r="C44" i="1" s="1"/>
  <c r="E33" i="1"/>
  <c r="D33" i="1"/>
  <c r="P33" i="1"/>
  <c r="E29" i="1"/>
  <c r="E30" i="1" s="1"/>
  <c r="O33" i="1"/>
  <c r="N33" i="1"/>
  <c r="D34" i="1"/>
  <c r="D41" i="1" s="1"/>
  <c r="D43" i="1" s="1"/>
  <c r="M33" i="1"/>
  <c r="C34" i="1"/>
  <c r="C41" i="1" s="1"/>
  <c r="C43" i="1" s="1"/>
  <c r="F70" i="1"/>
  <c r="L40" i="1"/>
  <c r="L44" i="1" s="1"/>
  <c r="Q36" i="1"/>
  <c r="Q37" i="1" s="1"/>
  <c r="U35" i="1"/>
  <c r="U42" i="1" s="1"/>
  <c r="U44" i="1" s="1"/>
  <c r="K40" i="1"/>
  <c r="K44" i="1" s="1"/>
  <c r="J40" i="1"/>
  <c r="J44" i="1" s="1"/>
  <c r="I40" i="1"/>
  <c r="H35" i="1"/>
  <c r="H42" i="1" s="1"/>
  <c r="H44" i="1" s="1"/>
  <c r="F69" i="1"/>
  <c r="B35" i="1"/>
  <c r="B42" i="1" s="1"/>
  <c r="R40" i="1"/>
  <c r="R44" i="1" s="1"/>
  <c r="Q40" i="1"/>
  <c r="Q44" i="1" s="1"/>
  <c r="U36" i="1"/>
  <c r="N29" i="1"/>
  <c r="L29" i="1"/>
  <c r="L30" i="1" s="1"/>
  <c r="O29" i="1"/>
  <c r="E36" i="1"/>
  <c r="T29" i="1"/>
  <c r="L36" i="1"/>
  <c r="J36" i="1"/>
  <c r="J37" i="1" s="1"/>
  <c r="M36" i="1"/>
  <c r="I36" i="1"/>
  <c r="K36" i="1"/>
  <c r="G36" i="1"/>
  <c r="T36" i="1"/>
  <c r="H36" i="1"/>
  <c r="M29" i="1"/>
  <c r="M30" i="1" s="1"/>
  <c r="S36" i="1"/>
  <c r="N36" i="1"/>
  <c r="P36" i="1"/>
  <c r="K29" i="1"/>
  <c r="K30" i="1" s="1"/>
  <c r="I29" i="1"/>
  <c r="I30" i="1" s="1"/>
  <c r="V36" i="1"/>
  <c r="H29" i="1"/>
  <c r="H30" i="1" s="1"/>
  <c r="J29" i="1"/>
  <c r="G29" i="1"/>
  <c r="G30" i="1" s="1"/>
  <c r="D72" i="1"/>
  <c r="E73" i="1" l="1"/>
  <c r="F66" i="1"/>
  <c r="F73" i="1" s="1"/>
  <c r="C9" i="2"/>
  <c r="G40" i="1"/>
  <c r="M35" i="1"/>
  <c r="M42" i="1" s="1"/>
  <c r="M37" i="1"/>
  <c r="N35" i="1"/>
  <c r="N42" i="1" s="1"/>
  <c r="N37" i="1"/>
  <c r="E37" i="1"/>
  <c r="I44" i="1"/>
  <c r="U37" i="1"/>
  <c r="B10" i="2"/>
  <c r="C10" i="2" s="1"/>
  <c r="V37" i="1"/>
  <c r="E21" i="1"/>
  <c r="T44" i="1"/>
  <c r="T42" i="1"/>
  <c r="T37" i="1"/>
  <c r="O35" i="1"/>
  <c r="O42" i="1" s="1"/>
  <c r="O37" i="1"/>
  <c r="H37" i="1"/>
  <c r="P35" i="1"/>
  <c r="P42" i="1" s="1"/>
  <c r="P37" i="1"/>
  <c r="D10" i="2" s="1"/>
  <c r="E10" i="2" s="1"/>
  <c r="F37" i="1"/>
  <c r="I35" i="1"/>
  <c r="I42" i="1" s="1"/>
  <c r="I37" i="1"/>
  <c r="B11" i="2"/>
  <c r="C11" i="2" s="1"/>
  <c r="G35" i="1"/>
  <c r="G42" i="1" s="1"/>
  <c r="F44" i="1"/>
  <c r="F46" i="1" s="1"/>
  <c r="F47" i="1" s="1"/>
  <c r="D36" i="1"/>
  <c r="D37" i="1" s="1"/>
  <c r="D35" i="1"/>
  <c r="D42" i="1" s="1"/>
  <c r="D40" i="1"/>
  <c r="D44" i="1" s="1"/>
  <c r="P40" i="1"/>
  <c r="E40" i="1"/>
  <c r="E35" i="1"/>
  <c r="E42" i="1" s="1"/>
  <c r="R36" i="1"/>
  <c r="R37" i="1" s="1"/>
  <c r="N40" i="1"/>
  <c r="F21" i="1"/>
  <c r="F22" i="1" s="1"/>
  <c r="O40" i="1"/>
  <c r="O44" i="1" s="1"/>
  <c r="M40" i="1"/>
  <c r="M44" i="1" s="1"/>
  <c r="G21" i="1"/>
  <c r="G22" i="1" s="1"/>
  <c r="H23" i="1"/>
  <c r="C36" i="1"/>
  <c r="B36" i="1"/>
  <c r="B37" i="1" s="1"/>
  <c r="F72" i="1" l="1"/>
  <c r="E22" i="1"/>
  <c r="G37" i="1"/>
  <c r="N44" i="1"/>
  <c r="P44" i="1"/>
  <c r="D11" i="2" s="1"/>
  <c r="G44" i="1"/>
  <c r="G46" i="1" s="1"/>
  <c r="G47" i="1" s="1"/>
  <c r="G48" i="1" s="1"/>
  <c r="E44" i="1"/>
  <c r="E46" i="1" s="1"/>
  <c r="E47" i="1" s="1"/>
  <c r="C37" i="1"/>
  <c r="C46" i="1" s="1"/>
  <c r="C47" i="1" s="1"/>
  <c r="D46" i="1"/>
  <c r="D47" i="1" s="1"/>
  <c r="H21" i="1"/>
  <c r="H22" i="1" s="1"/>
  <c r="I23" i="1"/>
  <c r="H46" i="1"/>
  <c r="H47" i="1" s="1"/>
  <c r="H48" i="1" s="1"/>
  <c r="B46" i="1"/>
  <c r="B47" i="1" s="1"/>
  <c r="F48" i="1"/>
  <c r="F54" i="1"/>
  <c r="C48" i="1" l="1"/>
  <c r="C54" i="1"/>
  <c r="C56" i="1" s="1"/>
  <c r="M68" i="1" s="1"/>
  <c r="E48" i="1"/>
  <c r="E54" i="1"/>
  <c r="E56" i="1" s="1"/>
  <c r="M62" i="1" s="1"/>
  <c r="E11" i="2"/>
  <c r="E14" i="2"/>
  <c r="M66" i="1" s="1"/>
  <c r="D48" i="1"/>
  <c r="D54" i="1"/>
  <c r="D56" i="1" s="1"/>
  <c r="M63" i="1" s="1"/>
  <c r="G54" i="1"/>
  <c r="I21" i="1"/>
  <c r="I22" i="1" s="1"/>
  <c r="I46" i="1" s="1"/>
  <c r="I47" i="1" s="1"/>
  <c r="J23" i="1"/>
  <c r="H54" i="1"/>
  <c r="B48" i="1"/>
  <c r="B54" i="1"/>
  <c r="B56" i="1" s="1"/>
  <c r="M64" i="1" s="1"/>
  <c r="G56" i="1" l="1"/>
  <c r="M70" i="1" s="1"/>
  <c r="I54" i="1"/>
  <c r="I48" i="1"/>
  <c r="J21" i="1"/>
  <c r="J22" i="1" s="1"/>
  <c r="K23" i="1"/>
  <c r="J46" i="1"/>
  <c r="J47" i="1" s="1"/>
  <c r="K21" i="1" l="1"/>
  <c r="K22" i="1" s="1"/>
  <c r="L23" i="1"/>
  <c r="K46" i="1"/>
  <c r="K47" i="1" s="1"/>
  <c r="J48" i="1"/>
  <c r="J54" i="1"/>
  <c r="K48" i="1" l="1"/>
  <c r="K54" i="1"/>
  <c r="L21" i="1"/>
  <c r="L22" i="1" s="1"/>
  <c r="M23" i="1"/>
  <c r="L46" i="1"/>
  <c r="L47" i="1" s="1"/>
  <c r="L54" i="1" l="1"/>
  <c r="L48" i="1"/>
  <c r="M21" i="1"/>
  <c r="M22" i="1" s="1"/>
  <c r="M46" i="1" s="1"/>
  <c r="M47" i="1" s="1"/>
  <c r="N23" i="1"/>
  <c r="M48" i="1" l="1"/>
  <c r="M54" i="1"/>
  <c r="O23" i="1"/>
  <c r="N21" i="1"/>
  <c r="N22" i="1" s="1"/>
  <c r="N46" i="1" s="1"/>
  <c r="N47" i="1" s="1"/>
  <c r="N48" i="1" l="1"/>
  <c r="N54" i="1"/>
  <c r="M56" i="1" s="1"/>
  <c r="M69" i="1" s="1"/>
  <c r="P23" i="1"/>
  <c r="O21" i="1"/>
  <c r="O22" i="1" s="1"/>
  <c r="O46" i="1"/>
  <c r="O47" i="1" s="1"/>
  <c r="O54" i="1" l="1"/>
  <c r="O48" i="1"/>
  <c r="P21" i="1"/>
  <c r="P22" i="1" s="1"/>
  <c r="Q23" i="1"/>
  <c r="P46" i="1"/>
  <c r="P47" i="1" s="1"/>
  <c r="R23" i="1" l="1"/>
  <c r="Q21" i="1"/>
  <c r="Q22" i="1" s="1"/>
  <c r="Q46" i="1"/>
  <c r="Q47" i="1" s="1"/>
  <c r="P48" i="1"/>
  <c r="P54" i="1"/>
  <c r="Q48" i="1" l="1"/>
  <c r="Q54" i="1"/>
  <c r="S23" i="1"/>
  <c r="R21" i="1"/>
  <c r="R22" i="1" s="1"/>
  <c r="R46" i="1" s="1"/>
  <c r="R47" i="1" s="1"/>
  <c r="R48" i="1" l="1"/>
  <c r="R54" i="1"/>
  <c r="T23" i="1"/>
  <c r="S21" i="1"/>
  <c r="S22" i="1" s="1"/>
  <c r="S46" i="1" s="1"/>
  <c r="S47" i="1" s="1"/>
  <c r="S48" i="1" l="1"/>
  <c r="S54" i="1"/>
  <c r="R56" i="1" s="1"/>
  <c r="M67" i="1" s="1"/>
  <c r="U23" i="1"/>
  <c r="T21" i="1"/>
  <c r="T22" i="1" s="1"/>
  <c r="T46" i="1" s="1"/>
  <c r="T47" i="1" s="1"/>
  <c r="T48" i="1" l="1"/>
  <c r="T54" i="1"/>
  <c r="V23" i="1"/>
  <c r="U21" i="1"/>
  <c r="U22" i="1" s="1"/>
  <c r="U46" i="1" s="1"/>
  <c r="U47" i="1" s="1"/>
  <c r="U48" i="1" l="1"/>
  <c r="U54" i="1"/>
  <c r="V21" i="1"/>
  <c r="V22" i="1" s="1"/>
  <c r="V46" i="1" s="1"/>
  <c r="V47" i="1" s="1"/>
  <c r="V48" i="1" l="1"/>
  <c r="V54" i="1"/>
  <c r="U56" i="1" s="1"/>
  <c r="M65" i="1" s="1"/>
</calcChain>
</file>

<file path=xl/sharedStrings.xml><?xml version="1.0" encoding="utf-8"?>
<sst xmlns="http://schemas.openxmlformats.org/spreadsheetml/2006/main" count="220" uniqueCount="117">
  <si>
    <t>Name</t>
  </si>
  <si>
    <t>Mode</t>
  </si>
  <si>
    <t>Line length (km)</t>
  </si>
  <si>
    <t>Number of stops per direction</t>
  </si>
  <si>
    <t>Average distance between stops (m)</t>
  </si>
  <si>
    <t>Working period</t>
  </si>
  <si>
    <t>Working hours wday</t>
  </si>
  <si>
    <t>Working hours wend</t>
  </si>
  <si>
    <t>Travel time</t>
  </si>
  <si>
    <t>Average commercial speed (kmph)</t>
  </si>
  <si>
    <t>Vehicle size/capacity</t>
  </si>
  <si>
    <t>Number of vehicles</t>
  </si>
  <si>
    <t>Number of vehicles + reserve</t>
  </si>
  <si>
    <t>Covered population (inhabitants)</t>
  </si>
  <si>
    <t>Covered jobs</t>
  </si>
  <si>
    <t>Covered touristic trips</t>
  </si>
  <si>
    <t>Minimum headway</t>
  </si>
  <si>
    <t>Maximum PPHPD</t>
  </si>
  <si>
    <t>X1</t>
  </si>
  <si>
    <t>Coach</t>
  </si>
  <si>
    <t>Weekday, Weekend</t>
  </si>
  <si>
    <t>05:00:00 - 23:40:00</t>
  </si>
  <si>
    <t>01:06:47</t>
  </si>
  <si>
    <t>X Airport</t>
  </si>
  <si>
    <t>05:00:00 - 23:30:00</t>
  </si>
  <si>
    <t>05:00:00 - 23:00:00</t>
  </si>
  <si>
    <t>00:50:35</t>
  </si>
  <si>
    <t>LRT</t>
  </si>
  <si>
    <t>Tramway</t>
  </si>
  <si>
    <t>01:05:09</t>
  </si>
  <si>
    <t>JTT tram</t>
  </si>
  <si>
    <t>00:39:59</t>
  </si>
  <si>
    <t xml:space="preserve">Harrat Cable transport </t>
  </si>
  <si>
    <t>Cable</t>
  </si>
  <si>
    <t>00:06:34</t>
  </si>
  <si>
    <t>F2</t>
  </si>
  <si>
    <t>00:25:58</t>
  </si>
  <si>
    <t>F1</t>
  </si>
  <si>
    <t>00:19:15</t>
  </si>
  <si>
    <t>C6</t>
  </si>
  <si>
    <t>00:34:45</t>
  </si>
  <si>
    <t>C5</t>
  </si>
  <si>
    <t>00:20:43</t>
  </si>
  <si>
    <t>C4</t>
  </si>
  <si>
    <t>00:39:41</t>
  </si>
  <si>
    <t>C3</t>
  </si>
  <si>
    <t>00:20:44</t>
  </si>
  <si>
    <t>C2</t>
  </si>
  <si>
    <t>00:28:43</t>
  </si>
  <si>
    <t>C1</t>
  </si>
  <si>
    <t>07:00:00 - 18:50:00</t>
  </si>
  <si>
    <t>00:45:44</t>
  </si>
  <si>
    <t>B5</t>
  </si>
  <si>
    <t>Bus</t>
  </si>
  <si>
    <t>07:00:00 - 18:00:00</t>
  </si>
  <si>
    <t>00:21:56</t>
  </si>
  <si>
    <t>B4</t>
  </si>
  <si>
    <t>00:49:29</t>
  </si>
  <si>
    <t>B3</t>
  </si>
  <si>
    <t>00:35:15</t>
  </si>
  <si>
    <t>B2</t>
  </si>
  <si>
    <t>00:39:02</t>
  </si>
  <si>
    <t>B1</t>
  </si>
  <si>
    <t>00:19:17</t>
  </si>
  <si>
    <t>A3</t>
  </si>
  <si>
    <t>Shuttle</t>
  </si>
  <si>
    <t>00:07:35</t>
  </si>
  <si>
    <t>A2</t>
  </si>
  <si>
    <t>00:06:41</t>
  </si>
  <si>
    <t>A1</t>
  </si>
  <si>
    <t>00:08:13</t>
  </si>
  <si>
    <t>Veh</t>
  </si>
  <si>
    <t>express</t>
  </si>
  <si>
    <t>JTT</t>
  </si>
  <si>
    <t>Pods</t>
  </si>
  <si>
    <t>DRT</t>
  </si>
  <si>
    <t>Urban bus</t>
  </si>
  <si>
    <t>Phase 2</t>
  </si>
  <si>
    <t>Phase 3</t>
  </si>
  <si>
    <t>Feeders coach</t>
  </si>
  <si>
    <t>TOT</t>
  </si>
  <si>
    <t>Phase 3 augment reserve</t>
  </si>
  <si>
    <t>Annual mileage per vehicle</t>
  </si>
  <si>
    <t>d/year high season</t>
  </si>
  <si>
    <t>d/year low season</t>
  </si>
  <si>
    <t>d/year ramadan</t>
  </si>
  <si>
    <t>High season</t>
  </si>
  <si>
    <t>Low season</t>
  </si>
  <si>
    <t>Ramadan</t>
  </si>
  <si>
    <t>PH duration in H</t>
  </si>
  <si>
    <t>PF HW in min</t>
  </si>
  <si>
    <t>OPH duration in H</t>
  </si>
  <si>
    <t>OPH HW in min</t>
  </si>
  <si>
    <t>daily trips</t>
  </si>
  <si>
    <t>km per year</t>
  </si>
  <si>
    <t>trips per year</t>
  </si>
  <si>
    <t>km per vehicle per year</t>
  </si>
  <si>
    <t>Additional reserve</t>
  </si>
  <si>
    <t>Total vehicle number</t>
  </si>
  <si>
    <t>km per vehicle per year w. adjusted res.</t>
  </si>
  <si>
    <t>Average per mode</t>
  </si>
  <si>
    <t>reserve rate</t>
  </si>
  <si>
    <t>AlUla Central</t>
  </si>
  <si>
    <t>AlUla South</t>
  </si>
  <si>
    <t>RCU Offices</t>
  </si>
  <si>
    <t>Fishtail Canyon</t>
  </si>
  <si>
    <t>Max waiting time in min</t>
  </si>
  <si>
    <t>Avg speed assumption in kmph</t>
  </si>
  <si>
    <t>Average distances in km</t>
  </si>
  <si>
    <t>Veh Nr</t>
  </si>
  <si>
    <t>With reserve</t>
  </si>
  <si>
    <t>TOTAL</t>
  </si>
  <si>
    <t>Trips per day</t>
  </si>
  <si>
    <t>Low Season</t>
  </si>
  <si>
    <t>km/year</t>
  </si>
  <si>
    <t>km/veh/year</t>
  </si>
  <si>
    <t>without 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</si>
</sst>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1" applyNumberFormat="1" applyFont="1"/>
    <xf numFmtId="1" fontId="0" fillId="0" borderId="0" xfId="0" applyNumberFormat="1"/>
    <xf numFmtId="0" fontId="3" fillId="0" borderId="0" xfId="0" applyFont="1"/>
    <xf numFmtId="9" fontId="0" fillId="0" borderId="0" xfId="2" applyFont="1"/>
    <xf numFmtId="0" fontId="1" fillId="0" borderId="0" xfId="0" applyFont="1" applyFill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atpdevgroup.sharepoint.com/teams/ALULA360MOBILITYSTRATEGY/Shared%20Documents/General/SYSTRA%20WORKSPACE/12-Phase%203%20report/B03%20-%20Bus%20Network/2%20-%20Work/CAPEX_OPEX_V3.2.xlsx" TargetMode="External"/><Relationship Id="rId1" Type="http://schemas.openxmlformats.org/officeDocument/2006/relationships/externalLinkPath" Target="https://ratpdevgroup.sharepoint.com/teams/ALULA360MOBILITYSTRATEGY/Shared%20Documents/General/SYSTRA%20WORKSPACE/12-Phase%203%20report/B03%20-%20Bus%20Network/2%20-%20Work/CAPEX_OPEX_V3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Year 1-5"/>
      <sheetName val="Ratpdev assumptions"/>
      <sheetName val="RATP Dev Scenario"/>
      <sheetName val="OPEXCAPEX"/>
      <sheetName val="Tram"/>
      <sheetName val="Other"/>
      <sheetName val="Elec depot"/>
      <sheetName val="Info for Line recap"/>
    </sheetNames>
    <sheetDataSet>
      <sheetData sheetId="0"/>
      <sheetData sheetId="1"/>
      <sheetData sheetId="2"/>
      <sheetData sheetId="3">
        <row r="21">
          <cell r="B21">
            <v>1221000</v>
          </cell>
          <cell r="L21">
            <v>20</v>
          </cell>
        </row>
        <row r="22">
          <cell r="B22">
            <v>1465000</v>
          </cell>
          <cell r="L22">
            <v>24</v>
          </cell>
        </row>
        <row r="23">
          <cell r="B23">
            <v>1902000</v>
          </cell>
          <cell r="L23">
            <v>37</v>
          </cell>
        </row>
        <row r="24">
          <cell r="B24">
            <v>905000</v>
          </cell>
          <cell r="L24">
            <v>30</v>
          </cell>
        </row>
        <row r="25">
          <cell r="B25">
            <v>3395000</v>
          </cell>
          <cell r="L25">
            <v>84</v>
          </cell>
        </row>
        <row r="26">
          <cell r="B26">
            <v>1044000</v>
          </cell>
          <cell r="L26">
            <v>34</v>
          </cell>
        </row>
        <row r="27">
          <cell r="B27">
            <v>654000</v>
          </cell>
          <cell r="L27">
            <v>13</v>
          </cell>
        </row>
        <row r="28">
          <cell r="B28">
            <v>1536000</v>
          </cell>
          <cell r="L28">
            <v>38</v>
          </cell>
        </row>
        <row r="29">
          <cell r="B29">
            <v>970000</v>
          </cell>
          <cell r="L29">
            <v>24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tabSelected="1" workbookViewId="0">
      <selection activeCell="O52" sqref="O52"/>
    </sheetView>
  </sheetViews>
  <sheetFormatPr baseColWidth="10" defaultColWidth="8.88671875" defaultRowHeight="14.4" x14ac:dyDescent="0.3"/>
  <cols>
    <col min="1" max="1" width="32.88671875" bestFit="1" customWidth="1"/>
    <col min="2" max="22" width="8.88671875" customWidth="1"/>
  </cols>
  <sheetData>
    <row r="1" spans="1:2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</row>
    <row r="2" spans="1:22" x14ac:dyDescent="0.3">
      <c r="A2" s="1" t="s">
        <v>0</v>
      </c>
      <c r="B2" t="s">
        <v>18</v>
      </c>
      <c r="C2" t="s">
        <v>23</v>
      </c>
      <c r="D2" t="s">
        <v>27</v>
      </c>
      <c r="E2" t="s">
        <v>30</v>
      </c>
      <c r="F2" t="s">
        <v>32</v>
      </c>
      <c r="G2" t="s">
        <v>35</v>
      </c>
      <c r="H2" t="s">
        <v>37</v>
      </c>
      <c r="I2" t="s">
        <v>39</v>
      </c>
      <c r="J2" t="s">
        <v>41</v>
      </c>
      <c r="K2" t="s">
        <v>43</v>
      </c>
      <c r="L2" t="s">
        <v>45</v>
      </c>
      <c r="M2" t="s">
        <v>47</v>
      </c>
      <c r="N2" t="s">
        <v>49</v>
      </c>
      <c r="O2" t="s">
        <v>52</v>
      </c>
      <c r="P2" t="s">
        <v>56</v>
      </c>
      <c r="Q2" t="s">
        <v>58</v>
      </c>
      <c r="R2" t="s">
        <v>60</v>
      </c>
      <c r="S2" t="s">
        <v>62</v>
      </c>
      <c r="T2" t="s">
        <v>64</v>
      </c>
      <c r="U2" t="s">
        <v>67</v>
      </c>
      <c r="V2" t="s">
        <v>69</v>
      </c>
    </row>
    <row r="3" spans="1:22" x14ac:dyDescent="0.3">
      <c r="A3" s="1" t="s">
        <v>1</v>
      </c>
      <c r="B3" t="s">
        <v>19</v>
      </c>
      <c r="C3" t="s">
        <v>19</v>
      </c>
      <c r="D3" t="s">
        <v>28</v>
      </c>
      <c r="E3" t="s">
        <v>28</v>
      </c>
      <c r="F3" t="s">
        <v>33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53</v>
      </c>
      <c r="P3" t="s">
        <v>53</v>
      </c>
      <c r="Q3" t="s">
        <v>53</v>
      </c>
      <c r="R3" t="s">
        <v>53</v>
      </c>
      <c r="S3" t="s">
        <v>53</v>
      </c>
      <c r="T3" t="s">
        <v>65</v>
      </c>
      <c r="U3" t="s">
        <v>65</v>
      </c>
      <c r="V3" t="s">
        <v>65</v>
      </c>
    </row>
    <row r="4" spans="1:22" x14ac:dyDescent="0.3">
      <c r="A4" s="1" t="s">
        <v>2</v>
      </c>
      <c r="B4">
        <v>33.299999999999997</v>
      </c>
      <c r="C4">
        <v>28.7</v>
      </c>
      <c r="D4">
        <v>36.799999999999997</v>
      </c>
      <c r="E4">
        <v>22.1</v>
      </c>
      <c r="F4">
        <v>3.3</v>
      </c>
      <c r="G4">
        <v>12.6</v>
      </c>
      <c r="H4">
        <v>9.6999999999999993</v>
      </c>
      <c r="I4">
        <v>29.8</v>
      </c>
      <c r="J4">
        <v>19.399999999999999</v>
      </c>
      <c r="K4">
        <v>22.6</v>
      </c>
      <c r="L4">
        <v>11.2</v>
      </c>
      <c r="M4">
        <v>29.3</v>
      </c>
      <c r="N4">
        <v>24.1</v>
      </c>
      <c r="O4">
        <v>7.5</v>
      </c>
      <c r="P4">
        <v>13.5</v>
      </c>
      <c r="Q4">
        <v>10</v>
      </c>
      <c r="R4">
        <v>11.1</v>
      </c>
      <c r="S4">
        <v>6.2</v>
      </c>
      <c r="T4">
        <v>1.8</v>
      </c>
      <c r="U4">
        <v>1.5</v>
      </c>
      <c r="V4">
        <v>2</v>
      </c>
    </row>
    <row r="5" spans="1:22" x14ac:dyDescent="0.3">
      <c r="A5" s="1" t="s">
        <v>3</v>
      </c>
      <c r="B5">
        <v>11</v>
      </c>
      <c r="C5">
        <v>6</v>
      </c>
      <c r="D5">
        <v>27</v>
      </c>
      <c r="E5">
        <v>17</v>
      </c>
      <c r="F5">
        <v>2</v>
      </c>
      <c r="G5">
        <v>22</v>
      </c>
      <c r="H5">
        <v>12</v>
      </c>
      <c r="I5">
        <v>2</v>
      </c>
      <c r="J5">
        <v>2</v>
      </c>
      <c r="K5">
        <v>16</v>
      </c>
      <c r="L5">
        <v>12</v>
      </c>
      <c r="M5">
        <v>7</v>
      </c>
      <c r="N5">
        <v>15</v>
      </c>
      <c r="O5">
        <v>16</v>
      </c>
      <c r="P5">
        <v>27</v>
      </c>
      <c r="Q5">
        <v>22</v>
      </c>
      <c r="R5">
        <v>26</v>
      </c>
      <c r="S5">
        <v>14</v>
      </c>
      <c r="T5">
        <v>2</v>
      </c>
      <c r="U5">
        <v>2</v>
      </c>
      <c r="V5">
        <v>2</v>
      </c>
    </row>
    <row r="6" spans="1:22" x14ac:dyDescent="0.3">
      <c r="A6" s="1" t="s">
        <v>4</v>
      </c>
      <c r="B6">
        <v>3350</v>
      </c>
      <c r="C6">
        <v>5750</v>
      </c>
      <c r="D6">
        <v>1400</v>
      </c>
      <c r="E6">
        <v>1400</v>
      </c>
      <c r="F6">
        <v>3300</v>
      </c>
      <c r="G6">
        <v>600</v>
      </c>
      <c r="H6">
        <v>900</v>
      </c>
      <c r="I6">
        <v>29800</v>
      </c>
      <c r="J6">
        <v>19400</v>
      </c>
      <c r="K6">
        <v>1500</v>
      </c>
      <c r="L6">
        <v>1000</v>
      </c>
      <c r="M6">
        <v>4900</v>
      </c>
      <c r="N6">
        <v>1700</v>
      </c>
      <c r="O6">
        <v>500</v>
      </c>
      <c r="P6">
        <v>500</v>
      </c>
      <c r="Q6">
        <v>500</v>
      </c>
      <c r="R6">
        <v>450</v>
      </c>
      <c r="S6">
        <v>500</v>
      </c>
      <c r="T6">
        <v>1800</v>
      </c>
      <c r="U6">
        <v>1500</v>
      </c>
      <c r="V6">
        <v>2000</v>
      </c>
    </row>
    <row r="7" spans="1:22" hidden="1" x14ac:dyDescent="0.3">
      <c r="A7" s="1" t="s">
        <v>5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</row>
    <row r="8" spans="1:22" hidden="1" x14ac:dyDescent="0.3">
      <c r="A8" s="1" t="s">
        <v>6</v>
      </c>
      <c r="B8" t="s">
        <v>21</v>
      </c>
      <c r="C8" t="s">
        <v>24</v>
      </c>
      <c r="D8" t="s">
        <v>24</v>
      </c>
      <c r="E8" t="s">
        <v>24</v>
      </c>
      <c r="F8" t="s">
        <v>21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24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</row>
    <row r="9" spans="1:22" hidden="1" x14ac:dyDescent="0.3">
      <c r="A9" s="1" t="s">
        <v>7</v>
      </c>
      <c r="B9" t="s">
        <v>21</v>
      </c>
      <c r="C9" t="s">
        <v>25</v>
      </c>
      <c r="D9" t="s">
        <v>25</v>
      </c>
      <c r="E9" t="s">
        <v>25</v>
      </c>
      <c r="F9" t="s">
        <v>21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25</v>
      </c>
      <c r="M9" t="s">
        <v>25</v>
      </c>
      <c r="N9" t="s">
        <v>50</v>
      </c>
      <c r="O9" t="s">
        <v>54</v>
      </c>
      <c r="P9" t="s">
        <v>54</v>
      </c>
      <c r="Q9" t="s">
        <v>24</v>
      </c>
      <c r="R9" t="s">
        <v>54</v>
      </c>
      <c r="S9" t="s">
        <v>25</v>
      </c>
      <c r="T9" t="s">
        <v>25</v>
      </c>
      <c r="U9" t="s">
        <v>25</v>
      </c>
      <c r="V9" t="s">
        <v>25</v>
      </c>
    </row>
    <row r="10" spans="1:22" x14ac:dyDescent="0.3">
      <c r="A10" s="1" t="s">
        <v>8</v>
      </c>
      <c r="B10" s="2" t="s">
        <v>22</v>
      </c>
      <c r="C10" s="2" t="s">
        <v>26</v>
      </c>
      <c r="D10" s="2" t="s">
        <v>29</v>
      </c>
      <c r="E10" s="2" t="s">
        <v>31</v>
      </c>
      <c r="F10" s="2" t="s">
        <v>34</v>
      </c>
      <c r="G10" s="2" t="s">
        <v>36</v>
      </c>
      <c r="H10" s="2" t="s">
        <v>38</v>
      </c>
      <c r="I10" s="2" t="s">
        <v>40</v>
      </c>
      <c r="J10" s="2" t="s">
        <v>42</v>
      </c>
      <c r="K10" s="2" t="s">
        <v>44</v>
      </c>
      <c r="L10" s="2" t="s">
        <v>46</v>
      </c>
      <c r="M10" s="2" t="s">
        <v>48</v>
      </c>
      <c r="N10" s="2" t="s">
        <v>51</v>
      </c>
      <c r="O10" s="2" t="s">
        <v>55</v>
      </c>
      <c r="P10" s="2" t="s">
        <v>57</v>
      </c>
      <c r="Q10" s="2" t="s">
        <v>59</v>
      </c>
      <c r="R10" s="2" t="s">
        <v>61</v>
      </c>
      <c r="S10" s="2" t="s">
        <v>63</v>
      </c>
      <c r="T10" s="2" t="s">
        <v>66</v>
      </c>
      <c r="U10" s="2" t="s">
        <v>68</v>
      </c>
      <c r="V10" s="2" t="s">
        <v>70</v>
      </c>
    </row>
    <row r="11" spans="1:22" x14ac:dyDescent="0.3">
      <c r="A11" s="1" t="s">
        <v>9</v>
      </c>
      <c r="B11">
        <v>30</v>
      </c>
      <c r="C11">
        <v>34</v>
      </c>
      <c r="D11">
        <v>34</v>
      </c>
      <c r="E11">
        <v>33</v>
      </c>
      <c r="F11">
        <v>30</v>
      </c>
      <c r="G11">
        <v>29</v>
      </c>
      <c r="H11">
        <v>30</v>
      </c>
      <c r="I11">
        <v>51</v>
      </c>
      <c r="J11">
        <v>56</v>
      </c>
      <c r="K11">
        <v>34</v>
      </c>
      <c r="L11">
        <v>32</v>
      </c>
      <c r="M11">
        <v>61</v>
      </c>
      <c r="N11">
        <v>32</v>
      </c>
      <c r="O11">
        <v>21</v>
      </c>
      <c r="P11">
        <v>16</v>
      </c>
      <c r="Q11">
        <v>17</v>
      </c>
      <c r="R11">
        <v>17</v>
      </c>
      <c r="S11">
        <v>19</v>
      </c>
      <c r="T11">
        <v>14</v>
      </c>
      <c r="U11">
        <v>13</v>
      </c>
      <c r="V11">
        <v>15</v>
      </c>
    </row>
    <row r="12" spans="1:22" x14ac:dyDescent="0.3">
      <c r="A12" s="1" t="s">
        <v>10</v>
      </c>
      <c r="B12">
        <v>60</v>
      </c>
      <c r="C12">
        <v>60</v>
      </c>
      <c r="D12">
        <v>304</v>
      </c>
      <c r="E12">
        <v>142</v>
      </c>
      <c r="F12">
        <v>20</v>
      </c>
      <c r="G12">
        <v>60</v>
      </c>
      <c r="H12">
        <v>60</v>
      </c>
      <c r="I12">
        <v>60</v>
      </c>
      <c r="J12">
        <v>60</v>
      </c>
      <c r="K12">
        <v>60</v>
      </c>
      <c r="L12">
        <v>60</v>
      </c>
      <c r="M12">
        <v>60</v>
      </c>
      <c r="N12">
        <v>60</v>
      </c>
      <c r="O12">
        <v>90</v>
      </c>
      <c r="P12">
        <v>90</v>
      </c>
      <c r="Q12">
        <v>90</v>
      </c>
      <c r="R12">
        <v>90</v>
      </c>
      <c r="S12">
        <v>90</v>
      </c>
      <c r="T12">
        <v>10</v>
      </c>
      <c r="U12">
        <v>10</v>
      </c>
      <c r="V12">
        <v>10</v>
      </c>
    </row>
    <row r="13" spans="1:22" x14ac:dyDescent="0.3">
      <c r="A13" s="1" t="s">
        <v>11</v>
      </c>
      <c r="B13">
        <v>26</v>
      </c>
      <c r="C13">
        <v>24</v>
      </c>
      <c r="D13">
        <v>24</v>
      </c>
      <c r="E13">
        <v>16</v>
      </c>
      <c r="F13">
        <v>2</v>
      </c>
      <c r="G13">
        <v>6</v>
      </c>
      <c r="H13">
        <v>6</v>
      </c>
      <c r="I13">
        <v>8</v>
      </c>
      <c r="J13">
        <v>8</v>
      </c>
      <c r="K13">
        <v>10</v>
      </c>
      <c r="L13">
        <v>6</v>
      </c>
      <c r="M13">
        <v>4</v>
      </c>
      <c r="N13">
        <v>22</v>
      </c>
      <c r="O13">
        <v>6</v>
      </c>
      <c r="P13">
        <v>8</v>
      </c>
      <c r="Q13">
        <v>14</v>
      </c>
      <c r="R13">
        <v>6</v>
      </c>
      <c r="S13">
        <v>10</v>
      </c>
      <c r="T13">
        <v>4</v>
      </c>
      <c r="U13">
        <v>2</v>
      </c>
      <c r="V13">
        <v>4</v>
      </c>
    </row>
    <row r="14" spans="1:22" x14ac:dyDescent="0.3">
      <c r="A14" s="1" t="s">
        <v>12</v>
      </c>
      <c r="B14">
        <v>29</v>
      </c>
      <c r="C14">
        <v>27</v>
      </c>
      <c r="D14">
        <v>27</v>
      </c>
      <c r="E14">
        <v>18</v>
      </c>
      <c r="F14">
        <v>3</v>
      </c>
      <c r="G14">
        <v>7</v>
      </c>
      <c r="H14">
        <v>7</v>
      </c>
      <c r="I14">
        <v>9</v>
      </c>
      <c r="J14">
        <v>9</v>
      </c>
      <c r="K14">
        <v>11</v>
      </c>
      <c r="L14">
        <v>7</v>
      </c>
      <c r="M14">
        <v>5</v>
      </c>
      <c r="N14">
        <v>25</v>
      </c>
      <c r="O14">
        <v>7</v>
      </c>
      <c r="P14">
        <v>9</v>
      </c>
      <c r="Q14">
        <v>16</v>
      </c>
      <c r="R14">
        <v>7</v>
      </c>
      <c r="S14">
        <v>11</v>
      </c>
      <c r="T14">
        <v>5</v>
      </c>
      <c r="U14">
        <v>3</v>
      </c>
      <c r="V14">
        <v>5</v>
      </c>
    </row>
    <row r="15" spans="1:22" x14ac:dyDescent="0.3">
      <c r="A15" s="1" t="s">
        <v>13</v>
      </c>
      <c r="B15" s="3">
        <v>2611</v>
      </c>
      <c r="C15" s="3">
        <v>2768</v>
      </c>
      <c r="D15" s="3">
        <v>36874</v>
      </c>
      <c r="E15" s="3">
        <v>3130</v>
      </c>
      <c r="F15" s="3">
        <v>10</v>
      </c>
      <c r="G15" s="3">
        <v>1122</v>
      </c>
      <c r="H15" s="3">
        <v>0</v>
      </c>
      <c r="I15" s="3">
        <v>497</v>
      </c>
      <c r="J15" s="3">
        <v>63</v>
      </c>
      <c r="K15" s="3">
        <v>853</v>
      </c>
      <c r="L15" s="3">
        <v>251</v>
      </c>
      <c r="M15" s="3">
        <v>929</v>
      </c>
      <c r="N15" s="3">
        <v>1064</v>
      </c>
      <c r="O15" s="3">
        <v>12123</v>
      </c>
      <c r="P15" s="3">
        <v>29398</v>
      </c>
      <c r="Q15" s="3">
        <v>16774</v>
      </c>
      <c r="R15" s="3">
        <v>22152</v>
      </c>
      <c r="S15" s="3">
        <v>10855</v>
      </c>
      <c r="T15" s="3">
        <v>731</v>
      </c>
      <c r="U15" s="3">
        <v>742</v>
      </c>
      <c r="V15" s="3">
        <v>1389</v>
      </c>
    </row>
    <row r="16" spans="1:22" x14ac:dyDescent="0.3">
      <c r="A16" s="1" t="s">
        <v>14</v>
      </c>
      <c r="B16" s="3">
        <v>2798</v>
      </c>
      <c r="C16" s="3">
        <v>2251</v>
      </c>
      <c r="D16" s="3">
        <v>28890</v>
      </c>
      <c r="E16" s="3">
        <v>4231</v>
      </c>
      <c r="F16" s="3">
        <v>66</v>
      </c>
      <c r="G16" s="3">
        <v>1777</v>
      </c>
      <c r="H16" s="3">
        <v>117</v>
      </c>
      <c r="I16" s="3">
        <v>243</v>
      </c>
      <c r="J16" s="3">
        <v>60</v>
      </c>
      <c r="K16" s="3">
        <v>453</v>
      </c>
      <c r="L16" s="3">
        <v>199</v>
      </c>
      <c r="M16" s="3">
        <v>243</v>
      </c>
      <c r="N16" s="3">
        <v>1707</v>
      </c>
      <c r="O16" s="3">
        <v>12015</v>
      </c>
      <c r="P16" s="3">
        <v>6489</v>
      </c>
      <c r="Q16" s="3">
        <v>11709</v>
      </c>
      <c r="R16" s="3">
        <v>20356</v>
      </c>
      <c r="S16" s="3">
        <v>7202</v>
      </c>
      <c r="T16" s="3">
        <v>962</v>
      </c>
      <c r="U16" s="3">
        <v>949</v>
      </c>
      <c r="V16" s="3">
        <v>1949</v>
      </c>
    </row>
    <row r="17" spans="1:22" x14ac:dyDescent="0.3">
      <c r="A17" s="1" t="s">
        <v>15</v>
      </c>
      <c r="B17" s="3">
        <v>4378</v>
      </c>
      <c r="C17" s="3">
        <v>1346</v>
      </c>
      <c r="D17" s="3">
        <v>8415</v>
      </c>
      <c r="E17" s="3">
        <v>7052</v>
      </c>
      <c r="F17" s="3">
        <v>429</v>
      </c>
      <c r="G17" s="3">
        <v>3220</v>
      </c>
      <c r="H17" s="3">
        <v>653</v>
      </c>
      <c r="I17" s="3">
        <v>0</v>
      </c>
      <c r="J17" s="3">
        <v>50</v>
      </c>
      <c r="K17" s="3">
        <v>860</v>
      </c>
      <c r="L17" s="3">
        <v>620</v>
      </c>
      <c r="M17" s="3">
        <v>0</v>
      </c>
      <c r="N17" s="3">
        <v>3774</v>
      </c>
      <c r="O17" s="3">
        <v>2819</v>
      </c>
      <c r="P17" s="3">
        <v>4335</v>
      </c>
      <c r="Q17" s="3">
        <v>3622</v>
      </c>
      <c r="R17" s="3">
        <v>5118</v>
      </c>
      <c r="S17" s="3">
        <v>2359</v>
      </c>
      <c r="T17" s="3">
        <v>3915</v>
      </c>
      <c r="U17" s="3">
        <v>3773</v>
      </c>
      <c r="V17" s="3">
        <v>6399</v>
      </c>
    </row>
    <row r="18" spans="1:22" x14ac:dyDescent="0.3">
      <c r="A18" s="1" t="s">
        <v>16</v>
      </c>
      <c r="B18">
        <v>6</v>
      </c>
      <c r="C18">
        <v>5</v>
      </c>
      <c r="D18">
        <v>6</v>
      </c>
      <c r="E18">
        <v>6</v>
      </c>
      <c r="F18">
        <v>20</v>
      </c>
      <c r="G18">
        <v>10</v>
      </c>
      <c r="H18">
        <v>10</v>
      </c>
      <c r="I18">
        <v>10</v>
      </c>
      <c r="J18">
        <v>6</v>
      </c>
      <c r="K18">
        <v>10</v>
      </c>
      <c r="L18">
        <v>10</v>
      </c>
      <c r="M18">
        <v>25</v>
      </c>
      <c r="N18">
        <v>5</v>
      </c>
      <c r="O18">
        <v>10</v>
      </c>
      <c r="P18">
        <v>15</v>
      </c>
      <c r="Q18">
        <v>6</v>
      </c>
      <c r="R18">
        <v>15</v>
      </c>
      <c r="S18">
        <v>5</v>
      </c>
      <c r="T18">
        <v>10</v>
      </c>
      <c r="U18">
        <v>10</v>
      </c>
      <c r="V18">
        <v>10</v>
      </c>
    </row>
    <row r="19" spans="1:22" x14ac:dyDescent="0.3">
      <c r="A19" s="1" t="s">
        <v>17</v>
      </c>
      <c r="B19" s="3">
        <v>600</v>
      </c>
      <c r="C19" s="3">
        <v>720</v>
      </c>
      <c r="D19" s="3">
        <v>3040</v>
      </c>
      <c r="E19" s="3">
        <v>1420</v>
      </c>
      <c r="F19" s="3">
        <v>60</v>
      </c>
      <c r="G19" s="3">
        <v>360</v>
      </c>
      <c r="H19" s="3">
        <v>360</v>
      </c>
      <c r="I19" s="3">
        <v>360</v>
      </c>
      <c r="J19" s="3">
        <v>600</v>
      </c>
      <c r="K19" s="3">
        <v>360</v>
      </c>
      <c r="L19" s="3">
        <v>360</v>
      </c>
      <c r="M19" s="3">
        <v>144</v>
      </c>
      <c r="N19" s="3">
        <v>720</v>
      </c>
      <c r="O19" s="3">
        <v>540</v>
      </c>
      <c r="P19" s="3">
        <v>360</v>
      </c>
      <c r="Q19" s="3">
        <v>900</v>
      </c>
      <c r="R19" s="3">
        <v>360</v>
      </c>
      <c r="S19" s="3">
        <v>1080</v>
      </c>
      <c r="T19" s="3">
        <v>60</v>
      </c>
      <c r="U19" s="3">
        <v>60</v>
      </c>
      <c r="V19" s="3">
        <v>60</v>
      </c>
    </row>
    <row r="21" spans="1:22" hidden="1" x14ac:dyDescent="0.3">
      <c r="A21" s="7" t="s">
        <v>83</v>
      </c>
      <c r="B21">
        <f>ROUNDUP((365-B23)/2,0)</f>
        <v>168</v>
      </c>
      <c r="C21">
        <f t="shared" ref="C21:V21" si="0">ROUNDUP((365-C23)/2,0)</f>
        <v>168</v>
      </c>
      <c r="D21">
        <f t="shared" si="0"/>
        <v>168</v>
      </c>
      <c r="E21">
        <f t="shared" si="0"/>
        <v>168</v>
      </c>
      <c r="F21">
        <f t="shared" si="0"/>
        <v>168</v>
      </c>
      <c r="G21">
        <f t="shared" si="0"/>
        <v>168</v>
      </c>
      <c r="H21">
        <f t="shared" si="0"/>
        <v>168</v>
      </c>
      <c r="I21">
        <f t="shared" si="0"/>
        <v>168</v>
      </c>
      <c r="J21">
        <f t="shared" si="0"/>
        <v>168</v>
      </c>
      <c r="K21">
        <f t="shared" si="0"/>
        <v>168</v>
      </c>
      <c r="L21">
        <f t="shared" si="0"/>
        <v>168</v>
      </c>
      <c r="M21">
        <f t="shared" si="0"/>
        <v>168</v>
      </c>
      <c r="N21">
        <f t="shared" si="0"/>
        <v>168</v>
      </c>
      <c r="O21">
        <f t="shared" si="0"/>
        <v>168</v>
      </c>
      <c r="P21">
        <f t="shared" si="0"/>
        <v>168</v>
      </c>
      <c r="Q21">
        <f t="shared" si="0"/>
        <v>168</v>
      </c>
      <c r="R21">
        <f t="shared" si="0"/>
        <v>168</v>
      </c>
      <c r="S21">
        <f t="shared" si="0"/>
        <v>168</v>
      </c>
      <c r="T21">
        <f t="shared" si="0"/>
        <v>168</v>
      </c>
      <c r="U21">
        <f t="shared" si="0"/>
        <v>168</v>
      </c>
      <c r="V21">
        <f t="shared" si="0"/>
        <v>168</v>
      </c>
    </row>
    <row r="22" spans="1:22" hidden="1" x14ac:dyDescent="0.3">
      <c r="A22" s="7" t="s">
        <v>84</v>
      </c>
      <c r="B22">
        <f>365-B23-B21</f>
        <v>167</v>
      </c>
      <c r="C22">
        <f t="shared" ref="C22:V22" si="1">365-C23-C21</f>
        <v>167</v>
      </c>
      <c r="D22">
        <f t="shared" si="1"/>
        <v>167</v>
      </c>
      <c r="E22">
        <f t="shared" si="1"/>
        <v>167</v>
      </c>
      <c r="F22">
        <f t="shared" si="1"/>
        <v>167</v>
      </c>
      <c r="G22">
        <f t="shared" si="1"/>
        <v>167</v>
      </c>
      <c r="H22">
        <f t="shared" si="1"/>
        <v>167</v>
      </c>
      <c r="I22">
        <f t="shared" si="1"/>
        <v>167</v>
      </c>
      <c r="J22">
        <f t="shared" si="1"/>
        <v>167</v>
      </c>
      <c r="K22">
        <f t="shared" si="1"/>
        <v>167</v>
      </c>
      <c r="L22">
        <f t="shared" si="1"/>
        <v>167</v>
      </c>
      <c r="M22">
        <f t="shared" si="1"/>
        <v>167</v>
      </c>
      <c r="N22">
        <f t="shared" si="1"/>
        <v>167</v>
      </c>
      <c r="O22">
        <f t="shared" si="1"/>
        <v>167</v>
      </c>
      <c r="P22">
        <f t="shared" si="1"/>
        <v>167</v>
      </c>
      <c r="Q22">
        <f t="shared" si="1"/>
        <v>167</v>
      </c>
      <c r="R22">
        <f t="shared" si="1"/>
        <v>167</v>
      </c>
      <c r="S22">
        <f t="shared" si="1"/>
        <v>167</v>
      </c>
      <c r="T22">
        <f t="shared" si="1"/>
        <v>167</v>
      </c>
      <c r="U22">
        <f t="shared" si="1"/>
        <v>167</v>
      </c>
      <c r="V22">
        <f t="shared" si="1"/>
        <v>167</v>
      </c>
    </row>
    <row r="23" spans="1:22" hidden="1" x14ac:dyDescent="0.3">
      <c r="A23" s="7" t="s">
        <v>85</v>
      </c>
      <c r="B23">
        <v>30</v>
      </c>
      <c r="C23">
        <f>B23</f>
        <v>30</v>
      </c>
      <c r="D23">
        <f t="shared" ref="D23:V23" si="2">C23</f>
        <v>30</v>
      </c>
      <c r="E23">
        <f t="shared" si="2"/>
        <v>30</v>
      </c>
      <c r="F23">
        <f t="shared" si="2"/>
        <v>30</v>
      </c>
      <c r="G23">
        <f t="shared" si="2"/>
        <v>30</v>
      </c>
      <c r="H23">
        <f t="shared" si="2"/>
        <v>30</v>
      </c>
      <c r="I23">
        <f t="shared" si="2"/>
        <v>30</v>
      </c>
      <c r="J23">
        <f t="shared" si="2"/>
        <v>30</v>
      </c>
      <c r="K23">
        <f t="shared" si="2"/>
        <v>30</v>
      </c>
      <c r="L23">
        <f t="shared" si="2"/>
        <v>30</v>
      </c>
      <c r="M23">
        <f t="shared" si="2"/>
        <v>30</v>
      </c>
      <c r="N23">
        <f t="shared" si="2"/>
        <v>30</v>
      </c>
      <c r="O23">
        <f t="shared" si="2"/>
        <v>30</v>
      </c>
      <c r="P23">
        <f t="shared" si="2"/>
        <v>30</v>
      </c>
      <c r="Q23">
        <f t="shared" si="2"/>
        <v>30</v>
      </c>
      <c r="R23">
        <f t="shared" si="2"/>
        <v>30</v>
      </c>
      <c r="S23">
        <f t="shared" si="2"/>
        <v>30</v>
      </c>
      <c r="T23">
        <f t="shared" si="2"/>
        <v>30</v>
      </c>
      <c r="U23">
        <f t="shared" si="2"/>
        <v>30</v>
      </c>
      <c r="V23">
        <f t="shared" si="2"/>
        <v>30</v>
      </c>
    </row>
    <row r="24" spans="1:22" hidden="1" x14ac:dyDescent="0.3"/>
    <row r="25" spans="1:22" x14ac:dyDescent="0.3">
      <c r="A25" s="7" t="s">
        <v>86</v>
      </c>
    </row>
    <row r="26" spans="1:22" hidden="1" x14ac:dyDescent="0.3">
      <c r="A26" s="7" t="s">
        <v>89</v>
      </c>
      <c r="B26">
        <f>9-7+14-11+19-16</f>
        <v>8</v>
      </c>
      <c r="C26">
        <f t="shared" ref="C26:V26" si="3">9-7+14-11+19-16</f>
        <v>8</v>
      </c>
      <c r="D26">
        <f t="shared" si="3"/>
        <v>8</v>
      </c>
      <c r="E26">
        <f t="shared" si="3"/>
        <v>8</v>
      </c>
      <c r="F26">
        <f t="shared" si="3"/>
        <v>8</v>
      </c>
      <c r="G26">
        <f t="shared" si="3"/>
        <v>8</v>
      </c>
      <c r="H26">
        <f t="shared" si="3"/>
        <v>8</v>
      </c>
      <c r="I26">
        <f t="shared" si="3"/>
        <v>8</v>
      </c>
      <c r="J26">
        <f t="shared" si="3"/>
        <v>8</v>
      </c>
      <c r="K26">
        <f t="shared" si="3"/>
        <v>8</v>
      </c>
      <c r="L26">
        <f t="shared" si="3"/>
        <v>8</v>
      </c>
      <c r="M26">
        <f t="shared" si="3"/>
        <v>8</v>
      </c>
      <c r="N26">
        <f t="shared" si="3"/>
        <v>8</v>
      </c>
      <c r="O26">
        <f t="shared" si="3"/>
        <v>8</v>
      </c>
      <c r="P26">
        <f t="shared" si="3"/>
        <v>8</v>
      </c>
      <c r="Q26">
        <f t="shared" si="3"/>
        <v>8</v>
      </c>
      <c r="R26">
        <f t="shared" si="3"/>
        <v>8</v>
      </c>
      <c r="S26">
        <f t="shared" si="3"/>
        <v>8</v>
      </c>
      <c r="T26">
        <f t="shared" si="3"/>
        <v>8</v>
      </c>
      <c r="U26">
        <f t="shared" si="3"/>
        <v>8</v>
      </c>
      <c r="V26">
        <f t="shared" si="3"/>
        <v>8</v>
      </c>
    </row>
    <row r="27" spans="1:22" hidden="1" x14ac:dyDescent="0.3">
      <c r="A27" s="7" t="s">
        <v>90</v>
      </c>
      <c r="B27">
        <f>B18</f>
        <v>6</v>
      </c>
      <c r="C27">
        <f t="shared" ref="C27:V27" si="4">C18</f>
        <v>5</v>
      </c>
      <c r="D27">
        <f t="shared" si="4"/>
        <v>6</v>
      </c>
      <c r="E27">
        <f t="shared" si="4"/>
        <v>6</v>
      </c>
      <c r="F27">
        <f t="shared" si="4"/>
        <v>20</v>
      </c>
      <c r="G27">
        <f t="shared" si="4"/>
        <v>10</v>
      </c>
      <c r="H27">
        <f t="shared" si="4"/>
        <v>10</v>
      </c>
      <c r="I27">
        <f t="shared" si="4"/>
        <v>10</v>
      </c>
      <c r="J27">
        <f t="shared" si="4"/>
        <v>6</v>
      </c>
      <c r="K27">
        <f t="shared" si="4"/>
        <v>10</v>
      </c>
      <c r="L27">
        <f t="shared" si="4"/>
        <v>10</v>
      </c>
      <c r="M27">
        <f t="shared" si="4"/>
        <v>25</v>
      </c>
      <c r="N27">
        <f t="shared" si="4"/>
        <v>5</v>
      </c>
      <c r="O27">
        <f t="shared" si="4"/>
        <v>10</v>
      </c>
      <c r="P27">
        <f t="shared" si="4"/>
        <v>15</v>
      </c>
      <c r="Q27">
        <f t="shared" si="4"/>
        <v>6</v>
      </c>
      <c r="R27">
        <f t="shared" si="4"/>
        <v>15</v>
      </c>
      <c r="S27">
        <f t="shared" si="4"/>
        <v>5</v>
      </c>
      <c r="T27">
        <f t="shared" si="4"/>
        <v>10</v>
      </c>
      <c r="U27">
        <f t="shared" si="4"/>
        <v>10</v>
      </c>
      <c r="V27">
        <f t="shared" si="4"/>
        <v>10</v>
      </c>
    </row>
    <row r="28" spans="1:22" hidden="1" x14ac:dyDescent="0.3">
      <c r="A28" s="7" t="s">
        <v>91</v>
      </c>
      <c r="B28">
        <f>23-5-B26</f>
        <v>10</v>
      </c>
      <c r="C28">
        <f t="shared" ref="C28:V28" si="5">23-5-C26</f>
        <v>10</v>
      </c>
      <c r="D28">
        <f t="shared" si="5"/>
        <v>10</v>
      </c>
      <c r="E28">
        <f t="shared" si="5"/>
        <v>10</v>
      </c>
      <c r="F28">
        <f t="shared" si="5"/>
        <v>10</v>
      </c>
      <c r="G28">
        <f t="shared" si="5"/>
        <v>10</v>
      </c>
      <c r="H28">
        <f t="shared" si="5"/>
        <v>10</v>
      </c>
      <c r="I28">
        <f t="shared" si="5"/>
        <v>10</v>
      </c>
      <c r="J28">
        <f t="shared" si="5"/>
        <v>10</v>
      </c>
      <c r="K28">
        <f t="shared" si="5"/>
        <v>10</v>
      </c>
      <c r="L28">
        <f t="shared" si="5"/>
        <v>10</v>
      </c>
      <c r="M28">
        <f t="shared" si="5"/>
        <v>10</v>
      </c>
      <c r="N28">
        <f t="shared" si="5"/>
        <v>10</v>
      </c>
      <c r="O28">
        <f t="shared" si="5"/>
        <v>10</v>
      </c>
      <c r="P28">
        <f t="shared" si="5"/>
        <v>10</v>
      </c>
      <c r="Q28">
        <f t="shared" si="5"/>
        <v>10</v>
      </c>
      <c r="R28">
        <f t="shared" si="5"/>
        <v>10</v>
      </c>
      <c r="S28">
        <f t="shared" si="5"/>
        <v>10</v>
      </c>
      <c r="T28">
        <f t="shared" si="5"/>
        <v>10</v>
      </c>
      <c r="U28">
        <f t="shared" si="5"/>
        <v>10</v>
      </c>
      <c r="V28">
        <f t="shared" si="5"/>
        <v>10</v>
      </c>
    </row>
    <row r="29" spans="1:22" hidden="1" x14ac:dyDescent="0.3">
      <c r="A29" s="7" t="s">
        <v>92</v>
      </c>
      <c r="B29">
        <f>B27*3</f>
        <v>18</v>
      </c>
      <c r="C29">
        <f t="shared" ref="C29:V29" si="6">C27*3</f>
        <v>15</v>
      </c>
      <c r="D29">
        <f t="shared" si="6"/>
        <v>18</v>
      </c>
      <c r="E29">
        <f t="shared" si="6"/>
        <v>18</v>
      </c>
      <c r="F29">
        <f t="shared" si="6"/>
        <v>60</v>
      </c>
      <c r="G29">
        <f t="shared" si="6"/>
        <v>30</v>
      </c>
      <c r="H29">
        <f t="shared" si="6"/>
        <v>30</v>
      </c>
      <c r="I29">
        <f t="shared" si="6"/>
        <v>30</v>
      </c>
      <c r="J29">
        <f t="shared" si="6"/>
        <v>18</v>
      </c>
      <c r="K29">
        <f t="shared" si="6"/>
        <v>30</v>
      </c>
      <c r="L29">
        <f t="shared" si="6"/>
        <v>30</v>
      </c>
      <c r="M29">
        <f t="shared" si="6"/>
        <v>75</v>
      </c>
      <c r="N29">
        <f t="shared" si="6"/>
        <v>15</v>
      </c>
      <c r="O29">
        <f t="shared" si="6"/>
        <v>30</v>
      </c>
      <c r="P29">
        <f t="shared" si="6"/>
        <v>45</v>
      </c>
      <c r="Q29">
        <f t="shared" si="6"/>
        <v>18</v>
      </c>
      <c r="R29">
        <f t="shared" si="6"/>
        <v>45</v>
      </c>
      <c r="S29">
        <f t="shared" si="6"/>
        <v>15</v>
      </c>
      <c r="T29">
        <f t="shared" si="6"/>
        <v>30</v>
      </c>
      <c r="U29">
        <f t="shared" si="6"/>
        <v>30</v>
      </c>
      <c r="V29">
        <f t="shared" si="6"/>
        <v>30</v>
      </c>
    </row>
    <row r="30" spans="1:22" x14ac:dyDescent="0.3">
      <c r="A30" s="7" t="s">
        <v>93</v>
      </c>
      <c r="B30" s="2">
        <f>ROUNDUP(ROUNDDOWN(B26*60/B27+B28*60/B29,0)/2,0)*2</f>
        <v>114</v>
      </c>
      <c r="C30" s="2">
        <f t="shared" ref="C30:V30" si="7">ROUNDUP(ROUNDDOWN(C26*60/C27+C28*60/C29,0)/2,0)*2</f>
        <v>136</v>
      </c>
      <c r="D30" s="2">
        <f t="shared" si="7"/>
        <v>114</v>
      </c>
      <c r="E30" s="2">
        <f t="shared" si="7"/>
        <v>114</v>
      </c>
      <c r="F30" s="2">
        <f t="shared" si="7"/>
        <v>34</v>
      </c>
      <c r="G30" s="2">
        <f t="shared" si="7"/>
        <v>68</v>
      </c>
      <c r="H30" s="2">
        <f t="shared" si="7"/>
        <v>68</v>
      </c>
      <c r="I30" s="2">
        <f t="shared" si="7"/>
        <v>68</v>
      </c>
      <c r="J30" s="2">
        <f t="shared" si="7"/>
        <v>114</v>
      </c>
      <c r="K30" s="2">
        <f t="shared" si="7"/>
        <v>68</v>
      </c>
      <c r="L30" s="2">
        <f t="shared" si="7"/>
        <v>68</v>
      </c>
      <c r="M30" s="2">
        <f t="shared" si="7"/>
        <v>28</v>
      </c>
      <c r="N30" s="2">
        <f t="shared" si="7"/>
        <v>136</v>
      </c>
      <c r="O30" s="2">
        <f t="shared" si="7"/>
        <v>68</v>
      </c>
      <c r="P30" s="2">
        <f t="shared" si="7"/>
        <v>46</v>
      </c>
      <c r="Q30" s="2">
        <f t="shared" si="7"/>
        <v>114</v>
      </c>
      <c r="R30" s="2">
        <f t="shared" si="7"/>
        <v>46</v>
      </c>
      <c r="S30" s="2">
        <f t="shared" si="7"/>
        <v>136</v>
      </c>
      <c r="T30" s="2">
        <f t="shared" si="7"/>
        <v>68</v>
      </c>
      <c r="U30" s="2">
        <f t="shared" si="7"/>
        <v>68</v>
      </c>
      <c r="V30" s="2">
        <f t="shared" si="7"/>
        <v>68</v>
      </c>
    </row>
    <row r="31" spans="1:22" hidden="1" x14ac:dyDescent="0.3"/>
    <row r="32" spans="1:22" x14ac:dyDescent="0.3">
      <c r="A32" s="7" t="s">
        <v>87</v>
      </c>
    </row>
    <row r="33" spans="1:22" hidden="1" x14ac:dyDescent="0.3">
      <c r="A33" s="7" t="s">
        <v>89</v>
      </c>
      <c r="B33">
        <f>B26+11-14</f>
        <v>5</v>
      </c>
      <c r="C33">
        <f t="shared" ref="C33:V33" si="8">C26+11-14</f>
        <v>5</v>
      </c>
      <c r="D33">
        <f t="shared" si="8"/>
        <v>5</v>
      </c>
      <c r="E33">
        <f t="shared" si="8"/>
        <v>5</v>
      </c>
      <c r="F33">
        <f t="shared" si="8"/>
        <v>5</v>
      </c>
      <c r="G33">
        <f t="shared" si="8"/>
        <v>5</v>
      </c>
      <c r="H33">
        <f t="shared" si="8"/>
        <v>5</v>
      </c>
      <c r="I33">
        <f t="shared" si="8"/>
        <v>5</v>
      </c>
      <c r="J33">
        <f t="shared" si="8"/>
        <v>5</v>
      </c>
      <c r="K33">
        <f t="shared" si="8"/>
        <v>5</v>
      </c>
      <c r="L33">
        <f t="shared" si="8"/>
        <v>5</v>
      </c>
      <c r="M33">
        <f t="shared" si="8"/>
        <v>5</v>
      </c>
      <c r="N33">
        <f t="shared" si="8"/>
        <v>5</v>
      </c>
      <c r="O33">
        <f t="shared" si="8"/>
        <v>5</v>
      </c>
      <c r="P33">
        <f t="shared" si="8"/>
        <v>5</v>
      </c>
      <c r="Q33">
        <f t="shared" si="8"/>
        <v>5</v>
      </c>
      <c r="R33">
        <f t="shared" si="8"/>
        <v>5</v>
      </c>
      <c r="S33">
        <f t="shared" si="8"/>
        <v>5</v>
      </c>
      <c r="T33">
        <f t="shared" si="8"/>
        <v>5</v>
      </c>
      <c r="U33">
        <f t="shared" si="8"/>
        <v>5</v>
      </c>
      <c r="V33">
        <f t="shared" si="8"/>
        <v>5</v>
      </c>
    </row>
    <row r="34" spans="1:22" hidden="1" x14ac:dyDescent="0.3">
      <c r="A34" s="7" t="s">
        <v>90</v>
      </c>
      <c r="B34">
        <f>B27*2.5</f>
        <v>15</v>
      </c>
      <c r="C34">
        <f t="shared" ref="C34:F34" si="9">C27*2.5</f>
        <v>12.5</v>
      </c>
      <c r="D34">
        <f t="shared" si="9"/>
        <v>15</v>
      </c>
      <c r="E34">
        <f t="shared" si="9"/>
        <v>15</v>
      </c>
      <c r="F34">
        <f t="shared" si="9"/>
        <v>50</v>
      </c>
      <c r="G34">
        <f>G27*3</f>
        <v>30</v>
      </c>
      <c r="H34">
        <f>H27*3</f>
        <v>30</v>
      </c>
      <c r="I34">
        <f>I27*10</f>
        <v>100</v>
      </c>
      <c r="J34">
        <f>J27*10</f>
        <v>60</v>
      </c>
      <c r="K34">
        <f>K27*6</f>
        <v>60</v>
      </c>
      <c r="L34">
        <f>L27*6</f>
        <v>60</v>
      </c>
      <c r="M34">
        <f t="shared" ref="M34" si="10">M27*4</f>
        <v>100</v>
      </c>
      <c r="N34">
        <f>N27*5</f>
        <v>25</v>
      </c>
      <c r="O34">
        <f>O27*3</f>
        <v>30</v>
      </c>
      <c r="P34">
        <f t="shared" ref="P34:V34" si="11">P27*3</f>
        <v>45</v>
      </c>
      <c r="Q34">
        <f t="shared" si="11"/>
        <v>18</v>
      </c>
      <c r="R34">
        <f t="shared" si="11"/>
        <v>45</v>
      </c>
      <c r="S34">
        <f t="shared" si="11"/>
        <v>15</v>
      </c>
      <c r="T34">
        <f>T27*3</f>
        <v>30</v>
      </c>
      <c r="U34">
        <f t="shared" si="11"/>
        <v>30</v>
      </c>
      <c r="V34">
        <f t="shared" si="11"/>
        <v>30</v>
      </c>
    </row>
    <row r="35" spans="1:22" hidden="1" x14ac:dyDescent="0.3">
      <c r="A35" s="7" t="s">
        <v>91</v>
      </c>
      <c r="B35">
        <f>23-5-B33</f>
        <v>13</v>
      </c>
      <c r="C35">
        <f t="shared" ref="C35:V35" si="12">23-5-C33</f>
        <v>13</v>
      </c>
      <c r="D35">
        <f t="shared" si="12"/>
        <v>13</v>
      </c>
      <c r="E35">
        <f t="shared" si="12"/>
        <v>13</v>
      </c>
      <c r="F35">
        <f t="shared" si="12"/>
        <v>13</v>
      </c>
      <c r="G35">
        <f t="shared" si="12"/>
        <v>13</v>
      </c>
      <c r="H35">
        <f t="shared" si="12"/>
        <v>13</v>
      </c>
      <c r="I35">
        <f t="shared" si="12"/>
        <v>13</v>
      </c>
      <c r="J35">
        <f t="shared" si="12"/>
        <v>13</v>
      </c>
      <c r="K35">
        <f t="shared" si="12"/>
        <v>13</v>
      </c>
      <c r="L35">
        <f t="shared" si="12"/>
        <v>13</v>
      </c>
      <c r="M35">
        <f t="shared" si="12"/>
        <v>13</v>
      </c>
      <c r="N35">
        <f t="shared" si="12"/>
        <v>13</v>
      </c>
      <c r="O35">
        <f t="shared" si="12"/>
        <v>13</v>
      </c>
      <c r="P35">
        <f t="shared" si="12"/>
        <v>13</v>
      </c>
      <c r="Q35">
        <f t="shared" si="12"/>
        <v>13</v>
      </c>
      <c r="R35">
        <f t="shared" si="12"/>
        <v>13</v>
      </c>
      <c r="S35">
        <f t="shared" si="12"/>
        <v>13</v>
      </c>
      <c r="T35">
        <f t="shared" si="12"/>
        <v>13</v>
      </c>
      <c r="U35">
        <f t="shared" si="12"/>
        <v>13</v>
      </c>
      <c r="V35">
        <f t="shared" si="12"/>
        <v>13</v>
      </c>
    </row>
    <row r="36" spans="1:22" hidden="1" x14ac:dyDescent="0.3">
      <c r="A36" s="7" t="s">
        <v>92</v>
      </c>
      <c r="B36">
        <f>B34*3</f>
        <v>45</v>
      </c>
      <c r="C36">
        <f t="shared" ref="C36:V36" si="13">C34*3</f>
        <v>37.5</v>
      </c>
      <c r="D36">
        <f t="shared" si="13"/>
        <v>45</v>
      </c>
      <c r="E36">
        <f t="shared" si="13"/>
        <v>45</v>
      </c>
      <c r="F36">
        <f t="shared" si="13"/>
        <v>150</v>
      </c>
      <c r="G36">
        <f t="shared" si="13"/>
        <v>90</v>
      </c>
      <c r="H36">
        <f t="shared" si="13"/>
        <v>90</v>
      </c>
      <c r="I36">
        <f t="shared" si="13"/>
        <v>300</v>
      </c>
      <c r="J36">
        <f t="shared" si="13"/>
        <v>180</v>
      </c>
      <c r="K36">
        <f t="shared" si="13"/>
        <v>180</v>
      </c>
      <c r="L36">
        <f t="shared" si="13"/>
        <v>180</v>
      </c>
      <c r="M36">
        <f t="shared" si="13"/>
        <v>300</v>
      </c>
      <c r="N36">
        <f t="shared" si="13"/>
        <v>75</v>
      </c>
      <c r="O36">
        <f t="shared" si="13"/>
        <v>90</v>
      </c>
      <c r="P36">
        <f t="shared" si="13"/>
        <v>135</v>
      </c>
      <c r="Q36">
        <f t="shared" si="13"/>
        <v>54</v>
      </c>
      <c r="R36">
        <f t="shared" si="13"/>
        <v>135</v>
      </c>
      <c r="S36">
        <f t="shared" si="13"/>
        <v>45</v>
      </c>
      <c r="T36">
        <f t="shared" si="13"/>
        <v>90</v>
      </c>
      <c r="U36">
        <f t="shared" si="13"/>
        <v>90</v>
      </c>
      <c r="V36">
        <f t="shared" si="13"/>
        <v>90</v>
      </c>
    </row>
    <row r="37" spans="1:22" x14ac:dyDescent="0.3">
      <c r="A37" s="7" t="s">
        <v>93</v>
      </c>
      <c r="B37" s="2">
        <f>ROUNDUP(ROUNDDOWN(B33*60/B34+B35*60/B36,0)/2,0)*2</f>
        <v>38</v>
      </c>
      <c r="C37" s="2">
        <f t="shared" ref="C37:V37" si="14">ROUNDUP(ROUNDDOWN(C33*60/C34+C35*60/C36,0)/2,0)*2</f>
        <v>44</v>
      </c>
      <c r="D37" s="2">
        <f t="shared" si="14"/>
        <v>38</v>
      </c>
      <c r="E37" s="2">
        <f t="shared" si="14"/>
        <v>38</v>
      </c>
      <c r="F37" s="2">
        <f t="shared" si="14"/>
        <v>12</v>
      </c>
      <c r="G37" s="2">
        <f t="shared" si="14"/>
        <v>18</v>
      </c>
      <c r="H37" s="2">
        <f t="shared" si="14"/>
        <v>18</v>
      </c>
      <c r="I37" s="2">
        <f t="shared" si="14"/>
        <v>6</v>
      </c>
      <c r="J37" s="2">
        <f t="shared" si="14"/>
        <v>10</v>
      </c>
      <c r="K37" s="2">
        <f t="shared" si="14"/>
        <v>10</v>
      </c>
      <c r="L37" s="2">
        <f t="shared" si="14"/>
        <v>10</v>
      </c>
      <c r="M37" s="2">
        <f t="shared" si="14"/>
        <v>6</v>
      </c>
      <c r="N37" s="2">
        <f t="shared" si="14"/>
        <v>22</v>
      </c>
      <c r="O37" s="2">
        <f t="shared" si="14"/>
        <v>18</v>
      </c>
      <c r="P37" s="2">
        <f t="shared" si="14"/>
        <v>12</v>
      </c>
      <c r="Q37" s="2">
        <f t="shared" si="14"/>
        <v>32</v>
      </c>
      <c r="R37" s="2">
        <f t="shared" si="14"/>
        <v>12</v>
      </c>
      <c r="S37" s="2">
        <f t="shared" si="14"/>
        <v>38</v>
      </c>
      <c r="T37" s="2">
        <f t="shared" si="14"/>
        <v>18</v>
      </c>
      <c r="U37" s="2">
        <f t="shared" si="14"/>
        <v>18</v>
      </c>
      <c r="V37" s="2">
        <f t="shared" si="14"/>
        <v>18</v>
      </c>
    </row>
    <row r="38" spans="1:22" hidden="1" x14ac:dyDescent="0.3"/>
    <row r="39" spans="1:22" x14ac:dyDescent="0.3">
      <c r="A39" s="7" t="s">
        <v>88</v>
      </c>
    </row>
    <row r="40" spans="1:22" hidden="1" x14ac:dyDescent="0.3">
      <c r="A40" s="7" t="s">
        <v>89</v>
      </c>
      <c r="B40">
        <f>B33</f>
        <v>5</v>
      </c>
      <c r="C40">
        <f t="shared" ref="C40:V40" si="15">C33</f>
        <v>5</v>
      </c>
      <c r="D40">
        <f t="shared" si="15"/>
        <v>5</v>
      </c>
      <c r="E40">
        <f t="shared" si="15"/>
        <v>5</v>
      </c>
      <c r="F40">
        <f t="shared" si="15"/>
        <v>5</v>
      </c>
      <c r="G40">
        <f t="shared" si="15"/>
        <v>5</v>
      </c>
      <c r="H40">
        <f t="shared" si="15"/>
        <v>5</v>
      </c>
      <c r="I40">
        <f t="shared" si="15"/>
        <v>5</v>
      </c>
      <c r="J40">
        <f t="shared" si="15"/>
        <v>5</v>
      </c>
      <c r="K40">
        <f t="shared" si="15"/>
        <v>5</v>
      </c>
      <c r="L40">
        <f t="shared" si="15"/>
        <v>5</v>
      </c>
      <c r="M40">
        <f t="shared" si="15"/>
        <v>5</v>
      </c>
      <c r="N40">
        <f t="shared" si="15"/>
        <v>5</v>
      </c>
      <c r="O40">
        <f t="shared" si="15"/>
        <v>5</v>
      </c>
      <c r="P40">
        <f t="shared" si="15"/>
        <v>5</v>
      </c>
      <c r="Q40">
        <f t="shared" si="15"/>
        <v>5</v>
      </c>
      <c r="R40">
        <f t="shared" si="15"/>
        <v>5</v>
      </c>
      <c r="S40">
        <f t="shared" si="15"/>
        <v>5</v>
      </c>
      <c r="T40">
        <f t="shared" si="15"/>
        <v>5</v>
      </c>
      <c r="U40">
        <f t="shared" si="15"/>
        <v>5</v>
      </c>
      <c r="V40">
        <f t="shared" si="15"/>
        <v>5</v>
      </c>
    </row>
    <row r="41" spans="1:22" hidden="1" x14ac:dyDescent="0.3">
      <c r="A41" s="7" t="s">
        <v>90</v>
      </c>
      <c r="B41">
        <f>B34*2.5</f>
        <v>37.5</v>
      </c>
      <c r="C41">
        <f t="shared" ref="C41:F41" si="16">C34*2.5</f>
        <v>31.25</v>
      </c>
      <c r="D41">
        <f t="shared" si="16"/>
        <v>37.5</v>
      </c>
      <c r="E41">
        <f t="shared" si="16"/>
        <v>37.5</v>
      </c>
      <c r="F41">
        <f t="shared" si="16"/>
        <v>125</v>
      </c>
      <c r="G41">
        <f>G34*3</f>
        <v>90</v>
      </c>
      <c r="H41">
        <f>H34*3</f>
        <v>90</v>
      </c>
      <c r="I41">
        <f>I34*10</f>
        <v>1000</v>
      </c>
      <c r="J41">
        <f>J34*10</f>
        <v>600</v>
      </c>
      <c r="K41">
        <f>K34*6</f>
        <v>360</v>
      </c>
      <c r="L41">
        <f>L34*6</f>
        <v>360</v>
      </c>
      <c r="M41">
        <f t="shared" ref="M41" si="17">M34*4</f>
        <v>400</v>
      </c>
      <c r="N41">
        <f>N34*5</f>
        <v>125</v>
      </c>
      <c r="O41">
        <f>O34*3</f>
        <v>90</v>
      </c>
      <c r="P41">
        <f t="shared" ref="P41:V41" si="18">P34*3</f>
        <v>135</v>
      </c>
      <c r="Q41">
        <f t="shared" si="18"/>
        <v>54</v>
      </c>
      <c r="R41">
        <f t="shared" si="18"/>
        <v>135</v>
      </c>
      <c r="S41">
        <f t="shared" si="18"/>
        <v>45</v>
      </c>
      <c r="T41">
        <f t="shared" si="18"/>
        <v>90</v>
      </c>
      <c r="U41">
        <f t="shared" si="18"/>
        <v>90</v>
      </c>
      <c r="V41">
        <f t="shared" si="18"/>
        <v>90</v>
      </c>
    </row>
    <row r="42" spans="1:22" hidden="1" x14ac:dyDescent="0.3">
      <c r="A42" s="7" t="s">
        <v>91</v>
      </c>
      <c r="B42">
        <f>B35</f>
        <v>13</v>
      </c>
      <c r="C42">
        <f t="shared" ref="C42:V42" si="19">C35</f>
        <v>13</v>
      </c>
      <c r="D42">
        <f t="shared" si="19"/>
        <v>13</v>
      </c>
      <c r="E42">
        <f t="shared" si="19"/>
        <v>13</v>
      </c>
      <c r="F42">
        <f t="shared" si="19"/>
        <v>13</v>
      </c>
      <c r="G42">
        <f t="shared" si="19"/>
        <v>13</v>
      </c>
      <c r="H42">
        <f t="shared" si="19"/>
        <v>13</v>
      </c>
      <c r="I42">
        <f t="shared" si="19"/>
        <v>13</v>
      </c>
      <c r="J42">
        <f t="shared" si="19"/>
        <v>13</v>
      </c>
      <c r="K42">
        <f t="shared" si="19"/>
        <v>13</v>
      </c>
      <c r="L42">
        <f t="shared" si="19"/>
        <v>13</v>
      </c>
      <c r="M42">
        <f t="shared" si="19"/>
        <v>13</v>
      </c>
      <c r="N42">
        <f t="shared" si="19"/>
        <v>13</v>
      </c>
      <c r="O42">
        <f t="shared" si="19"/>
        <v>13</v>
      </c>
      <c r="P42">
        <f t="shared" si="19"/>
        <v>13</v>
      </c>
      <c r="Q42">
        <f t="shared" si="19"/>
        <v>13</v>
      </c>
      <c r="R42">
        <f t="shared" si="19"/>
        <v>13</v>
      </c>
      <c r="S42">
        <f t="shared" si="19"/>
        <v>13</v>
      </c>
      <c r="T42">
        <f t="shared" si="19"/>
        <v>13</v>
      </c>
      <c r="U42">
        <f t="shared" si="19"/>
        <v>13</v>
      </c>
      <c r="V42">
        <f t="shared" si="19"/>
        <v>13</v>
      </c>
    </row>
    <row r="43" spans="1:22" hidden="1" x14ac:dyDescent="0.3">
      <c r="A43" s="7" t="s">
        <v>92</v>
      </c>
      <c r="B43">
        <f>B41*3</f>
        <v>112.5</v>
      </c>
      <c r="C43">
        <f t="shared" ref="C43:V43" si="20">C41*3</f>
        <v>93.75</v>
      </c>
      <c r="D43">
        <f t="shared" si="20"/>
        <v>112.5</v>
      </c>
      <c r="E43">
        <f t="shared" si="20"/>
        <v>112.5</v>
      </c>
      <c r="F43">
        <f t="shared" si="20"/>
        <v>375</v>
      </c>
      <c r="G43">
        <f t="shared" si="20"/>
        <v>270</v>
      </c>
      <c r="H43">
        <f t="shared" si="20"/>
        <v>270</v>
      </c>
      <c r="I43">
        <f t="shared" si="20"/>
        <v>3000</v>
      </c>
      <c r="J43">
        <f t="shared" si="20"/>
        <v>1800</v>
      </c>
      <c r="K43">
        <f t="shared" si="20"/>
        <v>1080</v>
      </c>
      <c r="L43">
        <f t="shared" si="20"/>
        <v>1080</v>
      </c>
      <c r="M43">
        <f t="shared" si="20"/>
        <v>1200</v>
      </c>
      <c r="N43">
        <f t="shared" si="20"/>
        <v>375</v>
      </c>
      <c r="O43">
        <f t="shared" si="20"/>
        <v>270</v>
      </c>
      <c r="P43">
        <f t="shared" si="20"/>
        <v>405</v>
      </c>
      <c r="Q43">
        <f t="shared" si="20"/>
        <v>162</v>
      </c>
      <c r="R43">
        <f t="shared" si="20"/>
        <v>405</v>
      </c>
      <c r="S43">
        <f t="shared" si="20"/>
        <v>135</v>
      </c>
      <c r="T43">
        <f t="shared" si="20"/>
        <v>270</v>
      </c>
      <c r="U43">
        <f t="shared" si="20"/>
        <v>270</v>
      </c>
      <c r="V43">
        <f t="shared" si="20"/>
        <v>270</v>
      </c>
    </row>
    <row r="44" spans="1:22" x14ac:dyDescent="0.3">
      <c r="A44" s="7" t="s">
        <v>93</v>
      </c>
      <c r="B44" s="2">
        <f>ROUNDUP(ROUNDDOWN(B40*60/B41+B42*60/B43,0)/2,0)*2</f>
        <v>14</v>
      </c>
      <c r="C44" s="2">
        <f t="shared" ref="C44:V44" si="21">ROUNDUP(ROUNDDOWN(C40*60/C41+C42*60/C43,0)/2,0)*2</f>
        <v>18</v>
      </c>
      <c r="D44" s="2">
        <f t="shared" si="21"/>
        <v>14</v>
      </c>
      <c r="E44" s="2">
        <f t="shared" si="21"/>
        <v>14</v>
      </c>
      <c r="F44" s="2">
        <f t="shared" si="21"/>
        <v>4</v>
      </c>
      <c r="G44" s="2">
        <f t="shared" si="21"/>
        <v>6</v>
      </c>
      <c r="H44" s="2">
        <f t="shared" si="21"/>
        <v>6</v>
      </c>
      <c r="I44" s="2">
        <f t="shared" si="21"/>
        <v>0</v>
      </c>
      <c r="J44" s="2">
        <f t="shared" si="21"/>
        <v>0</v>
      </c>
      <c r="K44" s="2">
        <f t="shared" si="21"/>
        <v>2</v>
      </c>
      <c r="L44" s="2">
        <f t="shared" si="21"/>
        <v>2</v>
      </c>
      <c r="M44" s="2">
        <f t="shared" si="21"/>
        <v>2</v>
      </c>
      <c r="N44" s="2">
        <f t="shared" si="21"/>
        <v>4</v>
      </c>
      <c r="O44" s="2">
        <f t="shared" si="21"/>
        <v>6</v>
      </c>
      <c r="P44" s="2">
        <f t="shared" si="21"/>
        <v>4</v>
      </c>
      <c r="Q44" s="2">
        <f t="shared" si="21"/>
        <v>10</v>
      </c>
      <c r="R44" s="2">
        <f t="shared" si="21"/>
        <v>4</v>
      </c>
      <c r="S44" s="2">
        <f t="shared" si="21"/>
        <v>12</v>
      </c>
      <c r="T44" s="2">
        <f t="shared" si="21"/>
        <v>6</v>
      </c>
      <c r="U44" s="2">
        <f t="shared" si="21"/>
        <v>6</v>
      </c>
      <c r="V44" s="2">
        <f t="shared" si="21"/>
        <v>6</v>
      </c>
    </row>
    <row r="46" spans="1:22" x14ac:dyDescent="0.3">
      <c r="A46" s="7" t="s">
        <v>95</v>
      </c>
      <c r="B46" s="3">
        <f>B44*B23+B37*B22+B30*B21</f>
        <v>25918</v>
      </c>
      <c r="C46" s="3">
        <f t="shared" ref="C46:V46" si="22">C44*C23+C37*C22+C30*C21</f>
        <v>30736</v>
      </c>
      <c r="D46" s="3">
        <f t="shared" si="22"/>
        <v>25918</v>
      </c>
      <c r="E46" s="3">
        <f t="shared" si="22"/>
        <v>25918</v>
      </c>
      <c r="F46" s="3">
        <f t="shared" si="22"/>
        <v>7836</v>
      </c>
      <c r="G46" s="3">
        <f t="shared" si="22"/>
        <v>14610</v>
      </c>
      <c r="H46" s="3">
        <f t="shared" si="22"/>
        <v>14610</v>
      </c>
      <c r="I46" s="3">
        <f t="shared" si="22"/>
        <v>12426</v>
      </c>
      <c r="J46" s="3">
        <f t="shared" si="22"/>
        <v>20822</v>
      </c>
      <c r="K46" s="3">
        <f t="shared" si="22"/>
        <v>13154</v>
      </c>
      <c r="L46" s="3">
        <f t="shared" si="22"/>
        <v>13154</v>
      </c>
      <c r="M46" s="3">
        <f t="shared" si="22"/>
        <v>5766</v>
      </c>
      <c r="N46" s="3">
        <f t="shared" si="22"/>
        <v>26642</v>
      </c>
      <c r="O46" s="3">
        <f t="shared" si="22"/>
        <v>14610</v>
      </c>
      <c r="P46" s="3">
        <f t="shared" si="22"/>
        <v>9852</v>
      </c>
      <c r="Q46" s="3">
        <f t="shared" si="22"/>
        <v>24796</v>
      </c>
      <c r="R46" s="3">
        <f t="shared" si="22"/>
        <v>9852</v>
      </c>
      <c r="S46" s="3">
        <f t="shared" si="22"/>
        <v>29554</v>
      </c>
      <c r="T46" s="3">
        <f t="shared" si="22"/>
        <v>14610</v>
      </c>
      <c r="U46" s="3">
        <f t="shared" si="22"/>
        <v>14610</v>
      </c>
      <c r="V46" s="3">
        <f t="shared" si="22"/>
        <v>14610</v>
      </c>
    </row>
    <row r="47" spans="1:22" x14ac:dyDescent="0.3">
      <c r="A47" s="7" t="s">
        <v>94</v>
      </c>
      <c r="B47" s="3">
        <f>B46*B4*2</f>
        <v>1726138.7999999998</v>
      </c>
      <c r="C47" s="3">
        <f t="shared" ref="C47:V47" si="23">C46*C4*2</f>
        <v>1764246.4</v>
      </c>
      <c r="D47" s="3">
        <f t="shared" si="23"/>
        <v>1907564.7999999998</v>
      </c>
      <c r="E47" s="3">
        <f t="shared" si="23"/>
        <v>1145575.6000000001</v>
      </c>
      <c r="F47" s="3">
        <f t="shared" si="23"/>
        <v>51717.599999999999</v>
      </c>
      <c r="G47" s="3">
        <f t="shared" si="23"/>
        <v>368172</v>
      </c>
      <c r="H47" s="3">
        <f t="shared" si="23"/>
        <v>283434</v>
      </c>
      <c r="I47" s="3">
        <f t="shared" si="23"/>
        <v>740589.6</v>
      </c>
      <c r="J47" s="3">
        <f t="shared" si="23"/>
        <v>807893.6</v>
      </c>
      <c r="K47" s="3">
        <f t="shared" si="23"/>
        <v>594560.80000000005</v>
      </c>
      <c r="L47" s="3">
        <f t="shared" si="23"/>
        <v>294649.59999999998</v>
      </c>
      <c r="M47" s="3">
        <f t="shared" si="23"/>
        <v>337887.60000000003</v>
      </c>
      <c r="N47" s="3">
        <f t="shared" si="23"/>
        <v>1284144.4000000001</v>
      </c>
      <c r="O47" s="3">
        <f t="shared" si="23"/>
        <v>219150</v>
      </c>
      <c r="P47" s="3">
        <f t="shared" si="23"/>
        <v>266004</v>
      </c>
      <c r="Q47" s="3">
        <f t="shared" si="23"/>
        <v>495920</v>
      </c>
      <c r="R47" s="3">
        <f t="shared" si="23"/>
        <v>218714.4</v>
      </c>
      <c r="S47" s="3">
        <f t="shared" si="23"/>
        <v>366469.60000000003</v>
      </c>
      <c r="T47" s="3">
        <f t="shared" si="23"/>
        <v>52596</v>
      </c>
      <c r="U47" s="3">
        <f t="shared" si="23"/>
        <v>43830</v>
      </c>
      <c r="V47" s="3">
        <f t="shared" si="23"/>
        <v>58440</v>
      </c>
    </row>
    <row r="48" spans="1:22" x14ac:dyDescent="0.3">
      <c r="A48" s="7" t="s">
        <v>96</v>
      </c>
      <c r="B48" s="3">
        <f>B47/B14</f>
        <v>59522.027586206888</v>
      </c>
      <c r="C48" s="3">
        <f t="shared" ref="C48:V48" si="24">C47/C14</f>
        <v>65342.459259259253</v>
      </c>
      <c r="D48" s="3">
        <f t="shared" si="24"/>
        <v>70650.54814814814</v>
      </c>
      <c r="E48" s="3">
        <f t="shared" si="24"/>
        <v>63643.088888888895</v>
      </c>
      <c r="F48" s="3">
        <f t="shared" si="24"/>
        <v>17239.2</v>
      </c>
      <c r="G48" s="3">
        <f t="shared" si="24"/>
        <v>52596</v>
      </c>
      <c r="H48" s="3">
        <f t="shared" si="24"/>
        <v>40490.571428571428</v>
      </c>
      <c r="I48" s="3">
        <f t="shared" si="24"/>
        <v>82287.733333333337</v>
      </c>
      <c r="J48" s="3">
        <f t="shared" si="24"/>
        <v>89765.955555555556</v>
      </c>
      <c r="K48" s="3">
        <f t="shared" si="24"/>
        <v>54050.981818181819</v>
      </c>
      <c r="L48" s="3">
        <f t="shared" si="24"/>
        <v>42092.799999999996</v>
      </c>
      <c r="M48" s="3">
        <f t="shared" si="24"/>
        <v>67577.52</v>
      </c>
      <c r="N48" s="3">
        <f t="shared" si="24"/>
        <v>51365.776000000005</v>
      </c>
      <c r="O48" s="3">
        <f t="shared" si="24"/>
        <v>31307.142857142859</v>
      </c>
      <c r="P48" s="3">
        <f t="shared" si="24"/>
        <v>29556</v>
      </c>
      <c r="Q48" s="3">
        <f t="shared" si="24"/>
        <v>30995</v>
      </c>
      <c r="R48" s="3">
        <f t="shared" si="24"/>
        <v>31244.914285714283</v>
      </c>
      <c r="S48" s="3">
        <f t="shared" si="24"/>
        <v>33315.418181818182</v>
      </c>
      <c r="T48" s="3">
        <f t="shared" si="24"/>
        <v>10519.2</v>
      </c>
      <c r="U48" s="3">
        <f t="shared" si="24"/>
        <v>14610</v>
      </c>
      <c r="V48" s="3">
        <f t="shared" si="24"/>
        <v>11688</v>
      </c>
    </row>
    <row r="50" spans="1:22" x14ac:dyDescent="0.3">
      <c r="A50" s="7" t="s">
        <v>97</v>
      </c>
      <c r="C50">
        <v>2</v>
      </c>
      <c r="D50">
        <v>4</v>
      </c>
      <c r="E50">
        <v>1</v>
      </c>
      <c r="G50">
        <v>1</v>
      </c>
      <c r="H50">
        <v>1</v>
      </c>
      <c r="I50">
        <v>3</v>
      </c>
      <c r="J50">
        <v>4</v>
      </c>
      <c r="K50">
        <v>1</v>
      </c>
      <c r="S50">
        <v>1</v>
      </c>
    </row>
    <row r="51" spans="1:22" x14ac:dyDescent="0.3">
      <c r="A51" s="7" t="s">
        <v>98</v>
      </c>
      <c r="B51" s="2">
        <f>B50+B14</f>
        <v>29</v>
      </c>
      <c r="C51" s="2">
        <f t="shared" ref="C51:V51" si="25">C50+C14</f>
        <v>29</v>
      </c>
      <c r="D51" s="2">
        <f t="shared" si="25"/>
        <v>31</v>
      </c>
      <c r="E51" s="2">
        <f t="shared" si="25"/>
        <v>19</v>
      </c>
      <c r="F51" s="2">
        <f t="shared" si="25"/>
        <v>3</v>
      </c>
      <c r="G51" s="2">
        <f t="shared" si="25"/>
        <v>8</v>
      </c>
      <c r="H51" s="2">
        <f t="shared" si="25"/>
        <v>8</v>
      </c>
      <c r="I51" s="2">
        <f t="shared" si="25"/>
        <v>12</v>
      </c>
      <c r="J51" s="2">
        <f t="shared" si="25"/>
        <v>13</v>
      </c>
      <c r="K51" s="2">
        <f t="shared" si="25"/>
        <v>12</v>
      </c>
      <c r="L51" s="2">
        <f t="shared" si="25"/>
        <v>7</v>
      </c>
      <c r="M51" s="2">
        <f t="shared" si="25"/>
        <v>5</v>
      </c>
      <c r="N51" s="2">
        <f t="shared" si="25"/>
        <v>25</v>
      </c>
      <c r="O51" s="2">
        <f t="shared" si="25"/>
        <v>7</v>
      </c>
      <c r="P51" s="2">
        <f t="shared" si="25"/>
        <v>9</v>
      </c>
      <c r="Q51" s="2">
        <f t="shared" si="25"/>
        <v>16</v>
      </c>
      <c r="R51" s="2">
        <f t="shared" si="25"/>
        <v>7</v>
      </c>
      <c r="S51" s="2">
        <f t="shared" si="25"/>
        <v>12</v>
      </c>
      <c r="T51" s="2">
        <f t="shared" si="25"/>
        <v>5</v>
      </c>
      <c r="U51" s="2">
        <f t="shared" si="25"/>
        <v>3</v>
      </c>
      <c r="V51" s="2">
        <f t="shared" si="25"/>
        <v>5</v>
      </c>
    </row>
    <row r="52" spans="1:22" x14ac:dyDescent="0.3">
      <c r="A52" s="7" t="s">
        <v>101</v>
      </c>
      <c r="B52" s="6">
        <f>(B51-B13)/B13</f>
        <v>0.11538461538461539</v>
      </c>
      <c r="C52" s="6">
        <f t="shared" ref="C52:V52" si="26">(C51-C13)/C13</f>
        <v>0.20833333333333334</v>
      </c>
      <c r="D52" s="6">
        <f t="shared" si="26"/>
        <v>0.29166666666666669</v>
      </c>
      <c r="E52" s="6">
        <f t="shared" si="26"/>
        <v>0.1875</v>
      </c>
      <c r="F52" s="6">
        <f t="shared" si="26"/>
        <v>0.5</v>
      </c>
      <c r="G52" s="6">
        <f t="shared" si="26"/>
        <v>0.33333333333333331</v>
      </c>
      <c r="H52" s="6">
        <f t="shared" si="26"/>
        <v>0.33333333333333331</v>
      </c>
      <c r="I52" s="6">
        <f t="shared" si="26"/>
        <v>0.5</v>
      </c>
      <c r="J52" s="6">
        <f t="shared" si="26"/>
        <v>0.625</v>
      </c>
      <c r="K52" s="6">
        <f t="shared" si="26"/>
        <v>0.2</v>
      </c>
      <c r="L52" s="6">
        <f t="shared" si="26"/>
        <v>0.16666666666666666</v>
      </c>
      <c r="M52" s="6">
        <f t="shared" si="26"/>
        <v>0.25</v>
      </c>
      <c r="N52" s="6">
        <f t="shared" si="26"/>
        <v>0.13636363636363635</v>
      </c>
      <c r="O52" s="6">
        <f t="shared" si="26"/>
        <v>0.16666666666666666</v>
      </c>
      <c r="P52" s="6">
        <f t="shared" si="26"/>
        <v>0.125</v>
      </c>
      <c r="Q52" s="6">
        <f t="shared" si="26"/>
        <v>0.14285714285714285</v>
      </c>
      <c r="R52" s="6">
        <f t="shared" si="26"/>
        <v>0.16666666666666666</v>
      </c>
      <c r="S52" s="6">
        <f t="shared" si="26"/>
        <v>0.2</v>
      </c>
      <c r="T52" s="6">
        <f t="shared" si="26"/>
        <v>0.25</v>
      </c>
      <c r="U52" s="6">
        <f t="shared" si="26"/>
        <v>0.5</v>
      </c>
      <c r="V52" s="6">
        <f t="shared" si="26"/>
        <v>0.25</v>
      </c>
    </row>
    <row r="54" spans="1:22" x14ac:dyDescent="0.3">
      <c r="A54" s="7" t="s">
        <v>99</v>
      </c>
      <c r="B54" s="3">
        <f>B47/B51</f>
        <v>59522.027586206888</v>
      </c>
      <c r="C54" s="3">
        <f t="shared" ref="C54:V54" si="27">C47/C51</f>
        <v>60836.082758620687</v>
      </c>
      <c r="D54" s="3">
        <f t="shared" si="27"/>
        <v>61534.348387096768</v>
      </c>
      <c r="E54" s="3">
        <f t="shared" si="27"/>
        <v>60293.452631578955</v>
      </c>
      <c r="F54" s="3">
        <f t="shared" si="27"/>
        <v>17239.2</v>
      </c>
      <c r="G54" s="3">
        <f t="shared" si="27"/>
        <v>46021.5</v>
      </c>
      <c r="H54" s="3">
        <f t="shared" si="27"/>
        <v>35429.25</v>
      </c>
      <c r="I54" s="3">
        <f t="shared" si="27"/>
        <v>61715.799999999996</v>
      </c>
      <c r="J54" s="3">
        <f t="shared" si="27"/>
        <v>62145.661538461536</v>
      </c>
      <c r="K54" s="3">
        <f t="shared" si="27"/>
        <v>49546.733333333337</v>
      </c>
      <c r="L54" s="3">
        <f t="shared" si="27"/>
        <v>42092.799999999996</v>
      </c>
      <c r="M54" s="3">
        <f t="shared" si="27"/>
        <v>67577.52</v>
      </c>
      <c r="N54" s="3">
        <f t="shared" si="27"/>
        <v>51365.776000000005</v>
      </c>
      <c r="O54" s="3">
        <f t="shared" si="27"/>
        <v>31307.142857142859</v>
      </c>
      <c r="P54" s="3">
        <f t="shared" si="27"/>
        <v>29556</v>
      </c>
      <c r="Q54" s="3">
        <f t="shared" si="27"/>
        <v>30995</v>
      </c>
      <c r="R54" s="3">
        <f t="shared" si="27"/>
        <v>31244.914285714283</v>
      </c>
      <c r="S54" s="3">
        <f t="shared" si="27"/>
        <v>30539.133333333335</v>
      </c>
      <c r="T54" s="3">
        <f t="shared" si="27"/>
        <v>10519.2</v>
      </c>
      <c r="U54" s="3">
        <f t="shared" si="27"/>
        <v>14610</v>
      </c>
      <c r="V54" s="3">
        <f t="shared" si="27"/>
        <v>11688</v>
      </c>
    </row>
    <row r="55" spans="1:22" x14ac:dyDescent="0.3">
      <c r="G55" s="8"/>
      <c r="H55" s="8"/>
    </row>
    <row r="56" spans="1:22" x14ac:dyDescent="0.3">
      <c r="A56" s="7" t="s">
        <v>100</v>
      </c>
      <c r="B56" s="8">
        <f>B54</f>
        <v>59522.027586206888</v>
      </c>
      <c r="C56" s="8">
        <f>C54</f>
        <v>60836.082758620687</v>
      </c>
      <c r="D56" s="8">
        <f>D54</f>
        <v>61534.348387096768</v>
      </c>
      <c r="E56" s="8">
        <f>E54</f>
        <v>60293.452631578955</v>
      </c>
      <c r="G56" s="9">
        <f>SUMPRODUCT(G54:H54,G51:H51)/SUM(G51:H51)</f>
        <v>40725.375</v>
      </c>
      <c r="H56" s="9"/>
      <c r="M56" s="9">
        <f>SUMPRODUCT(I54:N54,I51:N51)/SUM(I51:N51)</f>
        <v>54861.156756756762</v>
      </c>
      <c r="N56" s="9"/>
      <c r="R56" s="9">
        <f>SUMPRODUCT(O54:S54,O51:S51)/SUM(O51:S51)</f>
        <v>30710.941176470587</v>
      </c>
      <c r="S56" s="9"/>
      <c r="U56" s="9">
        <f>SUMPRODUCT(T54:V54,T51:V51)/SUM(T51:V51)</f>
        <v>11912.76923076923</v>
      </c>
      <c r="V56" s="9"/>
    </row>
    <row r="59" spans="1:22" x14ac:dyDescent="0.3">
      <c r="B59" t="s">
        <v>71</v>
      </c>
      <c r="D59" t="s">
        <v>77</v>
      </c>
      <c r="E59" t="s">
        <v>78</v>
      </c>
      <c r="F59" t="s">
        <v>81</v>
      </c>
      <c r="I59" t="s">
        <v>82</v>
      </c>
      <c r="L59" t="s">
        <v>77</v>
      </c>
      <c r="M59" t="s">
        <v>78</v>
      </c>
    </row>
    <row r="60" spans="1:22" x14ac:dyDescent="0.3">
      <c r="B60" t="s">
        <v>33</v>
      </c>
      <c r="E60">
        <f>F14</f>
        <v>3</v>
      </c>
    </row>
    <row r="62" spans="1:22" x14ac:dyDescent="0.3">
      <c r="B62" t="s">
        <v>73</v>
      </c>
      <c r="D62">
        <f>[1]OPEXCAPEX!$L$21</f>
        <v>20</v>
      </c>
      <c r="E62">
        <f>E14</f>
        <v>18</v>
      </c>
      <c r="F62">
        <f>E51</f>
        <v>19</v>
      </c>
      <c r="I62" t="s">
        <v>73</v>
      </c>
      <c r="L62" s="3">
        <f>[1]OPEXCAPEX!B21/D62</f>
        <v>61050</v>
      </c>
      <c r="M62" s="8">
        <f>ROUND(E56/1000,0)*1000</f>
        <v>60000</v>
      </c>
    </row>
    <row r="63" spans="1:22" x14ac:dyDescent="0.3">
      <c r="B63" t="s">
        <v>27</v>
      </c>
      <c r="D63">
        <f>[1]OPEXCAPEX!$L$22</f>
        <v>24</v>
      </c>
      <c r="E63">
        <f>D14</f>
        <v>27</v>
      </c>
      <c r="F63">
        <f>D51</f>
        <v>31</v>
      </c>
      <c r="G63" s="6"/>
      <c r="I63" t="s">
        <v>27</v>
      </c>
      <c r="L63" s="3">
        <f>[1]OPEXCAPEX!B22/D63</f>
        <v>61041.666666666664</v>
      </c>
      <c r="M63" s="8">
        <f>ROUND(D56/1000,0)*1000</f>
        <v>62000</v>
      </c>
    </row>
    <row r="64" spans="1:22" x14ac:dyDescent="0.3">
      <c r="B64" t="s">
        <v>72</v>
      </c>
      <c r="D64">
        <f>[1]OPEXCAPEX!$L$23</f>
        <v>37</v>
      </c>
      <c r="E64">
        <f>B14</f>
        <v>29</v>
      </c>
      <c r="F64">
        <f>B51</f>
        <v>29</v>
      </c>
      <c r="I64" t="s">
        <v>72</v>
      </c>
      <c r="L64" s="3">
        <f>[1]OPEXCAPEX!B23/D64</f>
        <v>51405.405405405407</v>
      </c>
      <c r="M64" s="8">
        <f>ROUND(B56/1000,0)*1000</f>
        <v>60000</v>
      </c>
    </row>
    <row r="65" spans="2:13" x14ac:dyDescent="0.3">
      <c r="B65" t="s">
        <v>74</v>
      </c>
      <c r="D65">
        <f>[1]OPEXCAPEX!$L$24</f>
        <v>30</v>
      </c>
      <c r="E65">
        <f>T14+U14+V14</f>
        <v>13</v>
      </c>
      <c r="F65">
        <f>T51+U51+V51</f>
        <v>13</v>
      </c>
      <c r="I65" t="s">
        <v>74</v>
      </c>
      <c r="L65" s="3">
        <f>[1]OPEXCAPEX!B24/D65</f>
        <v>30166.666666666668</v>
      </c>
      <c r="M65" s="8">
        <f>ROUND(U56/1000,0)*1000</f>
        <v>12000</v>
      </c>
    </row>
    <row r="66" spans="2:13" x14ac:dyDescent="0.3">
      <c r="B66" t="s">
        <v>75</v>
      </c>
      <c r="D66">
        <f>[1]OPEXCAPEX!$L$25</f>
        <v>84</v>
      </c>
      <c r="E66" s="5">
        <f>DRT!B7</f>
        <v>13</v>
      </c>
      <c r="F66" s="5">
        <f>E66</f>
        <v>13</v>
      </c>
      <c r="I66" t="s">
        <v>75</v>
      </c>
      <c r="L66" s="3">
        <f>[1]OPEXCAPEX!B25/D66</f>
        <v>40416.666666666664</v>
      </c>
      <c r="M66" s="3">
        <f>ROUND(DRT!E14/1000,0)*1000</f>
        <v>60000</v>
      </c>
    </row>
    <row r="67" spans="2:13" x14ac:dyDescent="0.3">
      <c r="B67" t="s">
        <v>76</v>
      </c>
      <c r="D67">
        <f>[1]OPEXCAPEX!$L$26</f>
        <v>34</v>
      </c>
      <c r="E67">
        <f>S14+R14+Q14+P14+O14</f>
        <v>50</v>
      </c>
      <c r="F67">
        <f>S51+T51+Q51+P51+O51</f>
        <v>49</v>
      </c>
      <c r="I67" t="s">
        <v>76</v>
      </c>
      <c r="L67" s="3">
        <f>[1]OPEXCAPEX!B26/D67</f>
        <v>30705.882352941175</v>
      </c>
      <c r="M67" s="8">
        <f>ROUND(R56/1000,0)*1000</f>
        <v>31000</v>
      </c>
    </row>
    <row r="68" spans="2:13" x14ac:dyDescent="0.3">
      <c r="B68" t="s">
        <v>23</v>
      </c>
      <c r="D68">
        <f>[1]OPEXCAPEX!$L$27</f>
        <v>13</v>
      </c>
      <c r="E68">
        <f>+C14</f>
        <v>27</v>
      </c>
      <c r="F68">
        <f>+C51</f>
        <v>29</v>
      </c>
      <c r="I68" t="s">
        <v>23</v>
      </c>
      <c r="L68" s="3">
        <f>[1]OPEXCAPEX!B27/D68</f>
        <v>50307.692307692305</v>
      </c>
      <c r="M68" s="8">
        <f>ROUND(C56/1000,0)*1000</f>
        <v>61000</v>
      </c>
    </row>
    <row r="69" spans="2:13" x14ac:dyDescent="0.3">
      <c r="B69" t="s">
        <v>19</v>
      </c>
      <c r="D69">
        <f>[1]OPEXCAPEX!$L$28</f>
        <v>38</v>
      </c>
      <c r="E69">
        <f>+N14+M14+L14+K14+J14+I14</f>
        <v>66</v>
      </c>
      <c r="F69">
        <f>+N51+M51+L51+K51+J51+H51</f>
        <v>70</v>
      </c>
      <c r="I69" t="s">
        <v>19</v>
      </c>
      <c r="L69" s="3">
        <f>[1]OPEXCAPEX!B28/D69</f>
        <v>40421.052631578947</v>
      </c>
      <c r="M69" s="8">
        <f>ROUND(M56/1000,0)*1000</f>
        <v>55000</v>
      </c>
    </row>
    <row r="70" spans="2:13" x14ac:dyDescent="0.3">
      <c r="B70" t="s">
        <v>79</v>
      </c>
      <c r="D70">
        <f>[1]OPEXCAPEX!$L$29</f>
        <v>24</v>
      </c>
      <c r="E70">
        <f>+H14+G14</f>
        <v>14</v>
      </c>
      <c r="F70">
        <f>+H51+G51</f>
        <v>16</v>
      </c>
      <c r="I70" t="s">
        <v>79</v>
      </c>
      <c r="L70" s="3">
        <f>[1]OPEXCAPEX!B29/D70</f>
        <v>40416.666666666664</v>
      </c>
      <c r="M70" s="8">
        <f>ROUND(G56/1000,0)*1000</f>
        <v>41000</v>
      </c>
    </row>
    <row r="72" spans="2:13" x14ac:dyDescent="0.3">
      <c r="B72" t="s">
        <v>80</v>
      </c>
      <c r="D72">
        <f>SUM(D62:D70)</f>
        <v>304</v>
      </c>
      <c r="E72">
        <f>SUM(E62:E70)</f>
        <v>257</v>
      </c>
      <c r="F72">
        <f>SUM(F62:F70)</f>
        <v>269</v>
      </c>
    </row>
    <row r="73" spans="2:13" x14ac:dyDescent="0.3">
      <c r="B73" t="s">
        <v>116</v>
      </c>
      <c r="D73">
        <f>SUM(D64:D70)</f>
        <v>260</v>
      </c>
      <c r="E73">
        <f>SUM(E64:E70)</f>
        <v>212</v>
      </c>
      <c r="F73">
        <f>SUM(F64:F70)</f>
        <v>219</v>
      </c>
    </row>
  </sheetData>
  <mergeCells count="4">
    <mergeCell ref="G56:H56"/>
    <mergeCell ref="M56:N56"/>
    <mergeCell ref="R56:S56"/>
    <mergeCell ref="U56:V5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35B0-68E6-41FC-BF58-DED0E32CE34B}">
  <dimension ref="A1:E19"/>
  <sheetViews>
    <sheetView workbookViewId="0">
      <selection activeCell="F9" sqref="F9"/>
    </sheetView>
  </sheetViews>
  <sheetFormatPr baseColWidth="10" defaultRowHeight="14.4" x14ac:dyDescent="0.3"/>
  <sheetData>
    <row r="1" spans="1:5" x14ac:dyDescent="0.3">
      <c r="A1" t="s">
        <v>75</v>
      </c>
      <c r="B1" t="s">
        <v>102</v>
      </c>
      <c r="C1" t="s">
        <v>105</v>
      </c>
      <c r="D1" t="s">
        <v>103</v>
      </c>
      <c r="E1" t="s">
        <v>104</v>
      </c>
    </row>
    <row r="2" spans="1:5" x14ac:dyDescent="0.3">
      <c r="A2" t="s">
        <v>108</v>
      </c>
      <c r="B2">
        <v>1.5</v>
      </c>
      <c r="C2">
        <v>2.5</v>
      </c>
      <c r="D2">
        <v>3.5</v>
      </c>
      <c r="E2">
        <v>7</v>
      </c>
    </row>
    <row r="3" spans="1:5" x14ac:dyDescent="0.3">
      <c r="A3" t="s">
        <v>107</v>
      </c>
      <c r="B3">
        <v>18</v>
      </c>
      <c r="C3">
        <v>16</v>
      </c>
      <c r="D3">
        <v>18</v>
      </c>
      <c r="E3">
        <v>30</v>
      </c>
    </row>
    <row r="4" spans="1:5" x14ac:dyDescent="0.3">
      <c r="A4" t="s">
        <v>106</v>
      </c>
      <c r="B4">
        <v>5</v>
      </c>
      <c r="C4">
        <v>6</v>
      </c>
      <c r="D4">
        <v>6</v>
      </c>
      <c r="E4">
        <v>10</v>
      </c>
    </row>
    <row r="5" spans="1:5" x14ac:dyDescent="0.3">
      <c r="A5" t="s">
        <v>109</v>
      </c>
      <c r="B5" s="4">
        <f>ROUNDUP(2*B2/B3*60/B4,0)</f>
        <v>2</v>
      </c>
      <c r="C5" s="4">
        <f>ROUNDUP(2*C2/C3*60/C4,0)</f>
        <v>4</v>
      </c>
      <c r="D5" s="4">
        <f>ROUNDUP(2*D2/D3*60/D4,0)</f>
        <v>4</v>
      </c>
      <c r="E5" s="4">
        <f>ROUNDUP(2*E2/E3*60/E4,0)</f>
        <v>3</v>
      </c>
    </row>
    <row r="6" spans="1:5" x14ac:dyDescent="0.3">
      <c r="A6" t="s">
        <v>111</v>
      </c>
      <c r="B6" s="10">
        <f>SUM(B5:E5)</f>
        <v>13</v>
      </c>
      <c r="C6" s="10"/>
      <c r="D6" s="10"/>
      <c r="E6" s="10"/>
    </row>
    <row r="7" spans="1:5" x14ac:dyDescent="0.3">
      <c r="A7" t="s">
        <v>110</v>
      </c>
      <c r="B7" s="10">
        <f>B6+G7</f>
        <v>13</v>
      </c>
      <c r="C7" s="11"/>
      <c r="D7" s="11"/>
      <c r="E7" s="11"/>
    </row>
    <row r="8" spans="1:5" x14ac:dyDescent="0.3">
      <c r="A8" t="s">
        <v>112</v>
      </c>
    </row>
    <row r="9" spans="1:5" x14ac:dyDescent="0.3">
      <c r="A9" t="s">
        <v>86</v>
      </c>
      <c r="B9">
        <f>ROUNDDOWN(AVERAGE(Sheet1!Q30,Sheet1!S30,Sheet1!O30)*2,0)</f>
        <v>212</v>
      </c>
      <c r="C9">
        <f>B9</f>
        <v>212</v>
      </c>
      <c r="D9">
        <f>ROUNDDOWN(AVERAGE(Sheet1!P30,Sheet1!R30)*2,0)</f>
        <v>92</v>
      </c>
      <c r="E9">
        <f>D9</f>
        <v>92</v>
      </c>
    </row>
    <row r="10" spans="1:5" x14ac:dyDescent="0.3">
      <c r="A10" t="s">
        <v>113</v>
      </c>
      <c r="B10">
        <f>ROUNDDOWN(AVERAGE(Sheet1!Q37,Sheet1!S37,Sheet1!O37)*2,0)</f>
        <v>58</v>
      </c>
      <c r="C10">
        <f>B10</f>
        <v>58</v>
      </c>
      <c r="D10">
        <f>ROUNDDOWN(AVERAGE(Sheet1!P37,Sheet1!R37)*2,0)</f>
        <v>24</v>
      </c>
      <c r="E10">
        <f>D10</f>
        <v>24</v>
      </c>
    </row>
    <row r="11" spans="1:5" x14ac:dyDescent="0.3">
      <c r="A11" t="s">
        <v>88</v>
      </c>
      <c r="B11">
        <f>ROUNDDOWN(AVERAGE(Sheet1!Q44,Sheet1!S44,Sheet1!O44)*2,0)</f>
        <v>18</v>
      </c>
      <c r="C11">
        <f>B11</f>
        <v>18</v>
      </c>
      <c r="D11">
        <f>ROUNDDOWN(AVERAGE(Sheet1!P44,Sheet1!R44)*2,0)</f>
        <v>8</v>
      </c>
      <c r="E11">
        <f>D11</f>
        <v>8</v>
      </c>
    </row>
    <row r="13" spans="1:5" x14ac:dyDescent="0.3">
      <c r="A13" t="s">
        <v>114</v>
      </c>
      <c r="B13">
        <f>(B9*Sheet1!B21+Sheet1!B22*DRT!B10+DRT!B11*Sheet1!B23)*B2*2</f>
        <v>137526</v>
      </c>
      <c r="C13">
        <f>(C9*Sheet1!C21+Sheet1!C22*DRT!C10+DRT!C11*Sheet1!C23)*C2*2</f>
        <v>229210</v>
      </c>
      <c r="D13">
        <f>(D9*Sheet1!D21+Sheet1!D22*DRT!D10+DRT!D11*Sheet1!D23)*D2*2</f>
        <v>137928</v>
      </c>
      <c r="E13">
        <f>(E9*Sheet1!E21+Sheet1!E22*DRT!E10+DRT!E11*Sheet1!E23)*E2*2</f>
        <v>275856</v>
      </c>
    </row>
    <row r="14" spans="1:5" x14ac:dyDescent="0.3">
      <c r="A14" t="s">
        <v>115</v>
      </c>
      <c r="E14" s="3">
        <f>SUM(B13:E13)/B7</f>
        <v>60040</v>
      </c>
    </row>
    <row r="15" spans="1:5" x14ac:dyDescent="0.3">
      <c r="B15" s="3">
        <f>B13/(B5+B17)</f>
        <v>45842</v>
      </c>
      <c r="C15" s="3">
        <f>C13/(C5+C17)</f>
        <v>38201.666666666664</v>
      </c>
      <c r="D15" s="3">
        <f>D13/(D5+D17)</f>
        <v>27585.599999999999</v>
      </c>
      <c r="E15" s="3">
        <f>E13/(E5+E17)</f>
        <v>45976</v>
      </c>
    </row>
    <row r="17" spans="1:5" x14ac:dyDescent="0.3">
      <c r="A17" t="s">
        <v>97</v>
      </c>
      <c r="B17">
        <v>1</v>
      </c>
      <c r="C17">
        <v>2</v>
      </c>
      <c r="D17">
        <v>1</v>
      </c>
      <c r="E17">
        <v>3</v>
      </c>
    </row>
    <row r="19" spans="1:5" x14ac:dyDescent="0.3">
      <c r="A19" t="s">
        <v>8</v>
      </c>
      <c r="B19" s="3">
        <f>B2/B3*60</f>
        <v>5</v>
      </c>
      <c r="C19" s="3">
        <f>C2/C3*60</f>
        <v>9.375</v>
      </c>
      <c r="D19" s="3">
        <f>D2/D3*60</f>
        <v>11.666666666666666</v>
      </c>
      <c r="E19" s="3">
        <f>E2/E3*60</f>
        <v>14</v>
      </c>
    </row>
  </sheetData>
  <mergeCells count="2">
    <mergeCell ref="B6:E6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DRT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DAUDET Clement</cp:lastModifiedBy>
  <dcterms:created xsi:type="dcterms:W3CDTF">2024-02-29T14:31:03Z</dcterms:created>
  <dcterms:modified xsi:type="dcterms:W3CDTF">2024-03-05T13:27:14Z</dcterms:modified>
</cp:coreProperties>
</file>