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66925"/>
  <xr:revisionPtr revIDLastSave="0" documentId="13_ncr:1_{B8A4BE7F-D766-42BA-B478-9521E9A22F98}" xr6:coauthVersionLast="46" xr6:coauthVersionMax="46" xr10:uidLastSave="{00000000-0000-0000-0000-000000000000}"/>
  <bookViews>
    <workbookView xWindow="11796" yWindow="0" windowWidth="11220" windowHeight="12264" activeTab="1" xr2:uid="{B808F481-1F6E-4FCA-A09D-C6A2CA477F64}"/>
  </bookViews>
  <sheets>
    <sheet name="キャラ" sheetId="8" r:id="rId1"/>
    <sheet name="素材" sheetId="10" r:id="rId2"/>
    <sheet name="武器" sheetId="9" r:id="rId3"/>
    <sheet name="護符" sheetId="5" r:id="rId4"/>
    <sheet name="施設素材表" sheetId="7" r:id="rId5"/>
  </sheets>
  <definedNames>
    <definedName name="_xlnm._FilterDatabase" localSheetId="0" hidden="1">キャラ!$B$1:$N$229</definedName>
    <definedName name="_xlnm._FilterDatabase" localSheetId="3" hidden="1">護符!$B$1:$O$253</definedName>
    <definedName name="ロッドbonus">武器!$F$11,武器!$K$11,武器!$P$11,武器!$U$11,武器!$Z$11</definedName>
    <definedName name="ロッドslot">武器!$E$11,武器!$J$11,武器!$O$11,武器!$T$11,武器!$Y$11</definedName>
    <definedName name="ロッド所持">武器!$G$11,武器!$L$11,武器!$Q$11,武器!$V$11,武器!$AA$11</definedName>
    <definedName name="ロッド上限">武器!$D$11,武器!$I$11,武器!$N$11,武器!$S$11,武器!$X$11</definedName>
    <definedName name="弓bonus">武器!$F$10,武器!$K$10,武器!$P$10,武器!$U$10,武器!$Z$10</definedName>
    <definedName name="弓slot">武器!$E$10,武器!$J$10,武器!$O$10,武器!$T$10,武器!$Y$10</definedName>
    <definedName name="弓所持">武器!$G$10,武器!$L$10,武器!$Q$10,武器!$V$10,武器!$AA$10</definedName>
    <definedName name="弓上限">武器!$D$10,武器!$I$10,武器!$N$10,武器!$S$10,武器!$X$10</definedName>
    <definedName name="剣bonus">武器!$F$5,武器!$K$5,武器!$P$5,武器!$U$5,武器!$Z$5</definedName>
    <definedName name="剣slot">武器!$E$5,武器!$J$5,武器!$O$5,武器!$T$5,武器!$Y$5</definedName>
    <definedName name="剣所持">武器!$G$5,武器!$L$5,武器!$Q$5,武器!$V$5,武器!$AA$5</definedName>
    <definedName name="剣上限">武器!$D$5,武器!$I$5,武器!$N$5,武器!$S$5,武器!$X$5</definedName>
    <definedName name="銃bonus">武器!$F$13,武器!$K$13,武器!$P$13,武器!$U$13,武器!$Z$13</definedName>
    <definedName name="銃slot">武器!$E$13,武器!$J$13,武器!$O$13,武器!$T$13,武器!$Y$13</definedName>
    <definedName name="銃所持">武器!$G$13,武器!$L$13,武器!$Q$13,武器!$V$13,武器!$AA$13</definedName>
    <definedName name="銃上限">武器!$D$13,武器!$I$13,武器!$N$13,武器!$S$13,武器!$X$13</definedName>
    <definedName name="杖bonus">武器!$F$12,武器!$K$12,武器!$P$12,武器!$U$12,武器!$Z$12</definedName>
    <definedName name="杖slot">武器!$E$12,武器!$J$12,武器!$O$12,武器!$T$12,武器!$Y$12</definedName>
    <definedName name="杖所持">武器!$G$12,武器!$L$12,武器!$Q$12,武器!$V$12,武器!$AA$12</definedName>
    <definedName name="杖上限">武器!$D$12,武器!$I$12,武器!$N$12,武器!$S$12,武器!$X$12</definedName>
    <definedName name="槍bonus">武器!$F$9,武器!$K$9,武器!$P$9,武器!$U$9,武器!$Z$9</definedName>
    <definedName name="槍slot">武器!$E$9,武器!$J$9,武器!$O$9,武器!$T$9,武器!$Y$9</definedName>
    <definedName name="槍所持">武器!$G$9,武器!$L$9,武器!$Q$9,武器!$V$9,武器!$AA$9</definedName>
    <definedName name="槍上限">武器!$D$9,武器!$I$9,武器!$N$9,武器!$S$9,武器!$X$9</definedName>
    <definedName name="短剣bonus">武器!$F$7,武器!$K$7,武器!$P$7,武器!$U$7,武器!$Z$7</definedName>
    <definedName name="短剣slot">武器!$E$7,武器!$J$7,武器!$O$7,武器!$T$7,武器!$Y$7</definedName>
    <definedName name="短剣所持">武器!$G$7,武器!$L$7,武器!$Q$7,武器!$V$7,武器!$AA$7</definedName>
    <definedName name="短剣上限">武器!$D$7,武器!$I$7,武器!$N$7,武器!$S$7,武器!$X$7</definedName>
    <definedName name="刀bonus">武器!$F$6,武器!$K$6,武器!$P$6,武器!$U$6,武器!$Z$6</definedName>
    <definedName name="刀slot">武器!$E$6,武器!$J$6,武器!$O$6,武器!$T$6,武器!$Y$6</definedName>
    <definedName name="刀所持">武器!$G$6,武器!$L$6,武器!$Q$6,武器!$V$6,武器!$AA$6</definedName>
    <definedName name="刀上限">武器!$D$6,武器!$I$6,武器!$N$6,武器!$S$6,武器!$X$6</definedName>
    <definedName name="斧bonus">武器!$F$8,武器!$K$8,武器!$P$8,武器!$U$8,武器!$Z$8</definedName>
    <definedName name="斧slot">武器!$E$8,武器!$J$8,武器!$O$8,武器!$T$8,武器!$Y$8</definedName>
    <definedName name="斧所持">武器!$G$8,武器!$L$8,武器!$Q$8,武器!$V$8,武器!$AA$8</definedName>
    <definedName name="斧上限">武器!$D$8,武器!$I$8,武器!$N$8,武器!$S$8,武器!$X$8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2" i="9" l="1"/>
  <c r="AK21" i="10" l="1"/>
  <c r="AK20" i="10"/>
  <c r="AB17" i="10" l="1"/>
  <c r="AB16" i="10"/>
  <c r="AB15" i="10"/>
  <c r="AM22" i="10" l="1"/>
  <c r="AM21" i="10"/>
  <c r="AL22" i="10"/>
  <c r="AL21" i="10"/>
  <c r="AL20" i="10"/>
  <c r="AM20" i="10"/>
  <c r="AM14" i="10"/>
  <c r="AM13" i="10"/>
  <c r="AR6" i="10"/>
  <c r="R6" i="10" l="1"/>
  <c r="CU33" i="7" l="1"/>
  <c r="CU32" i="7"/>
  <c r="CU29" i="7"/>
  <c r="CU30" i="7" s="1"/>
  <c r="AF150" i="9" l="1"/>
  <c r="Z150" i="9"/>
  <c r="T150" i="9"/>
  <c r="N150" i="9"/>
  <c r="H150" i="9"/>
  <c r="H147" i="9"/>
  <c r="AC152" i="9"/>
  <c r="AC151" i="9"/>
  <c r="AC150" i="9"/>
  <c r="AC149" i="9"/>
  <c r="AC148" i="9"/>
  <c r="AC147" i="9"/>
  <c r="W152" i="9"/>
  <c r="W151" i="9"/>
  <c r="W150" i="9"/>
  <c r="W149" i="9"/>
  <c r="W148" i="9"/>
  <c r="W147" i="9"/>
  <c r="Q152" i="9"/>
  <c r="Q151" i="9"/>
  <c r="Q150" i="9"/>
  <c r="Q149" i="9"/>
  <c r="Q148" i="9"/>
  <c r="Q147" i="9"/>
  <c r="K152" i="9"/>
  <c r="K151" i="9"/>
  <c r="K150" i="9"/>
  <c r="K149" i="9"/>
  <c r="K148" i="9"/>
  <c r="K147" i="9"/>
  <c r="D152" i="9"/>
  <c r="E148" i="9"/>
  <c r="E149" i="9"/>
  <c r="E150" i="9"/>
  <c r="E151" i="9"/>
  <c r="E152" i="9"/>
  <c r="E147" i="9"/>
  <c r="AB152" i="9"/>
  <c r="AB151" i="9"/>
  <c r="AB150" i="9"/>
  <c r="AS27" i="10" s="1"/>
  <c r="AB149" i="9"/>
  <c r="AB148" i="9"/>
  <c r="AB147" i="9"/>
  <c r="V152" i="9"/>
  <c r="V151" i="9"/>
  <c r="V150" i="9"/>
  <c r="AT23" i="10" s="1"/>
  <c r="V149" i="9"/>
  <c r="V148" i="9"/>
  <c r="V147" i="9"/>
  <c r="P152" i="9"/>
  <c r="P151" i="9"/>
  <c r="P150" i="9"/>
  <c r="AQ23" i="10" s="1"/>
  <c r="P149" i="9"/>
  <c r="P148" i="9"/>
  <c r="P147" i="9"/>
  <c r="J152" i="9"/>
  <c r="J151" i="9"/>
  <c r="J150" i="9"/>
  <c r="AP27" i="10" s="1"/>
  <c r="J149" i="9"/>
  <c r="J148" i="9"/>
  <c r="J147" i="9"/>
  <c r="D148" i="9"/>
  <c r="D149" i="9"/>
  <c r="D150" i="9"/>
  <c r="AR27" i="10" s="1"/>
  <c r="D151" i="9"/>
  <c r="D147" i="9"/>
  <c r="AC146" i="9"/>
  <c r="AC145" i="9"/>
  <c r="AC144" i="9"/>
  <c r="AC143" i="9"/>
  <c r="AC142" i="9"/>
  <c r="W146" i="9"/>
  <c r="W145" i="9"/>
  <c r="W144" i="9"/>
  <c r="W143" i="9"/>
  <c r="W142" i="9"/>
  <c r="Q146" i="9"/>
  <c r="Q145" i="9"/>
  <c r="Q144" i="9"/>
  <c r="Q143" i="9"/>
  <c r="Q142" i="9"/>
  <c r="K142" i="9"/>
  <c r="K146" i="9"/>
  <c r="K145" i="9"/>
  <c r="K144" i="9"/>
  <c r="K143" i="9"/>
  <c r="BB137" i="9"/>
  <c r="BC137" i="9"/>
  <c r="BC139" i="9"/>
  <c r="E142" i="9"/>
  <c r="E143" i="9"/>
  <c r="E144" i="9"/>
  <c r="E145" i="9"/>
  <c r="E146" i="9"/>
  <c r="AR23" i="10" l="1"/>
  <c r="AS23" i="10"/>
  <c r="AT27" i="10"/>
  <c r="AP23" i="10"/>
  <c r="AQ27" i="10"/>
  <c r="BC134" i="9"/>
  <c r="DL18" i="7" l="1"/>
  <c r="DM18" i="7"/>
  <c r="DN18" i="7"/>
  <c r="DO18" i="7"/>
  <c r="DP18" i="7"/>
  <c r="DQ18" i="7"/>
  <c r="DR18" i="7"/>
  <c r="DL19" i="7"/>
  <c r="DM19" i="7"/>
  <c r="DN19" i="7"/>
  <c r="DO19" i="7"/>
  <c r="DP19" i="7"/>
  <c r="DQ19" i="7"/>
  <c r="DR19" i="7"/>
  <c r="DK19" i="7"/>
  <c r="DK18" i="7"/>
  <c r="DG18" i="7"/>
  <c r="DH18" i="7"/>
  <c r="DI18" i="7"/>
  <c r="DG19" i="7"/>
  <c r="DH19" i="7"/>
  <c r="DI19" i="7"/>
  <c r="DF19" i="7"/>
  <c r="DF18" i="7"/>
  <c r="AE6" i="9"/>
  <c r="AE7" i="9"/>
  <c r="AE8" i="9"/>
  <c r="AE9" i="9"/>
  <c r="AE10" i="9"/>
  <c r="AE11" i="9"/>
  <c r="AE12" i="9"/>
  <c r="AE13" i="9"/>
  <c r="AE5" i="9"/>
  <c r="AD5" i="9"/>
  <c r="AU10" i="9"/>
  <c r="AU8" i="9"/>
  <c r="AV8" i="9"/>
  <c r="AU9" i="9"/>
  <c r="AV9" i="9"/>
  <c r="AV10" i="9"/>
  <c r="AU11" i="9"/>
  <c r="AV11" i="9"/>
  <c r="AV7" i="9"/>
  <c r="AU7" i="9"/>
  <c r="AD6" i="9"/>
  <c r="AD7" i="9"/>
  <c r="AD8" i="9"/>
  <c r="AD9" i="9"/>
  <c r="AD10" i="9"/>
  <c r="AD11" i="9"/>
  <c r="AD12" i="9"/>
  <c r="AD13" i="9"/>
  <c r="CO18" i="7"/>
  <c r="CO17" i="7"/>
  <c r="CS17" i="7"/>
  <c r="CS19" i="7"/>
  <c r="CR19" i="7"/>
  <c r="CS18" i="7"/>
  <c r="CR18" i="7"/>
  <c r="CK6" i="7"/>
  <c r="CK22" i="7"/>
  <c r="BX22" i="7"/>
  <c r="CK21" i="7"/>
  <c r="CK20" i="7"/>
  <c r="CK19" i="7"/>
  <c r="BY19" i="7"/>
  <c r="BX19" i="7"/>
  <c r="CK18" i="7"/>
  <c r="CK17" i="7"/>
  <c r="BY17" i="7"/>
  <c r="BX17" i="7"/>
  <c r="CK16" i="7"/>
  <c r="CK15" i="7"/>
  <c r="BX15" i="7"/>
  <c r="CK14" i="7"/>
  <c r="CK13" i="7"/>
  <c r="BY13" i="7"/>
  <c r="BX13" i="7"/>
  <c r="CK12" i="7"/>
  <c r="CK11" i="7"/>
  <c r="BY11" i="7"/>
  <c r="BX11" i="7"/>
  <c r="CK10" i="7"/>
  <c r="BX10" i="7"/>
  <c r="CK9" i="7"/>
  <c r="BX9" i="7"/>
  <c r="CK8" i="7"/>
  <c r="BY8" i="7"/>
  <c r="BX8" i="7"/>
  <c r="CK7" i="7"/>
  <c r="BY7" i="7"/>
  <c r="BX7" i="7"/>
  <c r="BY6" i="7"/>
  <c r="BX6" i="7"/>
  <c r="CK5" i="7"/>
  <c r="BY5" i="7"/>
  <c r="BX5" i="7"/>
  <c r="BA111" i="9"/>
  <c r="BA93" i="9"/>
  <c r="BA112" i="9"/>
  <c r="AF72" i="9"/>
  <c r="BE36" i="10" s="1"/>
  <c r="AE72" i="9"/>
  <c r="BA36" i="10" s="1"/>
  <c r="CR17" i="7"/>
  <c r="AC76" i="9"/>
  <c r="AC78" i="9"/>
  <c r="AC80" i="9"/>
  <c r="AE76" i="9"/>
  <c r="AE79" i="9"/>
  <c r="AE78" i="9"/>
  <c r="AA80" i="9"/>
  <c r="AA79" i="9"/>
  <c r="AA77" i="9"/>
  <c r="Y81" i="9"/>
  <c r="AE77" i="9"/>
  <c r="AC81" i="9"/>
  <c r="AC82" i="9"/>
  <c r="AA81" i="9"/>
  <c r="Y80" i="9"/>
  <c r="AE83" i="9"/>
  <c r="BA35" i="10" s="1"/>
  <c r="AF83" i="9"/>
  <c r="BE35" i="10" s="1"/>
  <c r="AE64" i="9"/>
  <c r="AE66" i="9"/>
  <c r="AC69" i="9"/>
  <c r="AC64" i="9"/>
  <c r="AA67" i="9"/>
  <c r="AA64" i="9"/>
  <c r="Y66" i="9"/>
  <c r="Y68" i="9"/>
  <c r="Y64" i="9"/>
  <c r="AE67" i="9"/>
  <c r="AE65" i="9"/>
  <c r="AC68" i="9"/>
  <c r="AC66" i="9"/>
  <c r="AC65" i="9"/>
  <c r="AA65" i="9"/>
  <c r="Y70" i="9"/>
  <c r="AF58" i="9"/>
  <c r="AE33" i="9"/>
  <c r="BB33" i="10" s="1"/>
  <c r="AE49" i="9"/>
  <c r="BB37" i="10" s="1"/>
  <c r="AE58" i="9"/>
  <c r="BA34" i="10" s="1"/>
  <c r="AE53" i="9"/>
  <c r="AC57" i="9"/>
  <c r="AC54" i="9"/>
  <c r="AA57" i="9"/>
  <c r="AA55" i="9"/>
  <c r="AA53" i="9"/>
  <c r="Y57" i="9"/>
  <c r="Y56" i="9"/>
  <c r="Y54" i="9"/>
  <c r="BB6" i="10" s="1"/>
  <c r="AE52" i="9"/>
  <c r="AE55" i="9"/>
  <c r="AE54" i="9"/>
  <c r="AC58" i="9"/>
  <c r="AC53" i="9"/>
  <c r="AA56" i="9"/>
  <c r="AA52" i="9"/>
  <c r="Y53" i="9"/>
  <c r="BA5" i="10" s="1"/>
  <c r="Y47" i="9"/>
  <c r="Y46" i="9"/>
  <c r="Y45" i="9"/>
  <c r="Y42" i="9"/>
  <c r="Y41" i="9"/>
  <c r="Y40" i="9"/>
  <c r="AA40" i="9"/>
  <c r="AA45" i="9"/>
  <c r="AC46" i="9"/>
  <c r="AC45" i="9"/>
  <c r="AC44" i="9"/>
  <c r="AC42" i="9"/>
  <c r="AC41" i="9"/>
  <c r="AC40" i="9"/>
  <c r="AE43" i="9"/>
  <c r="AF49" i="9"/>
  <c r="AE40" i="9"/>
  <c r="AE42" i="9"/>
  <c r="AE41" i="9"/>
  <c r="AE28" i="9"/>
  <c r="AC34" i="9"/>
  <c r="AC29" i="9"/>
  <c r="AA33" i="9"/>
  <c r="AA32" i="9"/>
  <c r="Y35" i="9"/>
  <c r="Y29" i="9"/>
  <c r="Y34" i="9"/>
  <c r="AF33" i="9"/>
  <c r="AE30" i="9"/>
  <c r="AE29" i="9"/>
  <c r="AE31" i="9"/>
  <c r="AC32" i="9"/>
  <c r="AC28" i="9"/>
  <c r="AA31" i="9"/>
  <c r="Y33" i="9"/>
  <c r="Y28" i="9"/>
  <c r="AF103" i="9"/>
  <c r="AF102" i="9"/>
  <c r="AD104" i="9"/>
  <c r="J100" i="9"/>
  <c r="K100" i="9"/>
  <c r="M100" i="9"/>
  <c r="N100" i="9"/>
  <c r="P100" i="9"/>
  <c r="Q100" i="9"/>
  <c r="S100" i="9"/>
  <c r="T100" i="9"/>
  <c r="V100" i="9"/>
  <c r="W100" i="9"/>
  <c r="Y100" i="9"/>
  <c r="Z100" i="9"/>
  <c r="AB100" i="9"/>
  <c r="AC100" i="9"/>
  <c r="AE100" i="9"/>
  <c r="AF100" i="9"/>
  <c r="J101" i="9"/>
  <c r="K101" i="9"/>
  <c r="M101" i="9"/>
  <c r="N101" i="9"/>
  <c r="P101" i="9"/>
  <c r="Q101" i="9"/>
  <c r="S101" i="9"/>
  <c r="T101" i="9"/>
  <c r="V101" i="9"/>
  <c r="W101" i="9"/>
  <c r="Y101" i="9"/>
  <c r="Z101" i="9"/>
  <c r="AB101" i="9"/>
  <c r="AC101" i="9"/>
  <c r="AE101" i="9"/>
  <c r="AF101" i="9"/>
  <c r="J102" i="9"/>
  <c r="K102" i="9"/>
  <c r="M102" i="9"/>
  <c r="N102" i="9"/>
  <c r="P102" i="9"/>
  <c r="Q102" i="9"/>
  <c r="S102" i="9"/>
  <c r="T102" i="9"/>
  <c r="V102" i="9"/>
  <c r="W102" i="9"/>
  <c r="Y102" i="9"/>
  <c r="Z102" i="9"/>
  <c r="AB102" i="9"/>
  <c r="AC102" i="9"/>
  <c r="AE102" i="9"/>
  <c r="J103" i="9"/>
  <c r="L103" i="9"/>
  <c r="N103" i="9"/>
  <c r="P103" i="9"/>
  <c r="R103" i="9"/>
  <c r="T103" i="9"/>
  <c r="V103" i="9"/>
  <c r="X103" i="9"/>
  <c r="Z103" i="9"/>
  <c r="AB103" i="9"/>
  <c r="AD103" i="9"/>
  <c r="J104" i="9"/>
  <c r="L104" i="9"/>
  <c r="N104" i="9"/>
  <c r="P104" i="9"/>
  <c r="R104" i="9"/>
  <c r="T104" i="9"/>
  <c r="V104" i="9"/>
  <c r="X104" i="9"/>
  <c r="Z104" i="9"/>
  <c r="AB104" i="9"/>
  <c r="AF104" i="9"/>
  <c r="J105" i="9"/>
  <c r="L105" i="9"/>
  <c r="N105" i="9"/>
  <c r="P105" i="9"/>
  <c r="R105" i="9"/>
  <c r="T105" i="9"/>
  <c r="V105" i="9"/>
  <c r="X105" i="9"/>
  <c r="Z105" i="9"/>
  <c r="AB105" i="9"/>
  <c r="AD105" i="9"/>
  <c r="AF105" i="9"/>
  <c r="H104" i="9"/>
  <c r="H105" i="9"/>
  <c r="H103" i="9"/>
  <c r="F104" i="9"/>
  <c r="F105" i="9"/>
  <c r="F103" i="9"/>
  <c r="D104" i="9"/>
  <c r="D105" i="9"/>
  <c r="D103" i="9"/>
  <c r="D100" i="9"/>
  <c r="H101" i="9"/>
  <c r="H102" i="9"/>
  <c r="H100" i="9"/>
  <c r="G101" i="9"/>
  <c r="G102" i="9"/>
  <c r="G100" i="9"/>
  <c r="E101" i="9"/>
  <c r="E102" i="9"/>
  <c r="E100" i="9"/>
  <c r="D101" i="9"/>
  <c r="D102" i="9"/>
  <c r="AZ92" i="9"/>
  <c r="J142" i="9"/>
  <c r="AP13" i="10" s="1"/>
  <c r="L142" i="9"/>
  <c r="M142" i="9"/>
  <c r="N142" i="9"/>
  <c r="P142" i="9"/>
  <c r="R142" i="9"/>
  <c r="S142" i="9"/>
  <c r="T142" i="9"/>
  <c r="V142" i="9"/>
  <c r="X142" i="9"/>
  <c r="Y142" i="9"/>
  <c r="Z142" i="9"/>
  <c r="AD142" i="9"/>
  <c r="AE142" i="9"/>
  <c r="AF142" i="9"/>
  <c r="J143" i="9"/>
  <c r="AP14" i="10" s="1"/>
  <c r="L143" i="9"/>
  <c r="M143" i="9"/>
  <c r="N143" i="9"/>
  <c r="P143" i="9"/>
  <c r="R143" i="9"/>
  <c r="S143" i="9"/>
  <c r="T143" i="9"/>
  <c r="V143" i="9"/>
  <c r="X143" i="9"/>
  <c r="Y143" i="9"/>
  <c r="Z143" i="9"/>
  <c r="AB143" i="9"/>
  <c r="AD143" i="9"/>
  <c r="AE143" i="9"/>
  <c r="AF143" i="9"/>
  <c r="J144" i="9"/>
  <c r="L144" i="9"/>
  <c r="M144" i="9"/>
  <c r="N144" i="9"/>
  <c r="P144" i="9"/>
  <c r="AQ22" i="10" s="1"/>
  <c r="R144" i="9"/>
  <c r="S144" i="9"/>
  <c r="T144" i="9"/>
  <c r="V144" i="9"/>
  <c r="X144" i="9"/>
  <c r="Y144" i="9"/>
  <c r="Z144" i="9"/>
  <c r="AB144" i="9"/>
  <c r="AD144" i="9"/>
  <c r="AE144" i="9"/>
  <c r="AF144" i="9"/>
  <c r="J145" i="9"/>
  <c r="L145" i="9"/>
  <c r="M145" i="9"/>
  <c r="N145" i="9"/>
  <c r="P145" i="9"/>
  <c r="R145" i="9"/>
  <c r="S145" i="9"/>
  <c r="T145" i="9"/>
  <c r="V145" i="9"/>
  <c r="X145" i="9"/>
  <c r="Y145" i="9"/>
  <c r="Z145" i="9"/>
  <c r="AB145" i="9"/>
  <c r="AD145" i="9"/>
  <c r="AE145" i="9"/>
  <c r="AF145" i="9"/>
  <c r="J146" i="9"/>
  <c r="L146" i="9"/>
  <c r="M146" i="9"/>
  <c r="N146" i="9"/>
  <c r="P146" i="9"/>
  <c r="R146" i="9"/>
  <c r="S146" i="9"/>
  <c r="T146" i="9"/>
  <c r="V146" i="9"/>
  <c r="X146" i="9"/>
  <c r="Y146" i="9"/>
  <c r="Z146" i="9"/>
  <c r="AB146" i="9"/>
  <c r="AD146" i="9"/>
  <c r="AE146" i="9"/>
  <c r="AF146" i="9"/>
  <c r="N147" i="9"/>
  <c r="T147" i="9"/>
  <c r="Z147" i="9"/>
  <c r="AF147" i="9"/>
  <c r="N148" i="9"/>
  <c r="T148" i="9"/>
  <c r="Z148" i="9"/>
  <c r="AF148" i="9"/>
  <c r="N149" i="9"/>
  <c r="T149" i="9"/>
  <c r="Z149" i="9"/>
  <c r="AF149" i="9"/>
  <c r="N151" i="9"/>
  <c r="T151" i="9"/>
  <c r="Z151" i="9"/>
  <c r="AF151" i="9"/>
  <c r="N152" i="9"/>
  <c r="T152" i="9"/>
  <c r="Z152" i="9"/>
  <c r="AF152" i="9"/>
  <c r="D143" i="9"/>
  <c r="D144" i="9"/>
  <c r="D145" i="9"/>
  <c r="D146" i="9"/>
  <c r="D142" i="9"/>
  <c r="BB135" i="9"/>
  <c r="BC135" i="9"/>
  <c r="BB136" i="9"/>
  <c r="BC136" i="9"/>
  <c r="BB138" i="9"/>
  <c r="BC138" i="9"/>
  <c r="BB139" i="9"/>
  <c r="BB134" i="9"/>
  <c r="H148" i="9"/>
  <c r="H149" i="9"/>
  <c r="H151" i="9"/>
  <c r="H15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H142" i="9"/>
  <c r="G142" i="9"/>
  <c r="F142" i="9"/>
  <c r="E119" i="9"/>
  <c r="D119" i="9"/>
  <c r="AZ111" i="9"/>
  <c r="AB119" i="9"/>
  <c r="J124" i="9"/>
  <c r="J123" i="9"/>
  <c r="J119" i="9"/>
  <c r="X15" i="10" s="1"/>
  <c r="K119" i="9"/>
  <c r="M119" i="9"/>
  <c r="N119" i="9"/>
  <c r="P119" i="9"/>
  <c r="Q119" i="9"/>
  <c r="S119" i="9"/>
  <c r="T119" i="9"/>
  <c r="V119" i="9"/>
  <c r="W119" i="9"/>
  <c r="Y119" i="9"/>
  <c r="Z119" i="9"/>
  <c r="AC119" i="9"/>
  <c r="AE119" i="9"/>
  <c r="AF119" i="9"/>
  <c r="J120" i="9"/>
  <c r="K120" i="9"/>
  <c r="X23" i="10" s="1"/>
  <c r="M120" i="9"/>
  <c r="N120" i="9"/>
  <c r="P120" i="9"/>
  <c r="Q120" i="9"/>
  <c r="S120" i="9"/>
  <c r="T120" i="9"/>
  <c r="V120" i="9"/>
  <c r="W120" i="9"/>
  <c r="Y120" i="9"/>
  <c r="Z120" i="9"/>
  <c r="AB120" i="9"/>
  <c r="AC120" i="9"/>
  <c r="AE120" i="9"/>
  <c r="AF120" i="9"/>
  <c r="J121" i="9"/>
  <c r="K121" i="9"/>
  <c r="M121" i="9"/>
  <c r="N121" i="9"/>
  <c r="P121" i="9"/>
  <c r="Q121" i="9"/>
  <c r="S121" i="9"/>
  <c r="T121" i="9"/>
  <c r="V121" i="9"/>
  <c r="W121" i="9"/>
  <c r="Y121" i="9"/>
  <c r="Z121" i="9"/>
  <c r="AB121" i="9"/>
  <c r="AC121" i="9"/>
  <c r="AE121" i="9"/>
  <c r="AF121" i="9"/>
  <c r="J122" i="9"/>
  <c r="K122" i="9"/>
  <c r="M122" i="9"/>
  <c r="N122" i="9"/>
  <c r="P122" i="9"/>
  <c r="Q122" i="9"/>
  <c r="S122" i="9"/>
  <c r="T122" i="9"/>
  <c r="V122" i="9"/>
  <c r="W122" i="9"/>
  <c r="Y122" i="9"/>
  <c r="Z122" i="9"/>
  <c r="AB122" i="9"/>
  <c r="AC122" i="9"/>
  <c r="AE122" i="9"/>
  <c r="AF122" i="9"/>
  <c r="K123" i="9"/>
  <c r="M123" i="9"/>
  <c r="N123" i="9"/>
  <c r="P123" i="9"/>
  <c r="Q123" i="9"/>
  <c r="S123" i="9"/>
  <c r="T123" i="9"/>
  <c r="V123" i="9"/>
  <c r="W123" i="9"/>
  <c r="Y123" i="9"/>
  <c r="Z123" i="9"/>
  <c r="AB123" i="9"/>
  <c r="AC123" i="9"/>
  <c r="AE123" i="9"/>
  <c r="AF123" i="9"/>
  <c r="L124" i="9"/>
  <c r="N124" i="9"/>
  <c r="P124" i="9"/>
  <c r="R124" i="9"/>
  <c r="T124" i="9"/>
  <c r="V124" i="9"/>
  <c r="X124" i="9"/>
  <c r="Z124" i="9"/>
  <c r="AB124" i="9"/>
  <c r="AD124" i="9"/>
  <c r="AF124" i="9"/>
  <c r="J125" i="9"/>
  <c r="L125" i="9"/>
  <c r="N125" i="9"/>
  <c r="P125" i="9"/>
  <c r="R125" i="9"/>
  <c r="T125" i="9"/>
  <c r="V125" i="9"/>
  <c r="X125" i="9"/>
  <c r="Z125" i="9"/>
  <c r="AB125" i="9"/>
  <c r="AD125" i="9"/>
  <c r="AF125" i="9"/>
  <c r="J126" i="9"/>
  <c r="L126" i="9"/>
  <c r="N126" i="9"/>
  <c r="P126" i="9"/>
  <c r="R126" i="9"/>
  <c r="T126" i="9"/>
  <c r="V126" i="9"/>
  <c r="X126" i="9"/>
  <c r="Z126" i="9"/>
  <c r="AB126" i="9"/>
  <c r="AD126" i="9"/>
  <c r="AF126" i="9"/>
  <c r="J127" i="9"/>
  <c r="L127" i="9"/>
  <c r="N127" i="9"/>
  <c r="P127" i="9"/>
  <c r="R127" i="9"/>
  <c r="T127" i="9"/>
  <c r="V127" i="9"/>
  <c r="X127" i="9"/>
  <c r="Z127" i="9"/>
  <c r="AB127" i="9"/>
  <c r="AD127" i="9"/>
  <c r="AF127" i="9"/>
  <c r="J128" i="9"/>
  <c r="L128" i="9"/>
  <c r="N128" i="9"/>
  <c r="P128" i="9"/>
  <c r="R128" i="9"/>
  <c r="T128" i="9"/>
  <c r="V128" i="9"/>
  <c r="X128" i="9"/>
  <c r="Z128" i="9"/>
  <c r="AB128" i="9"/>
  <c r="AD128" i="9"/>
  <c r="AF128" i="9"/>
  <c r="H125" i="9"/>
  <c r="H126" i="9"/>
  <c r="H127" i="9"/>
  <c r="H128" i="9"/>
  <c r="H124" i="9"/>
  <c r="H120" i="9"/>
  <c r="H121" i="9"/>
  <c r="H122" i="9"/>
  <c r="H123" i="9"/>
  <c r="H119" i="9"/>
  <c r="F125" i="9"/>
  <c r="F124" i="9"/>
  <c r="D125" i="9"/>
  <c r="D126" i="9"/>
  <c r="D127" i="9"/>
  <c r="D128" i="9"/>
  <c r="D124" i="9"/>
  <c r="V15" i="9"/>
  <c r="Q19" i="9"/>
  <c r="AA24" i="9"/>
  <c r="AA23" i="9"/>
  <c r="AA22" i="9"/>
  <c r="AA21" i="9"/>
  <c r="AA20" i="9"/>
  <c r="AA19" i="9"/>
  <c r="AA18" i="9"/>
  <c r="AA17" i="9"/>
  <c r="AA16" i="9"/>
  <c r="AA15" i="9"/>
  <c r="V24" i="9"/>
  <c r="V23" i="9"/>
  <c r="V22" i="9"/>
  <c r="V21" i="9"/>
  <c r="V20" i="9"/>
  <c r="V19" i="9"/>
  <c r="V18" i="9"/>
  <c r="V17" i="9"/>
  <c r="V16" i="9"/>
  <c r="Q24" i="9"/>
  <c r="Q23" i="9"/>
  <c r="Q22" i="9"/>
  <c r="Q21" i="9"/>
  <c r="Q20" i="9"/>
  <c r="Q18" i="9"/>
  <c r="Q17" i="9"/>
  <c r="Q16" i="9"/>
  <c r="Q15" i="9"/>
  <c r="L24" i="9"/>
  <c r="L23" i="9"/>
  <c r="L22" i="9"/>
  <c r="L21" i="9"/>
  <c r="L20" i="9"/>
  <c r="L19" i="9"/>
  <c r="L18" i="9"/>
  <c r="L17" i="9"/>
  <c r="L16" i="9"/>
  <c r="L15" i="9"/>
  <c r="E20" i="9"/>
  <c r="G16" i="9"/>
  <c r="G17" i="9"/>
  <c r="G18" i="9"/>
  <c r="G19" i="9"/>
  <c r="G15" i="9"/>
  <c r="G21" i="9"/>
  <c r="G22" i="9"/>
  <c r="G23" i="9"/>
  <c r="G24" i="9"/>
  <c r="G20" i="9"/>
  <c r="F126" i="9"/>
  <c r="F127" i="9"/>
  <c r="F128" i="9"/>
  <c r="G120" i="9"/>
  <c r="W16" i="10" s="1"/>
  <c r="G121" i="9"/>
  <c r="G122" i="9"/>
  <c r="G123" i="9"/>
  <c r="G119" i="9"/>
  <c r="E120" i="9"/>
  <c r="E121" i="9"/>
  <c r="E122" i="9"/>
  <c r="E123" i="9"/>
  <c r="D120" i="9"/>
  <c r="D121" i="9"/>
  <c r="D122" i="9"/>
  <c r="D123" i="9"/>
  <c r="Z19" i="9"/>
  <c r="Y24" i="9"/>
  <c r="X19" i="9"/>
  <c r="Z18" i="9"/>
  <c r="Y23" i="9"/>
  <c r="X18" i="9"/>
  <c r="Z17" i="9"/>
  <c r="Y22" i="9"/>
  <c r="X17" i="9"/>
  <c r="Z16" i="9"/>
  <c r="Y21" i="9"/>
  <c r="X16" i="9"/>
  <c r="Z15" i="9"/>
  <c r="Y20" i="9"/>
  <c r="X15" i="9"/>
  <c r="U19" i="9"/>
  <c r="T24" i="9"/>
  <c r="S19" i="9"/>
  <c r="U18" i="9"/>
  <c r="T23" i="9"/>
  <c r="S18" i="9"/>
  <c r="U17" i="9"/>
  <c r="T22" i="9"/>
  <c r="S17" i="9"/>
  <c r="U16" i="9"/>
  <c r="T21" i="9"/>
  <c r="S16" i="9"/>
  <c r="U15" i="9"/>
  <c r="T20" i="9"/>
  <c r="S15" i="9"/>
  <c r="P19" i="9"/>
  <c r="O24" i="9"/>
  <c r="N19" i="9"/>
  <c r="P18" i="9"/>
  <c r="O23" i="9"/>
  <c r="N18" i="9"/>
  <c r="P17" i="9"/>
  <c r="O22" i="9"/>
  <c r="N17" i="9"/>
  <c r="P16" i="9"/>
  <c r="O21" i="9"/>
  <c r="N16" i="9"/>
  <c r="P15" i="9"/>
  <c r="O20" i="9"/>
  <c r="N15" i="9"/>
  <c r="I15" i="9"/>
  <c r="K19" i="9"/>
  <c r="J24" i="9"/>
  <c r="I19" i="9"/>
  <c r="K18" i="9"/>
  <c r="J23" i="9"/>
  <c r="I18" i="9"/>
  <c r="K17" i="9"/>
  <c r="J22" i="9"/>
  <c r="I17" i="9"/>
  <c r="K16" i="9"/>
  <c r="J21" i="9"/>
  <c r="I16" i="9"/>
  <c r="K15" i="9"/>
  <c r="J20" i="9"/>
  <c r="F16" i="9"/>
  <c r="F17" i="9"/>
  <c r="F18" i="9"/>
  <c r="F19" i="9"/>
  <c r="F15" i="9"/>
  <c r="E21" i="9"/>
  <c r="E22" i="9"/>
  <c r="E23" i="9"/>
  <c r="E24" i="9"/>
  <c r="D16" i="9"/>
  <c r="D17" i="9"/>
  <c r="D18" i="9"/>
  <c r="D19" i="9"/>
  <c r="D15" i="9"/>
  <c r="X12" i="10"/>
  <c r="Z12" i="10"/>
  <c r="AA12" i="10"/>
  <c r="W12" i="10"/>
  <c r="AL10" i="10"/>
  <c r="AL9" i="10"/>
  <c r="AL8" i="10"/>
  <c r="AF5" i="10"/>
  <c r="AG5" i="10"/>
  <c r="AH5" i="10"/>
  <c r="AI5" i="10"/>
  <c r="AF6" i="10"/>
  <c r="AG6" i="10"/>
  <c r="AH6" i="10"/>
  <c r="AI6" i="10"/>
  <c r="AE6" i="10"/>
  <c r="AE5" i="10"/>
  <c r="AJ10" i="10"/>
  <c r="AJ9" i="10"/>
  <c r="AJ8" i="10"/>
  <c r="X8" i="10"/>
  <c r="Y8" i="10"/>
  <c r="Z8" i="10"/>
  <c r="AA8" i="10"/>
  <c r="W8" i="10"/>
  <c r="X10" i="10"/>
  <c r="Y10" i="10"/>
  <c r="Z10" i="10"/>
  <c r="AA10" i="10"/>
  <c r="W10" i="10"/>
  <c r="O28" i="10"/>
  <c r="P28" i="10"/>
  <c r="Q28" i="10"/>
  <c r="R28" i="10"/>
  <c r="O29" i="10"/>
  <c r="P29" i="10"/>
  <c r="Q29" i="10"/>
  <c r="R29" i="10"/>
  <c r="N29" i="10"/>
  <c r="N28" i="10"/>
  <c r="N8" i="10"/>
  <c r="N6" i="10"/>
  <c r="O7" i="10"/>
  <c r="P7" i="10"/>
  <c r="Q7" i="10"/>
  <c r="R7" i="10"/>
  <c r="N7" i="10"/>
  <c r="D3" i="10"/>
  <c r="E3" i="10"/>
  <c r="F3" i="10"/>
  <c r="G3" i="10"/>
  <c r="H3" i="10"/>
  <c r="J3" i="10"/>
  <c r="D4" i="10"/>
  <c r="E4" i="10"/>
  <c r="F4" i="10"/>
  <c r="G4" i="10"/>
  <c r="H4" i="10"/>
  <c r="J4" i="10"/>
  <c r="D5" i="10"/>
  <c r="E5" i="10"/>
  <c r="F5" i="10"/>
  <c r="G5" i="10"/>
  <c r="H5" i="10"/>
  <c r="J5" i="10"/>
  <c r="D6" i="10"/>
  <c r="E6" i="10"/>
  <c r="F6" i="10"/>
  <c r="G6" i="10"/>
  <c r="H6" i="10"/>
  <c r="J6" i="10"/>
  <c r="D7" i="10"/>
  <c r="E7" i="10"/>
  <c r="F7" i="10"/>
  <c r="G7" i="10"/>
  <c r="H7" i="10"/>
  <c r="J7" i="10"/>
  <c r="D8" i="10"/>
  <c r="E8" i="10"/>
  <c r="F8" i="10"/>
  <c r="G8" i="10"/>
  <c r="H8" i="10"/>
  <c r="J8" i="10"/>
  <c r="D9" i="10"/>
  <c r="E9" i="10"/>
  <c r="F9" i="10"/>
  <c r="G9" i="10"/>
  <c r="H9" i="10"/>
  <c r="J9" i="10"/>
  <c r="D10" i="10"/>
  <c r="E10" i="10"/>
  <c r="F10" i="10"/>
  <c r="G10" i="10"/>
  <c r="H10" i="10"/>
  <c r="J10" i="10"/>
  <c r="D11" i="10"/>
  <c r="E11" i="10"/>
  <c r="F11" i="10"/>
  <c r="G11" i="10"/>
  <c r="H11" i="10"/>
  <c r="J11" i="10"/>
  <c r="D12" i="10"/>
  <c r="E12" i="10"/>
  <c r="F12" i="10"/>
  <c r="G12" i="10"/>
  <c r="H12" i="10"/>
  <c r="J12" i="10"/>
  <c r="D13" i="10"/>
  <c r="E13" i="10"/>
  <c r="F13" i="10"/>
  <c r="G13" i="10"/>
  <c r="H13" i="10"/>
  <c r="J13" i="10"/>
  <c r="D14" i="10"/>
  <c r="E14" i="10"/>
  <c r="F14" i="10"/>
  <c r="G14" i="10"/>
  <c r="H14" i="10"/>
  <c r="J14" i="10"/>
  <c r="D15" i="10"/>
  <c r="D18" i="10" s="1"/>
  <c r="E15" i="10"/>
  <c r="E18" i="10" s="1"/>
  <c r="F15" i="10"/>
  <c r="F18" i="10" s="1"/>
  <c r="G15" i="10"/>
  <c r="G18" i="10" s="1"/>
  <c r="H15" i="10"/>
  <c r="H18" i="10" s="1"/>
  <c r="J15" i="10"/>
  <c r="D16" i="10"/>
  <c r="D19" i="10" s="1"/>
  <c r="E16" i="10"/>
  <c r="E19" i="10" s="1"/>
  <c r="F16" i="10"/>
  <c r="F19" i="10" s="1"/>
  <c r="G16" i="10"/>
  <c r="G19" i="10" s="1"/>
  <c r="H16" i="10"/>
  <c r="H19" i="10" s="1"/>
  <c r="J16" i="10"/>
  <c r="D17" i="10"/>
  <c r="E17" i="10"/>
  <c r="E20" i="10" s="1"/>
  <c r="F17" i="10"/>
  <c r="F20" i="10" s="1"/>
  <c r="G17" i="10"/>
  <c r="G20" i="10" s="1"/>
  <c r="H17" i="10"/>
  <c r="H20" i="10" s="1"/>
  <c r="J17" i="10"/>
  <c r="R8" i="10"/>
  <c r="Q8" i="10"/>
  <c r="P8" i="10"/>
  <c r="O8" i="10"/>
  <c r="Q6" i="10"/>
  <c r="P6" i="10"/>
  <c r="O6" i="10"/>
  <c r="BC62" i="9"/>
  <c r="BC61" i="9"/>
  <c r="BC60" i="9"/>
  <c r="BC63" i="9"/>
  <c r="BC59" i="9"/>
  <c r="BB59" i="9"/>
  <c r="BB31" i="9"/>
  <c r="BB32" i="9"/>
  <c r="BB34" i="9"/>
  <c r="BB35" i="9"/>
  <c r="BB36" i="9"/>
  <c r="BB37" i="9"/>
  <c r="BB39" i="9"/>
  <c r="BB40" i="9"/>
  <c r="BB42" i="9"/>
  <c r="BB43" i="9"/>
  <c r="BB44" i="9"/>
  <c r="BB46" i="9"/>
  <c r="BB47" i="9"/>
  <c r="BB48" i="9"/>
  <c r="BB50" i="9"/>
  <c r="BB51" i="9"/>
  <c r="BB52" i="9"/>
  <c r="BB54" i="9"/>
  <c r="BB55" i="9"/>
  <c r="BB56" i="9"/>
  <c r="BB57" i="9"/>
  <c r="BB60" i="9"/>
  <c r="BB61" i="9"/>
  <c r="BB62" i="9"/>
  <c r="BB63" i="9"/>
  <c r="BB30" i="9"/>
  <c r="AZ114" i="9"/>
  <c r="BA114" i="9"/>
  <c r="AZ115" i="9"/>
  <c r="BA115" i="9"/>
  <c r="BA113" i="9"/>
  <c r="BD113" i="9" s="1"/>
  <c r="AZ113" i="9"/>
  <c r="AZ112" i="9"/>
  <c r="AZ93" i="9"/>
  <c r="AZ94" i="9"/>
  <c r="BA94" i="9"/>
  <c r="BA92" i="9"/>
  <c r="I9" i="10"/>
  <c r="I8" i="10"/>
  <c r="I7" i="10"/>
  <c r="I5" i="10"/>
  <c r="I4" i="10"/>
  <c r="I6" i="10"/>
  <c r="I3" i="10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L37" i="7"/>
  <c r="BL38" i="7"/>
  <c r="BL39" i="7"/>
  <c r="BL40" i="7"/>
  <c r="BL41" i="7"/>
  <c r="BL42" i="7"/>
  <c r="BL43" i="7"/>
  <c r="BL44" i="7"/>
  <c r="BM4" i="7"/>
  <c r="BM5" i="7"/>
  <c r="BM6" i="7"/>
  <c r="BM7" i="7"/>
  <c r="BM8" i="7"/>
  <c r="BM9" i="7"/>
  <c r="BM10" i="7"/>
  <c r="BM11" i="7"/>
  <c r="BM12" i="7"/>
  <c r="BM13" i="7"/>
  <c r="BM14" i="7"/>
  <c r="BM15" i="7"/>
  <c r="BM16" i="7"/>
  <c r="BM17" i="7"/>
  <c r="BM18" i="7"/>
  <c r="BM19" i="7"/>
  <c r="BM20" i="7"/>
  <c r="BM21" i="7"/>
  <c r="BM22" i="7"/>
  <c r="BM23" i="7"/>
  <c r="BM24" i="7"/>
  <c r="BM25" i="7"/>
  <c r="BM26" i="7"/>
  <c r="BM27" i="7"/>
  <c r="BM28" i="7"/>
  <c r="BM29" i="7"/>
  <c r="BM30" i="7"/>
  <c r="BM31" i="7"/>
  <c r="BM32" i="7"/>
  <c r="BM33" i="7"/>
  <c r="BM34" i="7"/>
  <c r="BM35" i="7"/>
  <c r="BM36" i="7"/>
  <c r="BM37" i="7"/>
  <c r="BM38" i="7"/>
  <c r="BM39" i="7"/>
  <c r="BM40" i="7"/>
  <c r="BM41" i="7"/>
  <c r="BM42" i="7"/>
  <c r="BM43" i="7"/>
  <c r="BM44" i="7"/>
  <c r="BN4" i="7"/>
  <c r="BN5" i="7"/>
  <c r="BN6" i="7"/>
  <c r="BN7" i="7"/>
  <c r="BN8" i="7"/>
  <c r="BN9" i="7"/>
  <c r="BN10" i="7"/>
  <c r="BN11" i="7"/>
  <c r="BN12" i="7"/>
  <c r="BN13" i="7"/>
  <c r="BN14" i="7"/>
  <c r="BN15" i="7"/>
  <c r="BN16" i="7"/>
  <c r="BN17" i="7"/>
  <c r="BN18" i="7"/>
  <c r="BN19" i="7"/>
  <c r="BN20" i="7"/>
  <c r="BN21" i="7"/>
  <c r="BN22" i="7"/>
  <c r="BN23" i="7"/>
  <c r="BN24" i="7"/>
  <c r="BN25" i="7"/>
  <c r="BN26" i="7"/>
  <c r="BN27" i="7"/>
  <c r="BN28" i="7"/>
  <c r="BN29" i="7"/>
  <c r="BN30" i="7"/>
  <c r="BN31" i="7"/>
  <c r="BN32" i="7"/>
  <c r="BN33" i="7"/>
  <c r="BN34" i="7"/>
  <c r="BN35" i="7"/>
  <c r="BN36" i="7"/>
  <c r="BN37" i="7"/>
  <c r="BN38" i="7"/>
  <c r="BN39" i="7"/>
  <c r="BN40" i="7"/>
  <c r="BN41" i="7"/>
  <c r="BN42" i="7"/>
  <c r="BN43" i="7"/>
  <c r="BN44" i="7"/>
  <c r="BK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AQ5" i="7"/>
  <c r="AQ4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H5" i="7"/>
  <c r="AH4" i="7"/>
  <c r="AP4" i="7"/>
  <c r="AP5" i="7" s="1"/>
  <c r="AP6" i="7" s="1"/>
  <c r="AP7" i="7" s="1"/>
  <c r="AP8" i="7" s="1"/>
  <c r="AP9" i="7" s="1"/>
  <c r="AP10" i="7" s="1"/>
  <c r="AP11" i="7" s="1"/>
  <c r="AP12" i="7" s="1"/>
  <c r="AP13" i="7" s="1"/>
  <c r="AP14" i="7" s="1"/>
  <c r="AP15" i="7" s="1"/>
  <c r="AP16" i="7" s="1"/>
  <c r="AP17" i="7" s="1"/>
  <c r="AP18" i="7" s="1"/>
  <c r="AP19" i="7" s="1"/>
  <c r="AP20" i="7" s="1"/>
  <c r="AP21" i="7" s="1"/>
  <c r="AP22" i="7" s="1"/>
  <c r="AP23" i="7" s="1"/>
  <c r="AP24" i="7" s="1"/>
  <c r="AP25" i="7" s="1"/>
  <c r="AP26" i="7" s="1"/>
  <c r="AP27" i="7" s="1"/>
  <c r="AP28" i="7" s="1"/>
  <c r="AP29" i="7" s="1"/>
  <c r="AP30" i="7" s="1"/>
  <c r="AP31" i="7" s="1"/>
  <c r="AP32" i="7" s="1"/>
  <c r="AP33" i="7" s="1"/>
  <c r="AP34" i="7" s="1"/>
  <c r="AP35" i="7" s="1"/>
  <c r="AP36" i="7" s="1"/>
  <c r="AP37" i="7" s="1"/>
  <c r="AP38" i="7" s="1"/>
  <c r="AP39" i="7" s="1"/>
  <c r="AP40" i="7" s="1"/>
  <c r="AP41" i="7" s="1"/>
  <c r="AP42" i="7" s="1"/>
  <c r="AP43" i="7" s="1"/>
  <c r="AP44" i="7" s="1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O4" i="7"/>
  <c r="AO5" i="7" s="1"/>
  <c r="AO6" i="7" s="1"/>
  <c r="AO7" i="7" s="1"/>
  <c r="AO8" i="7" s="1"/>
  <c r="AO9" i="7" s="1"/>
  <c r="AO10" i="7" s="1"/>
  <c r="AO11" i="7" s="1"/>
  <c r="AO12" i="7" s="1"/>
  <c r="AO13" i="7" s="1"/>
  <c r="AO14" i="7" s="1"/>
  <c r="AO15" i="7" s="1"/>
  <c r="AO16" i="7" s="1"/>
  <c r="AO17" i="7" s="1"/>
  <c r="AO18" i="7" s="1"/>
  <c r="AO19" i="7" s="1"/>
  <c r="AO20" i="7" s="1"/>
  <c r="AO21" i="7" s="1"/>
  <c r="AO22" i="7" s="1"/>
  <c r="AO23" i="7" s="1"/>
  <c r="AO24" i="7" s="1"/>
  <c r="AO25" i="7" s="1"/>
  <c r="AO26" i="7" s="1"/>
  <c r="AO27" i="7" s="1"/>
  <c r="AO28" i="7" s="1"/>
  <c r="AO29" i="7" s="1"/>
  <c r="AO30" i="7" s="1"/>
  <c r="AO31" i="7" s="1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E4" i="7"/>
  <c r="AE5" i="7"/>
  <c r="AD4" i="7"/>
  <c r="AD5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S4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20" i="10"/>
  <c r="BC113" i="9"/>
  <c r="I10" i="10"/>
  <c r="BA8" i="10"/>
  <c r="BA33" i="10"/>
  <c r="BE33" i="10"/>
  <c r="BB34" i="10"/>
  <c r="BB35" i="10"/>
  <c r="BB21" i="10"/>
  <c r="BA37" i="10"/>
  <c r="BB14" i="10"/>
  <c r="BB13" i="10"/>
  <c r="BB36" i="10"/>
  <c r="BD36" i="10"/>
  <c r="BD33" i="10"/>
  <c r="BB16" i="10"/>
  <c r="BB25" i="10"/>
  <c r="AR37" i="10" l="1"/>
  <c r="AR38" i="10"/>
  <c r="AP18" i="10"/>
  <c r="AP17" i="10" s="1"/>
  <c r="AP16" i="10" s="1"/>
  <c r="I12" i="10"/>
  <c r="I11" i="10"/>
  <c r="P12" i="10"/>
  <c r="I14" i="10"/>
  <c r="Q13" i="10"/>
  <c r="O11" i="10"/>
  <c r="AS20" i="10"/>
  <c r="AR36" i="10"/>
  <c r="BB30" i="10"/>
  <c r="BB5" i="10"/>
  <c r="BB29" i="10"/>
  <c r="AT22" i="10"/>
  <c r="AS15" i="10"/>
  <c r="AQ18" i="10"/>
  <c r="AQ17" i="10" s="1"/>
  <c r="AQ16" i="10" s="1"/>
  <c r="Y16" i="10"/>
  <c r="AH34" i="10"/>
  <c r="AF18" i="10"/>
  <c r="AI17" i="10"/>
  <c r="AG20" i="10"/>
  <c r="AP21" i="10"/>
  <c r="BB24" i="10"/>
  <c r="BA17" i="10"/>
  <c r="BD37" i="10"/>
  <c r="BA18" i="10"/>
  <c r="Y24" i="10"/>
  <c r="AQ37" i="10"/>
  <c r="AS22" i="10"/>
  <c r="AS13" i="10"/>
  <c r="BC112" i="9"/>
  <c r="AA24" i="10"/>
  <c r="AE17" i="10"/>
  <c r="AG18" i="10"/>
  <c r="BE34" i="10"/>
  <c r="BB4" i="10"/>
  <c r="BB9" i="10"/>
  <c r="BB22" i="10"/>
  <c r="AL31" i="10"/>
  <c r="AS14" i="10"/>
  <c r="BB8" i="10"/>
  <c r="AZ13" i="10"/>
  <c r="BB18" i="10"/>
  <c r="AQ36" i="10"/>
  <c r="BA20" i="10"/>
  <c r="BB11" i="10"/>
  <c r="BB28" i="10"/>
  <c r="BB26" i="10"/>
  <c r="BA10" i="10"/>
  <c r="BB31" i="10"/>
  <c r="AD29" i="10"/>
  <c r="Y22" i="10"/>
  <c r="BB17" i="10"/>
  <c r="AT20" i="10"/>
  <c r="AE21" i="10"/>
  <c r="AH17" i="10"/>
  <c r="AE20" i="10"/>
  <c r="AS21" i="10"/>
  <c r="AQ13" i="10"/>
  <c r="AA15" i="10"/>
  <c r="Q12" i="10"/>
  <c r="P11" i="10"/>
  <c r="N13" i="10"/>
  <c r="O12" i="10"/>
  <c r="Q11" i="10"/>
  <c r="O13" i="10"/>
  <c r="N12" i="10"/>
  <c r="P13" i="10"/>
  <c r="N11" i="10"/>
  <c r="Z22" i="10"/>
  <c r="J20" i="10"/>
  <c r="S13" i="10" s="1"/>
  <c r="J18" i="10"/>
  <c r="S11" i="10" s="1"/>
  <c r="R12" i="10"/>
  <c r="G21" i="10"/>
  <c r="H21" i="10"/>
  <c r="I13" i="10"/>
  <c r="I17" i="10"/>
  <c r="R11" i="10"/>
  <c r="F21" i="10"/>
  <c r="E21" i="10"/>
  <c r="I15" i="10"/>
  <c r="J19" i="10"/>
  <c r="S12" i="10" s="1"/>
  <c r="D20" i="10"/>
  <c r="D21" i="10" s="1"/>
  <c r="I16" i="10"/>
  <c r="R13" i="10"/>
  <c r="AP38" i="10"/>
  <c r="AE27" i="10"/>
  <c r="AR20" i="10"/>
  <c r="AR18" i="10"/>
  <c r="AR17" i="10" s="1"/>
  <c r="AR16" i="10" s="1"/>
  <c r="AF27" i="10"/>
  <c r="AR22" i="10"/>
  <c r="AT26" i="10"/>
  <c r="AT25" i="10" s="1"/>
  <c r="AT24" i="10" s="1"/>
  <c r="AP26" i="10"/>
  <c r="AP25" i="10" s="1"/>
  <c r="AP24" i="10" s="1"/>
  <c r="AQ26" i="10"/>
  <c r="AQ25" i="10" s="1"/>
  <c r="AQ24" i="10" s="1"/>
  <c r="AE29" i="10"/>
  <c r="BB10" i="10"/>
  <c r="BB20" i="10"/>
  <c r="Z27" i="10"/>
  <c r="Z26" i="10" s="1"/>
  <c r="Z25" i="10" s="1"/>
  <c r="AQ14" i="10"/>
  <c r="AI43" i="10"/>
  <c r="BA9" i="10"/>
  <c r="AP20" i="10"/>
  <c r="AH41" i="10"/>
  <c r="BD35" i="10"/>
  <c r="AT14" i="10"/>
  <c r="AZ8" i="10"/>
  <c r="AR26" i="10"/>
  <c r="AR25" i="10" s="1"/>
  <c r="AR24" i="10" s="1"/>
  <c r="AP22" i="10"/>
  <c r="X16" i="10"/>
  <c r="AH43" i="10"/>
  <c r="BE37" i="10"/>
  <c r="AT21" i="10"/>
  <c r="Y20" i="10"/>
  <c r="Y19" i="10" s="1"/>
  <c r="AZ16" i="10"/>
  <c r="AI20" i="10"/>
  <c r="AA20" i="10"/>
  <c r="AA19" i="10" s="1"/>
  <c r="AA18" i="10" s="1"/>
  <c r="AD27" i="10"/>
  <c r="AF21" i="10"/>
  <c r="AA16" i="10"/>
  <c r="AZ4" i="10"/>
  <c r="AJ34" i="10"/>
  <c r="AH33" i="10"/>
  <c r="AT13" i="10"/>
  <c r="X17" i="10"/>
  <c r="Z17" i="10"/>
  <c r="AT18" i="10"/>
  <c r="AT17" i="10" s="1"/>
  <c r="AT16" i="10" s="1"/>
  <c r="AG17" i="10"/>
  <c r="AR15" i="10"/>
  <c r="AS26" i="10"/>
  <c r="AS25" i="10" s="1"/>
  <c r="AS24" i="10" s="1"/>
  <c r="AR13" i="10"/>
  <c r="AJ33" i="10"/>
  <c r="BA11" i="10"/>
  <c r="W17" i="10"/>
  <c r="W22" i="10"/>
  <c r="AR41" i="10"/>
  <c r="W20" i="10"/>
  <c r="W19" i="10" s="1"/>
  <c r="W18" i="10" s="1"/>
  <c r="AQ40" i="10"/>
  <c r="AP15" i="10"/>
  <c r="AF41" i="10"/>
  <c r="AT15" i="10"/>
  <c r="AQ20" i="10"/>
  <c r="AR40" i="10"/>
  <c r="AI18" i="10"/>
  <c r="AQ15" i="10"/>
  <c r="AT40" i="10"/>
  <c r="AL33" i="10"/>
  <c r="AA17" i="10"/>
  <c r="BA28" i="10"/>
  <c r="AI34" i="10"/>
  <c r="AF29" i="10"/>
  <c r="X27" i="10"/>
  <c r="X26" i="10" s="1"/>
  <c r="Z20" i="10"/>
  <c r="Z19" i="10" s="1"/>
  <c r="BA14" i="10"/>
  <c r="BA24" i="10"/>
  <c r="AG43" i="10"/>
  <c r="AF17" i="10"/>
  <c r="AH18" i="10"/>
  <c r="AR14" i="10"/>
  <c r="AQ21" i="10"/>
  <c r="AI33" i="10"/>
  <c r="AE18" i="10"/>
  <c r="Y23" i="10"/>
  <c r="AG41" i="10"/>
  <c r="BA4" i="10"/>
  <c r="AL34" i="10"/>
  <c r="BD34" i="10"/>
  <c r="AF20" i="10"/>
  <c r="AS41" i="10"/>
  <c r="X22" i="10"/>
  <c r="AA23" i="10"/>
  <c r="AG21" i="10"/>
  <c r="AH21" i="10"/>
  <c r="Z16" i="10"/>
  <c r="AK33" i="10"/>
  <c r="BD112" i="9"/>
  <c r="BD111" i="9"/>
  <c r="AS18" i="10"/>
  <c r="AS17" i="10" s="1"/>
  <c r="AS16" i="10" s="1"/>
  <c r="AT37" i="10"/>
  <c r="AA22" i="10"/>
  <c r="AT41" i="10"/>
  <c r="AI30" i="10"/>
  <c r="AL30" i="10"/>
  <c r="AR21" i="10"/>
  <c r="AI21" i="10"/>
  <c r="AH20" i="10"/>
  <c r="AQ41" i="10"/>
  <c r="X20" i="10"/>
  <c r="Y15" i="10"/>
  <c r="BC111" i="9"/>
  <c r="AS37" i="10"/>
  <c r="W23" i="10"/>
  <c r="AP42" i="10"/>
  <c r="AP36" i="10"/>
  <c r="AP37" i="10"/>
  <c r="W24" i="10"/>
  <c r="AA27" i="10"/>
  <c r="AS42" i="10"/>
  <c r="AH30" i="10"/>
  <c r="AJ30" i="10"/>
  <c r="AF43" i="10"/>
  <c r="X24" i="10"/>
  <c r="AQ38" i="10"/>
  <c r="Z23" i="10"/>
  <c r="AS36" i="10"/>
  <c r="AP40" i="10"/>
  <c r="AT42" i="10"/>
  <c r="Z24" i="10"/>
  <c r="AT36" i="10"/>
  <c r="AS40" i="10"/>
  <c r="AE41" i="10"/>
  <c r="AH31" i="10"/>
  <c r="AJ31" i="10"/>
  <c r="AR42" i="10"/>
  <c r="AT38" i="10"/>
  <c r="W27" i="10"/>
  <c r="W26" i="10" s="1"/>
  <c r="W25" i="10" s="1"/>
  <c r="AI41" i="10"/>
  <c r="AQ42" i="10"/>
  <c r="Y27" i="10"/>
  <c r="Y17" i="10"/>
  <c r="Z15" i="10"/>
  <c r="AS38" i="10"/>
  <c r="W15" i="10"/>
  <c r="AP41" i="10"/>
  <c r="AE43" i="10"/>
  <c r="AI31" i="10"/>
  <c r="AK30" i="10"/>
  <c r="I18" i="10" l="1"/>
  <c r="I20" i="10"/>
  <c r="N14" i="10"/>
  <c r="Q14" i="10"/>
  <c r="P14" i="10"/>
  <c r="Y18" i="10"/>
  <c r="O14" i="10"/>
  <c r="Z18" i="10"/>
  <c r="X25" i="10"/>
  <c r="R14" i="10"/>
  <c r="I19" i="10"/>
  <c r="S14" i="10"/>
  <c r="AJ39" i="10"/>
  <c r="J21" i="10"/>
  <c r="AA26" i="10"/>
  <c r="AA25" i="10" s="1"/>
  <c r="Y26" i="10"/>
  <c r="Y25" i="10" s="1"/>
  <c r="X19" i="10"/>
  <c r="X18" i="10" s="1"/>
  <c r="I21" i="10" l="1"/>
  <c r="AK39" i="10"/>
</calcChain>
</file>

<file path=xl/sharedStrings.xml><?xml version="1.0" encoding="utf-8"?>
<sst xmlns="http://schemas.openxmlformats.org/spreadsheetml/2006/main" count="4076" uniqueCount="1103">
  <si>
    <t>水</t>
    <rPh sb="0" eb="1">
      <t>ミズ</t>
    </rPh>
    <phoneticPr fontId="1"/>
  </si>
  <si>
    <t>剣</t>
    <rPh sb="0" eb="1">
      <t>ケン</t>
    </rPh>
    <phoneticPr fontId="1"/>
  </si>
  <si>
    <t>斧</t>
    <rPh sb="0" eb="1">
      <t>オノ</t>
    </rPh>
    <phoneticPr fontId="1"/>
  </si>
  <si>
    <t>槍</t>
    <rPh sb="0" eb="1">
      <t>ヤリ</t>
    </rPh>
    <phoneticPr fontId="1"/>
  </si>
  <si>
    <t>弓</t>
    <rPh sb="0" eb="1">
      <t>ユミ</t>
    </rPh>
    <phoneticPr fontId="1"/>
  </si>
  <si>
    <t>p</t>
    <phoneticPr fontId="1"/>
  </si>
  <si>
    <t>F</t>
    <phoneticPr fontId="1"/>
  </si>
  <si>
    <t>V</t>
    <phoneticPr fontId="1"/>
  </si>
  <si>
    <t>A</t>
    <phoneticPr fontId="1"/>
  </si>
  <si>
    <t>c</t>
    <phoneticPr fontId="1"/>
  </si>
  <si>
    <t>アグニ</t>
    <phoneticPr fontId="1"/>
  </si>
  <si>
    <t>銀</t>
    <rPh sb="0" eb="1">
      <t>ギン</t>
    </rPh>
    <phoneticPr fontId="1"/>
  </si>
  <si>
    <t>金</t>
    <rPh sb="0" eb="1">
      <t>キン</t>
    </rPh>
    <phoneticPr fontId="1"/>
  </si>
  <si>
    <t>銅</t>
    <rPh sb="0" eb="1">
      <t>ドウ</t>
    </rPh>
    <phoneticPr fontId="1"/>
  </si>
  <si>
    <t>ブロウ</t>
    <phoneticPr fontId="1"/>
  </si>
  <si>
    <t>アンバー</t>
    <phoneticPr fontId="1"/>
  </si>
  <si>
    <t>アイリス</t>
    <phoneticPr fontId="1"/>
  </si>
  <si>
    <t>スキルブースト</t>
    <phoneticPr fontId="1"/>
  </si>
  <si>
    <t>回復</t>
    <rPh sb="0" eb="2">
      <t>カイフク</t>
    </rPh>
    <phoneticPr fontId="1"/>
  </si>
  <si>
    <t>防御</t>
    <rPh sb="0" eb="2">
      <t>ボウギョ</t>
    </rPh>
    <phoneticPr fontId="1"/>
  </si>
  <si>
    <t>会心</t>
    <rPh sb="0" eb="2">
      <t>カイシン</t>
    </rPh>
    <phoneticPr fontId="1"/>
  </si>
  <si>
    <t>攻撃</t>
    <rPh sb="0" eb="2">
      <t>コウゲキ</t>
    </rPh>
    <phoneticPr fontId="1"/>
  </si>
  <si>
    <t>スキルゲージ</t>
    <phoneticPr fontId="1"/>
  </si>
  <si>
    <t>HP</t>
    <phoneticPr fontId="1"/>
  </si>
  <si>
    <t>OD</t>
    <phoneticPr fontId="1"/>
  </si>
  <si>
    <t>ポセイドン</t>
    <phoneticPr fontId="1"/>
  </si>
  <si>
    <t>T</t>
    <phoneticPr fontId="1"/>
  </si>
  <si>
    <t>ジャンヌ</t>
    <phoneticPr fontId="1"/>
  </si>
  <si>
    <t>エンヴィ</t>
    <phoneticPr fontId="1"/>
  </si>
  <si>
    <t>ダスク</t>
    <phoneticPr fontId="1"/>
  </si>
  <si>
    <t>Lv</t>
    <phoneticPr fontId="1"/>
  </si>
  <si>
    <t>シトラス</t>
    <phoneticPr fontId="1"/>
  </si>
  <si>
    <r>
      <rPr>
        <sz val="11"/>
        <color theme="1"/>
        <rFont val="ＭＳ Ｐ明朝"/>
        <family val="1"/>
        <charset val="128"/>
      </rPr>
      <t>火</t>
    </r>
    <rPh sb="0" eb="1">
      <t>ヒ</t>
    </rPh>
    <phoneticPr fontId="1"/>
  </si>
  <si>
    <r>
      <rPr>
        <sz val="11"/>
        <color theme="1"/>
        <rFont val="ＭＳ Ｐ明朝"/>
        <family val="1"/>
        <charset val="128"/>
      </rPr>
      <t>闇</t>
    </r>
    <rPh sb="0" eb="1">
      <t>ヤミ</t>
    </rPh>
    <phoneticPr fontId="1"/>
  </si>
  <si>
    <r>
      <rPr>
        <sz val="11"/>
        <color theme="1"/>
        <rFont val="ＭＳ Ｐ明朝"/>
        <family val="1"/>
        <charset val="128"/>
      </rPr>
      <t>斧</t>
    </r>
    <rPh sb="0" eb="1">
      <t>オノ</t>
    </rPh>
    <phoneticPr fontId="1"/>
  </si>
  <si>
    <r>
      <rPr>
        <sz val="11"/>
        <color theme="1"/>
        <rFont val="ＭＳ Ｐ明朝"/>
        <family val="1"/>
        <charset val="128"/>
      </rPr>
      <t>風</t>
    </r>
    <rPh sb="0" eb="1">
      <t>カゼ</t>
    </rPh>
    <phoneticPr fontId="1"/>
  </si>
  <si>
    <r>
      <rPr>
        <sz val="11"/>
        <color theme="1"/>
        <rFont val="ＭＳ Ｐ明朝"/>
        <family val="1"/>
        <charset val="128"/>
      </rPr>
      <t>光</t>
    </r>
    <rPh sb="0" eb="1">
      <t>ヒカリ</t>
    </rPh>
    <phoneticPr fontId="1"/>
  </si>
  <si>
    <r>
      <rPr>
        <sz val="11"/>
        <color theme="1"/>
        <rFont val="ＭＳ Ｐゴシック"/>
        <family val="3"/>
        <charset val="128"/>
      </rPr>
      <t>テンペストグローリー</t>
    </r>
    <phoneticPr fontId="1"/>
  </si>
  <si>
    <r>
      <rPr>
        <sz val="11"/>
        <color theme="1"/>
        <rFont val="ＭＳ Ｐ明朝"/>
        <family val="1"/>
        <charset val="128"/>
      </rPr>
      <t>水</t>
    </r>
    <rPh sb="0" eb="1">
      <t>ミズ</t>
    </rPh>
    <phoneticPr fontId="1"/>
  </si>
  <si>
    <t>+</t>
    <phoneticPr fontId="1"/>
  </si>
  <si>
    <t>レイジ</t>
    <phoneticPr fontId="1"/>
  </si>
  <si>
    <t>E</t>
    <phoneticPr fontId="1"/>
  </si>
  <si>
    <t>-</t>
    <phoneticPr fontId="1"/>
  </si>
  <si>
    <t>C</t>
    <phoneticPr fontId="1"/>
  </si>
  <si>
    <t>G1</t>
    <phoneticPr fontId="1"/>
  </si>
  <si>
    <t>プライド</t>
    <phoneticPr fontId="1"/>
  </si>
  <si>
    <t>オリジン</t>
    <phoneticPr fontId="1"/>
  </si>
  <si>
    <t>ヴォイド</t>
    <phoneticPr fontId="1"/>
  </si>
  <si>
    <t>アギト</t>
    <phoneticPr fontId="1"/>
  </si>
  <si>
    <t>計</t>
    <rPh sb="0" eb="1">
      <t>ケイ</t>
    </rPh>
    <phoneticPr fontId="1"/>
  </si>
  <si>
    <r>
      <rPr>
        <sz val="11"/>
        <color theme="1"/>
        <rFont val="ＭＳ Ｐゴシック"/>
        <family val="2"/>
        <charset val="128"/>
      </rPr>
      <t>所持</t>
    </r>
    <rPh sb="0" eb="2">
      <t>ショジ</t>
    </rPh>
    <phoneticPr fontId="1"/>
  </si>
  <si>
    <r>
      <rPr>
        <sz val="11"/>
        <color theme="1"/>
        <rFont val="ＭＳ Ｐゴシック"/>
        <family val="2"/>
        <charset val="128"/>
      </rPr>
      <t>計</t>
    </r>
    <rPh sb="0" eb="1">
      <t>ケイ</t>
    </rPh>
    <phoneticPr fontId="1"/>
  </si>
  <si>
    <r>
      <rPr>
        <sz val="11"/>
        <color theme="1"/>
        <rFont val="ＭＳ Ｐゴシック"/>
        <family val="3"/>
        <charset val="128"/>
      </rPr>
      <t>オーブ</t>
    </r>
    <phoneticPr fontId="1"/>
  </si>
  <si>
    <r>
      <rPr>
        <sz val="11"/>
        <color theme="1"/>
        <rFont val="ＭＳ Ｐゴシック"/>
        <family val="2"/>
        <charset val="128"/>
      </rPr>
      <t>オーダー：金</t>
    </r>
    <r>
      <rPr>
        <sz val="11"/>
        <color theme="1"/>
        <rFont val="Times New Roman"/>
        <family val="1"/>
      </rPr>
      <t>1</t>
    </r>
    <r>
      <rPr>
        <sz val="11"/>
        <color theme="1"/>
        <rFont val="ＭＳ Ｐゴシック"/>
        <family val="2"/>
        <charset val="128"/>
      </rPr>
      <t>→銀</t>
    </r>
    <r>
      <rPr>
        <sz val="11"/>
        <color theme="1"/>
        <rFont val="Times New Roman"/>
        <family val="1"/>
      </rPr>
      <t>3</t>
    </r>
    <r>
      <rPr>
        <sz val="11"/>
        <color theme="1"/>
        <rFont val="ＭＳ Ｐゴシック"/>
        <family val="2"/>
        <charset val="128"/>
      </rPr>
      <t>，銀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ゴシック"/>
        <family val="2"/>
        <charset val="128"/>
      </rPr>
      <t>→金</t>
    </r>
    <r>
      <rPr>
        <sz val="11"/>
        <color theme="1"/>
        <rFont val="Times New Roman"/>
        <family val="1"/>
      </rPr>
      <t>1</t>
    </r>
    <rPh sb="5" eb="6">
      <t>キン</t>
    </rPh>
    <rPh sb="8" eb="9">
      <t>ギン</t>
    </rPh>
    <rPh sb="11" eb="12">
      <t>ギン</t>
    </rPh>
    <rPh sb="14" eb="15">
      <t>キン</t>
    </rPh>
    <phoneticPr fontId="1"/>
  </si>
  <si>
    <r>
      <rPr>
        <sz val="11"/>
        <color theme="1"/>
        <rFont val="ＭＳ Ｐ明朝"/>
        <family val="2"/>
        <charset val="128"/>
      </rPr>
      <t>所持</t>
    </r>
    <rPh sb="0" eb="2">
      <t>ショジ</t>
    </rPh>
    <phoneticPr fontId="1"/>
  </si>
  <si>
    <r>
      <rPr>
        <sz val="11"/>
        <color theme="1"/>
        <rFont val="ＭＳ Ｐ明朝"/>
        <family val="2"/>
        <charset val="128"/>
      </rPr>
      <t>銅</t>
    </r>
    <rPh sb="0" eb="1">
      <t>ドウ</t>
    </rPh>
    <phoneticPr fontId="1"/>
  </si>
  <si>
    <r>
      <rPr>
        <sz val="11"/>
        <color theme="1"/>
        <rFont val="ＭＳ Ｐゴシック"/>
        <family val="2"/>
        <charset val="128"/>
      </rPr>
      <t>銀</t>
    </r>
    <rPh sb="0" eb="1">
      <t>ギン</t>
    </rPh>
    <phoneticPr fontId="1"/>
  </si>
  <si>
    <r>
      <rPr>
        <sz val="11"/>
        <color theme="1"/>
        <rFont val="ＭＳ Ｐゴシック"/>
        <family val="2"/>
        <charset val="128"/>
      </rPr>
      <t>金</t>
    </r>
    <rPh sb="0" eb="1">
      <t>キン</t>
    </rPh>
    <phoneticPr fontId="1"/>
  </si>
  <si>
    <r>
      <rPr>
        <sz val="11"/>
        <color theme="1"/>
        <rFont val="ＭＳ Ｐ明朝"/>
        <family val="2"/>
        <charset val="128"/>
      </rPr>
      <t>施設</t>
    </r>
    <rPh sb="0" eb="2">
      <t>シセツ</t>
    </rPh>
    <phoneticPr fontId="1"/>
  </si>
  <si>
    <r>
      <rPr>
        <sz val="11"/>
        <color theme="1"/>
        <rFont val="ＭＳ Ｐ明朝"/>
        <family val="2"/>
        <charset val="128"/>
      </rPr>
      <t>相当</t>
    </r>
    <rPh sb="0" eb="2">
      <t>ソウトウ</t>
    </rPh>
    <phoneticPr fontId="1"/>
  </si>
  <si>
    <r>
      <rPr>
        <sz val="11"/>
        <color theme="1"/>
        <rFont val="ＭＳ Ｐゴシック"/>
        <family val="2"/>
        <charset val="128"/>
      </rPr>
      <t>相当</t>
    </r>
    <rPh sb="0" eb="2">
      <t>ソウトウ</t>
    </rPh>
    <phoneticPr fontId="1"/>
  </si>
  <si>
    <r>
      <rPr>
        <sz val="11"/>
        <color theme="1"/>
        <rFont val="ＭＳ Ｐゴシック"/>
        <family val="2"/>
        <charset val="128"/>
      </rPr>
      <t>銅貨</t>
    </r>
    <rPh sb="0" eb="2">
      <t>ドウカ</t>
    </rPh>
    <phoneticPr fontId="1"/>
  </si>
  <si>
    <r>
      <rPr>
        <sz val="11"/>
        <color theme="1"/>
        <rFont val="ＭＳ Ｐゴシック"/>
        <family val="2"/>
        <charset val="128"/>
      </rPr>
      <t>銀貨</t>
    </r>
    <rPh sb="0" eb="2">
      <t>ギンカ</t>
    </rPh>
    <phoneticPr fontId="1"/>
  </si>
  <si>
    <r>
      <rPr>
        <sz val="11"/>
        <color theme="1"/>
        <rFont val="ＭＳ Ｐゴシック"/>
        <family val="2"/>
        <charset val="128"/>
      </rPr>
      <t>金貨</t>
    </r>
    <rPh sb="0" eb="2">
      <t>キンカ</t>
    </rPh>
    <phoneticPr fontId="1"/>
  </si>
  <si>
    <r>
      <rPr>
        <sz val="11"/>
        <color theme="1"/>
        <rFont val="ＭＳ Ｐゴシック"/>
        <family val="3"/>
        <charset val="128"/>
      </rPr>
      <t>鱗</t>
    </r>
    <r>
      <rPr>
        <sz val="11"/>
        <color theme="1"/>
        <rFont val="Times New Roman"/>
        <family val="1"/>
      </rPr>
      <t xml:space="preserve"> :</t>
    </r>
    <r>
      <rPr>
        <sz val="11"/>
        <color theme="1"/>
        <rFont val="ＭＳ Ｐゴシック"/>
        <family val="3"/>
        <charset val="128"/>
      </rPr>
      <t>金</t>
    </r>
    <r>
      <rPr>
        <sz val="11"/>
        <color theme="1"/>
        <rFont val="Times New Roman"/>
        <family val="1"/>
      </rPr>
      <t>1</t>
    </r>
    <r>
      <rPr>
        <sz val="11"/>
        <color theme="1"/>
        <rFont val="ＭＳ Ｐゴシック"/>
        <family val="3"/>
        <charset val="128"/>
      </rPr>
      <t>→銀</t>
    </r>
    <r>
      <rPr>
        <sz val="11"/>
        <color theme="1"/>
        <rFont val="Times New Roman"/>
        <family val="1"/>
      </rPr>
      <t>2</t>
    </r>
    <r>
      <rPr>
        <sz val="11"/>
        <color theme="1"/>
        <rFont val="ＭＳ Ｐゴシック"/>
        <family val="3"/>
        <charset val="128"/>
      </rPr>
      <t>，銀</t>
    </r>
    <r>
      <rPr>
        <sz val="11"/>
        <color theme="1"/>
        <rFont val="Times New Roman"/>
        <family val="1"/>
      </rPr>
      <t>5</t>
    </r>
    <r>
      <rPr>
        <sz val="11"/>
        <color theme="1"/>
        <rFont val="ＭＳ Ｐゴシック"/>
        <family val="3"/>
        <charset val="128"/>
      </rPr>
      <t>→金</t>
    </r>
    <r>
      <rPr>
        <sz val="11"/>
        <color theme="1"/>
        <rFont val="Times New Roman"/>
        <family val="1"/>
      </rPr>
      <t>1</t>
    </r>
    <rPh sb="0" eb="1">
      <t>ウロコ</t>
    </rPh>
    <rPh sb="3" eb="4">
      <t>キン</t>
    </rPh>
    <rPh sb="6" eb="7">
      <t>ギン</t>
    </rPh>
    <rPh sb="9" eb="10">
      <t>ギン</t>
    </rPh>
    <rPh sb="12" eb="13">
      <t>キン</t>
    </rPh>
    <phoneticPr fontId="1"/>
  </si>
  <si>
    <r>
      <rPr>
        <sz val="11"/>
        <color theme="1"/>
        <rFont val="ＭＳ Ｐゴシック"/>
        <family val="2"/>
        <charset val="128"/>
      </rPr>
      <t>竜哭碑</t>
    </r>
    <rPh sb="0" eb="1">
      <t>リュウ</t>
    </rPh>
    <rPh sb="1" eb="2">
      <t>コク</t>
    </rPh>
    <rPh sb="2" eb="3">
      <t>ヒ</t>
    </rPh>
    <phoneticPr fontId="1"/>
  </si>
  <si>
    <r>
      <rPr>
        <sz val="11"/>
        <color theme="1"/>
        <rFont val="ＭＳ Ｐ明朝"/>
        <family val="2"/>
        <charset val="128"/>
      </rPr>
      <t>ファフ</t>
    </r>
    <phoneticPr fontId="1"/>
  </si>
  <si>
    <r>
      <rPr>
        <sz val="11"/>
        <color theme="1"/>
        <rFont val="ＭＳ Ｐゴシック"/>
        <family val="2"/>
        <charset val="128"/>
      </rPr>
      <t>尾</t>
    </r>
    <rPh sb="0" eb="1">
      <t>オ</t>
    </rPh>
    <phoneticPr fontId="1"/>
  </si>
  <si>
    <r>
      <rPr>
        <sz val="11"/>
        <color theme="1"/>
        <rFont val="ＭＳ Ｐゴシック"/>
        <family val="2"/>
        <charset val="128"/>
      </rPr>
      <t>角</t>
    </r>
    <rPh sb="0" eb="1">
      <t>ツノ</t>
    </rPh>
    <phoneticPr fontId="1"/>
  </si>
  <si>
    <r>
      <rPr>
        <sz val="11"/>
        <color theme="1"/>
        <rFont val="ＭＳ Ｐゴシック"/>
        <family val="2"/>
        <charset val="128"/>
      </rPr>
      <t>アギト</t>
    </r>
    <phoneticPr fontId="1"/>
  </si>
  <si>
    <r>
      <rPr>
        <sz val="11"/>
        <color theme="1"/>
        <rFont val="ＭＳ Ｐゴシック"/>
        <family val="2"/>
        <charset val="128"/>
      </rPr>
      <t>～</t>
    </r>
    <phoneticPr fontId="1"/>
  </si>
  <si>
    <r>
      <rPr>
        <sz val="11"/>
        <color theme="1"/>
        <rFont val="ＭＳ Ｐ明朝"/>
        <family val="2"/>
        <charset val="128"/>
      </rPr>
      <t>～</t>
    </r>
    <phoneticPr fontId="1"/>
  </si>
  <si>
    <r>
      <rPr>
        <sz val="11"/>
        <color theme="1"/>
        <rFont val="ＭＳ Ｐ明朝"/>
        <family val="2"/>
        <charset val="128"/>
      </rPr>
      <t>計</t>
    </r>
    <rPh sb="0" eb="1">
      <t>ケイ</t>
    </rPh>
    <phoneticPr fontId="1"/>
  </si>
  <si>
    <r>
      <rPr>
        <sz val="11"/>
        <color theme="1"/>
        <rFont val="ＭＳ Ｐゴシック"/>
        <family val="2"/>
        <charset val="128"/>
      </rPr>
      <t>施設</t>
    </r>
    <rPh sb="0" eb="2">
      <t>シセツ</t>
    </rPh>
    <phoneticPr fontId="1"/>
  </si>
  <si>
    <r>
      <rPr>
        <sz val="11"/>
        <color theme="1"/>
        <rFont val="ＭＳ Ｐ明朝"/>
        <family val="1"/>
        <charset val="128"/>
      </rPr>
      <t>金球</t>
    </r>
    <r>
      <rPr>
        <sz val="11"/>
        <color theme="1"/>
        <rFont val="Times New Roman"/>
        <family val="1"/>
      </rPr>
      <t>5</t>
    </r>
    <rPh sb="0" eb="2">
      <t>キンキュウ</t>
    </rPh>
    <phoneticPr fontId="1"/>
  </si>
  <si>
    <r>
      <rPr>
        <sz val="11"/>
        <color theme="1"/>
        <rFont val="ＭＳ Ｐ明朝"/>
        <family val="1"/>
        <charset val="128"/>
      </rPr>
      <t>銀</t>
    </r>
    <r>
      <rPr>
        <sz val="11"/>
        <color theme="1"/>
        <rFont val="Times New Roman"/>
        <family val="1"/>
      </rPr>
      <t>/</t>
    </r>
    <r>
      <rPr>
        <sz val="11"/>
        <color theme="1"/>
        <rFont val="ＭＳ Ｐ明朝"/>
        <family val="1"/>
        <charset val="128"/>
      </rPr>
      <t>金鱗</t>
    </r>
    <phoneticPr fontId="1"/>
  </si>
  <si>
    <r>
      <rPr>
        <sz val="11"/>
        <color theme="1"/>
        <rFont val="ＭＳ Ｐ明朝"/>
        <family val="1"/>
        <charset val="128"/>
      </rPr>
      <t>銀</t>
    </r>
    <r>
      <rPr>
        <sz val="11"/>
        <color theme="1"/>
        <rFont val="Times New Roman"/>
        <family val="1"/>
      </rPr>
      <t>/</t>
    </r>
    <r>
      <rPr>
        <sz val="11"/>
        <color theme="1"/>
        <rFont val="ＭＳ Ｐ明朝"/>
        <family val="1"/>
        <charset val="128"/>
      </rPr>
      <t>金証</t>
    </r>
    <rPh sb="0" eb="1">
      <t>ギン</t>
    </rPh>
    <rPh sb="2" eb="3">
      <t>キン</t>
    </rPh>
    <rPh sb="3" eb="4">
      <t>ショウ</t>
    </rPh>
    <phoneticPr fontId="1"/>
  </si>
  <si>
    <r>
      <rPr>
        <sz val="11"/>
        <color theme="1"/>
        <rFont val="ＭＳ Ｐ明朝"/>
        <family val="1"/>
        <charset val="128"/>
      </rPr>
      <t>他</t>
    </r>
    <rPh sb="0" eb="1">
      <t>ホカ</t>
    </rPh>
    <phoneticPr fontId="1"/>
  </si>
  <si>
    <r>
      <rPr>
        <sz val="11"/>
        <color theme="1"/>
        <rFont val="ＭＳ Ｐ明朝"/>
        <family val="1"/>
        <charset val="128"/>
      </rPr>
      <t>虚心</t>
    </r>
    <r>
      <rPr>
        <sz val="11"/>
        <color theme="1"/>
        <rFont val="Times New Roman"/>
        <family val="1"/>
      </rPr>
      <t>6</t>
    </r>
    <rPh sb="0" eb="2">
      <t>キョシン</t>
    </rPh>
    <phoneticPr fontId="1"/>
  </si>
  <si>
    <r>
      <rPr>
        <sz val="11"/>
        <color theme="1"/>
        <rFont val="ＭＳ Ｐ明朝"/>
        <family val="1"/>
        <charset val="128"/>
      </rPr>
      <t>心</t>
    </r>
    <r>
      <rPr>
        <sz val="11"/>
        <color theme="1"/>
        <rFont val="Times New Roman"/>
        <family val="1"/>
      </rPr>
      <t>5</t>
    </r>
    <rPh sb="0" eb="1">
      <t>ココロ</t>
    </rPh>
    <phoneticPr fontId="1"/>
  </si>
  <si>
    <r>
      <rPr>
        <sz val="11"/>
        <color theme="1"/>
        <rFont val="ＭＳ Ｐ明朝"/>
        <family val="1"/>
        <charset val="128"/>
      </rPr>
      <t>尾</t>
    </r>
    <r>
      <rPr>
        <sz val="11"/>
        <color theme="1"/>
        <rFont val="Times New Roman"/>
        <family val="1"/>
      </rPr>
      <t>1</t>
    </r>
    <rPh sb="0" eb="1">
      <t>オ</t>
    </rPh>
    <phoneticPr fontId="1"/>
  </si>
  <si>
    <r>
      <rPr>
        <sz val="11"/>
        <color theme="1"/>
        <rFont val="ＭＳ Ｐ明朝"/>
        <family val="1"/>
        <charset val="128"/>
      </rPr>
      <t>計</t>
    </r>
    <rPh sb="0" eb="1">
      <t>ケイ</t>
    </rPh>
    <phoneticPr fontId="1"/>
  </si>
  <si>
    <r>
      <rPr>
        <sz val="11"/>
        <color theme="1"/>
        <rFont val="ＭＳ Ｐ明朝"/>
        <family val="1"/>
        <charset val="128"/>
      </rPr>
      <t>虹</t>
    </r>
    <r>
      <rPr>
        <sz val="11"/>
        <color theme="1"/>
        <rFont val="Times New Roman"/>
        <family val="1"/>
      </rPr>
      <t>/</t>
    </r>
    <r>
      <rPr>
        <sz val="11"/>
        <color theme="1"/>
        <rFont val="ＭＳ Ｐ明朝"/>
        <family val="1"/>
        <charset val="128"/>
      </rPr>
      <t>羽球</t>
    </r>
    <rPh sb="3" eb="4">
      <t>キュウ</t>
    </rPh>
    <phoneticPr fontId="1"/>
  </si>
  <si>
    <r>
      <rPr>
        <sz val="11"/>
        <color theme="1"/>
        <rFont val="ＭＳ Ｐ明朝"/>
        <family val="1"/>
        <charset val="128"/>
      </rPr>
      <t>虚心</t>
    </r>
    <r>
      <rPr>
        <sz val="11"/>
        <color theme="1"/>
        <rFont val="Times New Roman"/>
        <family val="1"/>
      </rPr>
      <t>5</t>
    </r>
    <phoneticPr fontId="1"/>
  </si>
  <si>
    <r>
      <rPr>
        <sz val="11"/>
        <color theme="1"/>
        <rFont val="ＭＳ Ｐ明朝"/>
        <family val="1"/>
        <charset val="128"/>
      </rPr>
      <t>心</t>
    </r>
    <r>
      <rPr>
        <sz val="11"/>
        <color theme="1"/>
        <rFont val="Times New Roman"/>
        <family val="1"/>
      </rPr>
      <t>4</t>
    </r>
    <rPh sb="0" eb="1">
      <t>ココロ</t>
    </rPh>
    <phoneticPr fontId="1"/>
  </si>
  <si>
    <r>
      <rPr>
        <sz val="11"/>
        <color theme="1"/>
        <rFont val="ＭＳ Ｐ明朝"/>
        <family val="1"/>
        <charset val="128"/>
      </rPr>
      <t>虚金</t>
    </r>
    <r>
      <rPr>
        <sz val="11"/>
        <color theme="1"/>
        <rFont val="Times New Roman"/>
        <family val="1"/>
      </rPr>
      <t>5</t>
    </r>
    <rPh sb="0" eb="1">
      <t>キョ</t>
    </rPh>
    <rPh sb="1" eb="2">
      <t>キン</t>
    </rPh>
    <phoneticPr fontId="1"/>
  </si>
  <si>
    <r>
      <rPr>
        <sz val="11"/>
        <color theme="1"/>
        <rFont val="ＭＳ Ｐ明朝"/>
        <family val="1"/>
        <charset val="128"/>
      </rPr>
      <t>金球</t>
    </r>
    <r>
      <rPr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2"/>
        <charset val="128"/>
      </rPr>
      <t/>
    </r>
    <rPh sb="0" eb="2">
      <t>キンキュウ</t>
    </rPh>
    <phoneticPr fontId="1"/>
  </si>
  <si>
    <r>
      <rPr>
        <sz val="11"/>
        <color theme="1"/>
        <rFont val="ＭＳ Ｐ明朝"/>
        <family val="1"/>
        <charset val="128"/>
      </rPr>
      <t>虚心</t>
    </r>
    <r>
      <rPr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2"/>
        <charset val="128"/>
      </rPr>
      <t/>
    </r>
  </si>
  <si>
    <r>
      <rPr>
        <sz val="11"/>
        <color theme="1"/>
        <rFont val="ＭＳ Ｐ明朝"/>
        <family val="1"/>
        <charset val="128"/>
      </rPr>
      <t>虚金</t>
    </r>
    <r>
      <rPr>
        <sz val="11"/>
        <color theme="1"/>
        <rFont val="Times New Roman"/>
        <family val="1"/>
      </rPr>
      <t>3</t>
    </r>
    <rPh sb="0" eb="1">
      <t>キョ</t>
    </rPh>
    <rPh sb="1" eb="2">
      <t>キン</t>
    </rPh>
    <phoneticPr fontId="1"/>
  </si>
  <si>
    <r>
      <rPr>
        <sz val="11"/>
        <color theme="1"/>
        <rFont val="ＭＳ Ｐ明朝"/>
        <family val="1"/>
        <charset val="128"/>
      </rPr>
      <t>金球</t>
    </r>
    <r>
      <rPr>
        <sz val="11"/>
        <color theme="1"/>
        <rFont val="Times New Roman"/>
        <family val="1"/>
      </rPr>
      <t>2</t>
    </r>
    <rPh sb="0" eb="2">
      <t>キンキュウ</t>
    </rPh>
    <phoneticPr fontId="1"/>
  </si>
  <si>
    <r>
      <rPr>
        <sz val="11"/>
        <color theme="1"/>
        <rFont val="ＭＳ Ｐ明朝"/>
        <family val="1"/>
        <charset val="128"/>
      </rPr>
      <t>攻撃</t>
    </r>
    <rPh sb="0" eb="2">
      <t>コウゲキ</t>
    </rPh>
    <phoneticPr fontId="1"/>
  </si>
  <si>
    <r>
      <rPr>
        <sz val="11"/>
        <color theme="1"/>
        <rFont val="ＭＳ Ｐ明朝"/>
        <family val="1"/>
        <charset val="128"/>
      </rPr>
      <t>強撃</t>
    </r>
    <rPh sb="0" eb="2">
      <t>キョウゲキ</t>
    </rPh>
    <phoneticPr fontId="1"/>
  </si>
  <si>
    <r>
      <rPr>
        <sz val="11"/>
        <color theme="1"/>
        <rFont val="ＭＳ Ｐ明朝"/>
        <family val="1"/>
        <charset val="128"/>
      </rPr>
      <t>バフ時間</t>
    </r>
    <rPh sb="2" eb="4">
      <t>ジカン</t>
    </rPh>
    <phoneticPr fontId="1"/>
  </si>
  <si>
    <r>
      <rPr>
        <sz val="11"/>
        <color theme="1"/>
        <rFont val="ＭＳ Ｐ明朝"/>
        <family val="1"/>
        <charset val="128"/>
      </rPr>
      <t>防御</t>
    </r>
    <rPh sb="0" eb="2">
      <t>ボウギョ</t>
    </rPh>
    <phoneticPr fontId="1"/>
  </si>
  <si>
    <r>
      <rPr>
        <sz val="11"/>
        <color theme="1"/>
        <rFont val="ＭＳ Ｐ明朝"/>
        <family val="1"/>
        <charset val="128"/>
      </rPr>
      <t>会心</t>
    </r>
    <rPh sb="0" eb="2">
      <t>カイシン</t>
    </rPh>
    <phoneticPr fontId="1"/>
  </si>
  <si>
    <r>
      <rPr>
        <sz val="11"/>
        <color theme="1"/>
        <rFont val="ＭＳ Ｐ明朝"/>
        <family val="1"/>
        <charset val="128"/>
      </rPr>
      <t>治癒</t>
    </r>
    <rPh sb="0" eb="2">
      <t>チユ</t>
    </rPh>
    <phoneticPr fontId="1"/>
  </si>
  <si>
    <t>刀</t>
    <rPh sb="0" eb="1">
      <t>カタナ</t>
    </rPh>
    <phoneticPr fontId="1"/>
  </si>
  <si>
    <t>短剣</t>
    <rPh sb="0" eb="2">
      <t>タンケン</t>
    </rPh>
    <phoneticPr fontId="1"/>
  </si>
  <si>
    <t>ロッド</t>
    <phoneticPr fontId="1"/>
  </si>
  <si>
    <t>杖</t>
    <rPh sb="0" eb="1">
      <t>ツエ</t>
    </rPh>
    <phoneticPr fontId="1"/>
  </si>
  <si>
    <t>C70</t>
    <phoneticPr fontId="1"/>
  </si>
  <si>
    <t>STRANGELAND</t>
    <phoneticPr fontId="1"/>
  </si>
  <si>
    <t>治癒</t>
    <rPh sb="0" eb="2">
      <t>チユ</t>
    </rPh>
    <phoneticPr fontId="1"/>
  </si>
  <si>
    <t>施設</t>
    <rPh sb="0" eb="2">
      <t>シセツ</t>
    </rPh>
    <phoneticPr fontId="1"/>
  </si>
  <si>
    <t>HP70%</t>
    <phoneticPr fontId="1"/>
  </si>
  <si>
    <t>マリンライト</t>
    <phoneticPr fontId="1"/>
  </si>
  <si>
    <t>フローガ</t>
    <phoneticPr fontId="1"/>
  </si>
  <si>
    <r>
      <rPr>
        <sz val="11"/>
        <color theme="1"/>
        <rFont val="ＭＳ Ｐ明朝"/>
        <family val="1"/>
        <charset val="128"/>
      </rPr>
      <t>レア</t>
    </r>
    <phoneticPr fontId="1"/>
  </si>
  <si>
    <r>
      <rPr>
        <sz val="11"/>
        <color theme="1"/>
        <rFont val="ＭＳ Ｐ明朝"/>
        <family val="1"/>
        <charset val="128"/>
      </rPr>
      <t>属性</t>
    </r>
    <rPh sb="0" eb="2">
      <t>ゾクセイ</t>
    </rPh>
    <phoneticPr fontId="1"/>
  </si>
  <si>
    <r>
      <rPr>
        <sz val="11"/>
        <color theme="1"/>
        <rFont val="ＭＳ Ｐ明朝"/>
        <family val="1"/>
        <charset val="128"/>
      </rPr>
      <t>虹</t>
    </r>
    <rPh sb="0" eb="1">
      <t>ニジ</t>
    </rPh>
    <phoneticPr fontId="1"/>
  </si>
  <si>
    <r>
      <rPr>
        <sz val="11"/>
        <color theme="1"/>
        <rFont val="ＭＳ Ｐゴシック"/>
        <family val="2"/>
        <charset val="128"/>
      </rPr>
      <t>羽</t>
    </r>
    <rPh sb="0" eb="1">
      <t>ハネ</t>
    </rPh>
    <phoneticPr fontId="1"/>
  </si>
  <si>
    <r>
      <rPr>
        <sz val="11"/>
        <color theme="1"/>
        <rFont val="Times New Roman"/>
        <family val="2"/>
        <charset val="128"/>
      </rPr>
      <t>銀</t>
    </r>
    <rPh sb="0" eb="1">
      <t>ギン</t>
    </rPh>
    <phoneticPr fontId="1"/>
  </si>
  <si>
    <r>
      <rPr>
        <sz val="11"/>
        <color theme="1"/>
        <rFont val="Times New Roman"/>
        <family val="2"/>
        <charset val="128"/>
      </rPr>
      <t>金</t>
    </r>
    <rPh sb="0" eb="1">
      <t>キン</t>
    </rPh>
    <phoneticPr fontId="1"/>
  </si>
  <si>
    <r>
      <rPr>
        <sz val="11"/>
        <color theme="1"/>
        <rFont val="ＭＳ Ｐ明朝"/>
        <family val="1"/>
        <charset val="128"/>
      </rPr>
      <t>心</t>
    </r>
    <r>
      <rPr>
        <sz val="11"/>
        <color theme="1"/>
        <rFont val="Times New Roman"/>
        <family val="1"/>
      </rPr>
      <t>2</t>
    </r>
    <rPh sb="0" eb="1">
      <t>ココロ</t>
    </rPh>
    <phoneticPr fontId="1"/>
  </si>
  <si>
    <r>
      <rPr>
        <sz val="11"/>
        <color theme="1"/>
        <rFont val="ＭＳ Ｐ明朝"/>
        <family val="1"/>
        <charset val="128"/>
      </rPr>
      <t>ファフ</t>
    </r>
    <phoneticPr fontId="1"/>
  </si>
  <si>
    <t>上</t>
    <rPh sb="0" eb="1">
      <t>ジョウ</t>
    </rPh>
    <phoneticPr fontId="1"/>
  </si>
  <si>
    <t>尾</t>
    <rPh sb="0" eb="1">
      <t>オ</t>
    </rPh>
    <phoneticPr fontId="1"/>
  </si>
  <si>
    <t>角</t>
    <rPh sb="0" eb="1">
      <t>ツノ</t>
    </rPh>
    <phoneticPr fontId="1"/>
  </si>
  <si>
    <t>球</t>
    <rPh sb="0" eb="1">
      <t>キュウ</t>
    </rPh>
    <phoneticPr fontId="1"/>
  </si>
  <si>
    <t>3+1</t>
    <phoneticPr fontId="1"/>
  </si>
  <si>
    <t>超</t>
    <rPh sb="0" eb="1">
      <t>チョウ</t>
    </rPh>
    <phoneticPr fontId="1"/>
  </si>
  <si>
    <t>ボス</t>
    <phoneticPr fontId="1"/>
  </si>
  <si>
    <t>EX</t>
    <phoneticPr fontId="1"/>
  </si>
  <si>
    <t>チャレンジ</t>
    <phoneticPr fontId="1"/>
  </si>
  <si>
    <t>中</t>
    <rPh sb="0" eb="1">
      <t>チュウ</t>
    </rPh>
    <phoneticPr fontId="1"/>
  </si>
  <si>
    <t>3+3</t>
    <phoneticPr fontId="1"/>
  </si>
  <si>
    <t>ボーナス</t>
    <phoneticPr fontId="1"/>
  </si>
  <si>
    <t>ボーナス%</t>
    <phoneticPr fontId="1"/>
  </si>
  <si>
    <t>開放</t>
    <rPh sb="0" eb="2">
      <t>カイホウ</t>
    </rPh>
    <phoneticPr fontId="1"/>
  </si>
  <si>
    <t>必要数</t>
    <rPh sb="0" eb="3">
      <t>ヒツヨウスウ</t>
    </rPh>
    <phoneticPr fontId="1"/>
  </si>
  <si>
    <r>
      <rPr>
        <sz val="11"/>
        <color theme="1"/>
        <rFont val="ＭＳ Ｐ明朝"/>
        <family val="1"/>
        <charset val="128"/>
      </rPr>
      <t>耐光</t>
    </r>
    <rPh sb="0" eb="1">
      <t>タイ</t>
    </rPh>
    <rPh sb="1" eb="2">
      <t>ヒカリ</t>
    </rPh>
    <phoneticPr fontId="1"/>
  </si>
  <si>
    <r>
      <rPr>
        <sz val="11"/>
        <color theme="1"/>
        <rFont val="ＭＳ Ｐ明朝"/>
        <family val="1"/>
        <charset val="128"/>
      </rPr>
      <t>毒付与率</t>
    </r>
    <rPh sb="0" eb="3">
      <t>ドクフヨ</t>
    </rPh>
    <rPh sb="3" eb="4">
      <t>リツ</t>
    </rPh>
    <phoneticPr fontId="1"/>
  </si>
  <si>
    <r>
      <rPr>
        <sz val="11"/>
        <color theme="1"/>
        <rFont val="ＭＳ Ｐ明朝"/>
        <family val="1"/>
        <charset val="128"/>
      </rPr>
      <t>剣</t>
    </r>
    <rPh sb="0" eb="1">
      <t>ケン</t>
    </rPh>
    <phoneticPr fontId="1"/>
  </si>
  <si>
    <r>
      <rPr>
        <sz val="11"/>
        <color theme="1"/>
        <rFont val="ＭＳ Ｐ明朝"/>
        <family val="1"/>
        <charset val="128"/>
      </rPr>
      <t>刀</t>
    </r>
    <rPh sb="0" eb="1">
      <t>カタナ</t>
    </rPh>
    <phoneticPr fontId="1"/>
  </si>
  <si>
    <r>
      <rPr>
        <sz val="11"/>
        <color theme="1"/>
        <rFont val="ＭＳ Ｐ明朝"/>
        <family val="1"/>
        <charset val="128"/>
      </rPr>
      <t>短剣</t>
    </r>
    <rPh sb="0" eb="2">
      <t>タンケン</t>
    </rPh>
    <phoneticPr fontId="1"/>
  </si>
  <si>
    <r>
      <rPr>
        <sz val="11"/>
        <color theme="1"/>
        <rFont val="ＭＳ Ｐ明朝"/>
        <family val="1"/>
        <charset val="128"/>
      </rPr>
      <t>槍</t>
    </r>
    <rPh sb="0" eb="1">
      <t>ヤリ</t>
    </rPh>
    <phoneticPr fontId="1"/>
  </si>
  <si>
    <r>
      <rPr>
        <sz val="11"/>
        <color theme="1"/>
        <rFont val="ＭＳ Ｐ明朝"/>
        <family val="1"/>
        <charset val="128"/>
      </rPr>
      <t>弓</t>
    </r>
    <rPh sb="0" eb="1">
      <t>ユミ</t>
    </rPh>
    <phoneticPr fontId="1"/>
  </si>
  <si>
    <r>
      <rPr>
        <sz val="11"/>
        <color theme="1"/>
        <rFont val="ＭＳ Ｐ明朝"/>
        <family val="1"/>
        <charset val="128"/>
      </rPr>
      <t>杖</t>
    </r>
    <rPh sb="0" eb="1">
      <t>ツエ</t>
    </rPh>
    <phoneticPr fontId="1"/>
  </si>
  <si>
    <r>
      <rPr>
        <sz val="11"/>
        <color theme="1"/>
        <rFont val="ＭＳ Ｐ明朝"/>
        <family val="1"/>
        <charset val="128"/>
      </rPr>
      <t>名前</t>
    </r>
    <rPh sb="0" eb="2">
      <t>ナマエ</t>
    </rPh>
    <phoneticPr fontId="1"/>
  </si>
  <si>
    <r>
      <rPr>
        <sz val="11"/>
        <color theme="1"/>
        <rFont val="ＭＳ Ｐ明朝"/>
        <family val="1"/>
        <charset val="128"/>
      </rPr>
      <t>マーティ</t>
    </r>
  </si>
  <si>
    <r>
      <rPr>
        <sz val="11"/>
        <color theme="1"/>
        <rFont val="ＭＳ Ｐ明朝"/>
        <family val="1"/>
        <charset val="128"/>
      </rPr>
      <t>アオイ</t>
    </r>
  </si>
  <si>
    <r>
      <rPr>
        <sz val="11"/>
        <color theme="1"/>
        <rFont val="ＭＳ Ｐ明朝"/>
        <family val="1"/>
        <charset val="128"/>
      </rPr>
      <t>耐風</t>
    </r>
    <rPh sb="0" eb="2">
      <t>タイフウ</t>
    </rPh>
    <phoneticPr fontId="1"/>
  </si>
  <si>
    <r>
      <rPr>
        <sz val="11"/>
        <color theme="1"/>
        <rFont val="ＭＳ Ｐ明朝"/>
        <family val="1"/>
        <charset val="128"/>
      </rPr>
      <t>ラシーヌ</t>
    </r>
  </si>
  <si>
    <r>
      <rPr>
        <sz val="11"/>
        <color theme="1"/>
        <rFont val="ＭＳ Ｐ明朝"/>
        <family val="1"/>
        <charset val="128"/>
      </rPr>
      <t>アラン</t>
    </r>
  </si>
  <si>
    <r>
      <rPr>
        <sz val="11"/>
        <color theme="1"/>
        <rFont val="ＭＳ Ｐ明朝"/>
        <family val="1"/>
        <charset val="128"/>
      </rPr>
      <t>ジョー</t>
    </r>
  </si>
  <si>
    <r>
      <rPr>
        <sz val="11"/>
        <color theme="1"/>
        <rFont val="ＭＳ Ｐ明朝"/>
        <family val="1"/>
        <charset val="128"/>
      </rPr>
      <t>火傷付与率</t>
    </r>
    <rPh sb="0" eb="2">
      <t>ヤケド</t>
    </rPh>
    <rPh sb="2" eb="4">
      <t>フヨ</t>
    </rPh>
    <rPh sb="4" eb="5">
      <t>リツ</t>
    </rPh>
    <phoneticPr fontId="1"/>
  </si>
  <si>
    <r>
      <rPr>
        <sz val="11"/>
        <color theme="1"/>
        <rFont val="ＭＳ Ｐ明朝"/>
        <family val="1"/>
        <charset val="128"/>
      </rPr>
      <t>サニア</t>
    </r>
  </si>
  <si>
    <r>
      <rPr>
        <sz val="11"/>
        <color theme="1"/>
        <rFont val="ＭＳ Ｐ明朝"/>
        <family val="1"/>
        <charset val="128"/>
      </rPr>
      <t>オーレイン</t>
    </r>
  </si>
  <si>
    <r>
      <rPr>
        <sz val="11"/>
        <color theme="1"/>
        <rFont val="ＭＳ Ｐ明朝"/>
        <family val="1"/>
        <charset val="128"/>
      </rPr>
      <t>ヴァネッサ</t>
    </r>
  </si>
  <si>
    <r>
      <rPr>
        <sz val="11"/>
        <color theme="1"/>
        <rFont val="ＭＳ Ｐ明朝"/>
        <family val="1"/>
        <charset val="128"/>
      </rPr>
      <t>シノア</t>
    </r>
  </si>
  <si>
    <r>
      <rPr>
        <sz val="11"/>
        <color theme="1"/>
        <rFont val="ＭＳ Ｐ明朝"/>
        <family val="1"/>
        <charset val="128"/>
      </rPr>
      <t>ウェルシェラ</t>
    </r>
  </si>
  <si>
    <r>
      <rPr>
        <sz val="11"/>
        <color theme="1"/>
        <rFont val="ＭＳ Ｐ明朝"/>
        <family val="1"/>
        <charset val="128"/>
      </rPr>
      <t>竜の恩寵</t>
    </r>
    <rPh sb="0" eb="1">
      <t>リュウ</t>
    </rPh>
    <rPh sb="2" eb="4">
      <t>オンチョウ</t>
    </rPh>
    <phoneticPr fontId="1"/>
  </si>
  <si>
    <r>
      <rPr>
        <sz val="11"/>
        <color theme="1"/>
        <rFont val="ＭＳ Ｐ明朝"/>
        <family val="1"/>
        <charset val="128"/>
      </rPr>
      <t>カール</t>
    </r>
  </si>
  <si>
    <r>
      <rPr>
        <sz val="11"/>
        <color theme="1"/>
        <rFont val="ＭＳ Ｐ明朝"/>
        <family val="1"/>
        <charset val="128"/>
      </rPr>
      <t>ユーヤ</t>
    </r>
  </si>
  <si>
    <r>
      <rPr>
        <sz val="11"/>
        <color theme="1"/>
        <rFont val="ＭＳ Ｐ明朝"/>
        <family val="1"/>
        <charset val="128"/>
      </rPr>
      <t>ユエ</t>
    </r>
  </si>
  <si>
    <r>
      <rPr>
        <sz val="11"/>
        <color theme="1"/>
        <rFont val="ＭＳ Ｐ明朝"/>
        <family val="1"/>
        <charset val="128"/>
      </rPr>
      <t>エマ</t>
    </r>
  </si>
  <si>
    <r>
      <rPr>
        <sz val="11"/>
        <color theme="1"/>
        <rFont val="ＭＳ Ｐ明朝"/>
        <family val="1"/>
        <charset val="128"/>
      </rPr>
      <t>セレナ</t>
    </r>
  </si>
  <si>
    <r>
      <rPr>
        <sz val="11"/>
        <color theme="1"/>
        <rFont val="ＭＳ Ｐ明朝"/>
        <family val="1"/>
        <charset val="128"/>
      </rPr>
      <t>ナジャーフ</t>
    </r>
  </si>
  <si>
    <r>
      <rPr>
        <sz val="11"/>
        <color theme="1"/>
        <rFont val="ＭＳ Ｐ明朝"/>
        <family val="1"/>
        <charset val="128"/>
      </rPr>
      <t>ミコト</t>
    </r>
  </si>
  <si>
    <r>
      <rPr>
        <sz val="11"/>
        <color theme="1"/>
        <rFont val="ＭＳ Ｐ明朝"/>
        <family val="1"/>
        <charset val="128"/>
      </rPr>
      <t>エゼリット</t>
    </r>
  </si>
  <si>
    <r>
      <rPr>
        <sz val="11"/>
        <color theme="1"/>
        <rFont val="ＭＳ Ｐ明朝"/>
        <family val="1"/>
        <charset val="128"/>
      </rPr>
      <t>ヒット延長</t>
    </r>
    <rPh sb="3" eb="5">
      <t>エンチョウ</t>
    </rPh>
    <phoneticPr fontId="1"/>
  </si>
  <si>
    <r>
      <rPr>
        <sz val="11"/>
        <color theme="1"/>
        <rFont val="ＭＳ Ｐ明朝"/>
        <family val="1"/>
        <charset val="128"/>
      </rPr>
      <t>ロジィナ</t>
    </r>
  </si>
  <si>
    <r>
      <rPr>
        <sz val="11"/>
        <color theme="1"/>
        <rFont val="ＭＳ Ｐ明朝"/>
        <family val="1"/>
        <charset val="128"/>
      </rPr>
      <t>やる気</t>
    </r>
    <rPh sb="2" eb="3">
      <t>キ</t>
    </rPh>
    <phoneticPr fontId="1"/>
  </si>
  <si>
    <r>
      <rPr>
        <sz val="11"/>
        <color theme="1"/>
        <rFont val="ＭＳ Ｐ明朝"/>
        <family val="1"/>
        <charset val="128"/>
      </rPr>
      <t>メリィベル</t>
    </r>
  </si>
  <si>
    <r>
      <rPr>
        <sz val="11"/>
        <color theme="1"/>
        <rFont val="ＭＳ Ｐ明朝"/>
        <family val="1"/>
        <charset val="128"/>
      </rPr>
      <t>レジィナ</t>
    </r>
  </si>
  <si>
    <r>
      <rPr>
        <sz val="11"/>
        <color theme="1"/>
        <rFont val="ＭＳ Ｐ明朝"/>
        <family val="1"/>
        <charset val="128"/>
      </rPr>
      <t>チェルシー</t>
    </r>
  </si>
  <si>
    <r>
      <rPr>
        <sz val="11"/>
        <color theme="1"/>
        <rFont val="ＭＳ Ｐ明朝"/>
        <family val="1"/>
        <charset val="128"/>
      </rPr>
      <t>リア</t>
    </r>
  </si>
  <si>
    <r>
      <rPr>
        <sz val="11"/>
        <color theme="1"/>
        <rFont val="ＭＳ Ｐ明朝"/>
        <family val="1"/>
        <charset val="128"/>
      </rPr>
      <t>シャーディ</t>
    </r>
  </si>
  <si>
    <r>
      <rPr>
        <sz val="11"/>
        <color theme="1"/>
        <rFont val="ＭＳ Ｐ明朝"/>
        <family val="1"/>
        <charset val="128"/>
      </rPr>
      <t>ジュウロウタ</t>
    </r>
  </si>
  <si>
    <r>
      <rPr>
        <sz val="11"/>
        <color theme="1"/>
        <rFont val="ＭＳ Ｐ明朝"/>
        <family val="1"/>
        <charset val="128"/>
      </rPr>
      <t>耐火</t>
    </r>
    <rPh sb="0" eb="2">
      <t>タイカ</t>
    </rPh>
    <phoneticPr fontId="1"/>
  </si>
  <si>
    <r>
      <rPr>
        <sz val="11"/>
        <color theme="1"/>
        <rFont val="ＭＳ Ｐ明朝"/>
        <family val="1"/>
        <charset val="128"/>
      </rPr>
      <t>レックス</t>
    </r>
  </si>
  <si>
    <r>
      <rPr>
        <sz val="11"/>
        <color theme="1"/>
        <rFont val="ＭＳ Ｐ明朝"/>
        <family val="1"/>
        <charset val="128"/>
      </rPr>
      <t>シュベール</t>
    </r>
  </si>
  <si>
    <r>
      <rPr>
        <sz val="11"/>
        <color theme="1"/>
        <rFont val="ＭＳ Ｐ明朝"/>
        <family val="1"/>
        <charset val="128"/>
      </rPr>
      <t>ウェイク</t>
    </r>
  </si>
  <si>
    <r>
      <rPr>
        <sz val="11"/>
        <color theme="1"/>
        <rFont val="ＭＳ Ｐ明朝"/>
        <family val="1"/>
        <charset val="128"/>
      </rPr>
      <t>リカート</t>
    </r>
  </si>
  <si>
    <r>
      <rPr>
        <sz val="11"/>
        <color theme="1"/>
        <rFont val="ＭＳ Ｐ明朝"/>
        <family val="1"/>
        <charset val="128"/>
      </rPr>
      <t>ピドット</t>
    </r>
  </si>
  <si>
    <r>
      <rPr>
        <sz val="11"/>
        <color theme="1"/>
        <rFont val="ＭＳ Ｐ明朝"/>
        <family val="1"/>
        <charset val="128"/>
      </rPr>
      <t>ジャン</t>
    </r>
  </si>
  <si>
    <r>
      <rPr>
        <sz val="11"/>
        <color theme="1"/>
        <rFont val="ＭＳ Ｐ明朝"/>
        <family val="1"/>
        <charset val="128"/>
      </rPr>
      <t>オルセム</t>
    </r>
  </si>
  <si>
    <r>
      <rPr>
        <sz val="11"/>
        <color theme="1"/>
        <rFont val="ＭＳ Ｐ明朝"/>
        <family val="1"/>
        <charset val="128"/>
      </rPr>
      <t>カーリナ</t>
    </r>
  </si>
  <si>
    <r>
      <t>HP60%</t>
    </r>
    <r>
      <rPr>
        <sz val="11"/>
        <color theme="1"/>
        <rFont val="ＭＳ Ｐ明朝"/>
        <family val="1"/>
        <charset val="128"/>
      </rPr>
      <t>以上</t>
    </r>
    <rPh sb="5" eb="7">
      <t>イジョウ</t>
    </rPh>
    <phoneticPr fontId="1"/>
  </si>
  <si>
    <r>
      <rPr>
        <sz val="11"/>
        <color theme="1"/>
        <rFont val="ＭＳ Ｐ明朝"/>
        <family val="1"/>
        <charset val="128"/>
      </rPr>
      <t>セイナー</t>
    </r>
  </si>
  <si>
    <r>
      <rPr>
        <sz val="11"/>
        <color theme="1"/>
        <rFont val="ＭＳ Ｐ明朝"/>
        <family val="1"/>
        <charset val="128"/>
      </rPr>
      <t>ランザーヴ</t>
    </r>
  </si>
  <si>
    <r>
      <rPr>
        <sz val="11"/>
        <color theme="1"/>
        <rFont val="ＭＳ Ｐ明朝"/>
        <family val="1"/>
        <charset val="128"/>
      </rPr>
      <t>ルタ</t>
    </r>
  </si>
  <si>
    <r>
      <rPr>
        <sz val="11"/>
        <color theme="1"/>
        <rFont val="ＭＳ Ｐ明朝"/>
        <family val="1"/>
        <charset val="128"/>
      </rPr>
      <t>エイル</t>
    </r>
  </si>
  <si>
    <r>
      <rPr>
        <sz val="11"/>
        <color theme="1"/>
        <rFont val="ＭＳ Ｐ明朝"/>
        <family val="1"/>
        <charset val="128"/>
      </rPr>
      <t>ルジィナ</t>
    </r>
  </si>
  <si>
    <r>
      <rPr>
        <sz val="11"/>
        <color theme="1"/>
        <rFont val="ＭＳ Ｐ明朝"/>
        <family val="1"/>
        <charset val="128"/>
      </rPr>
      <t>アレクシス</t>
    </r>
  </si>
  <si>
    <r>
      <rPr>
        <sz val="11"/>
        <color theme="1"/>
        <rFont val="ＭＳ Ｐ明朝"/>
        <family val="1"/>
        <charset val="128"/>
      </rPr>
      <t>ジュリエッタ</t>
    </r>
  </si>
  <si>
    <r>
      <rPr>
        <sz val="11"/>
        <color theme="1"/>
        <rFont val="ＭＳ Ｐ明朝"/>
        <family val="1"/>
        <charset val="128"/>
      </rPr>
      <t>ザインフラッド</t>
    </r>
  </si>
  <si>
    <r>
      <rPr>
        <sz val="11"/>
        <color theme="1"/>
        <rFont val="ＭＳ Ｐ明朝"/>
        <family val="1"/>
        <charset val="128"/>
      </rPr>
      <t>ララノア</t>
    </r>
  </si>
  <si>
    <r>
      <rPr>
        <sz val="11"/>
        <color theme="1"/>
        <rFont val="ＭＳ Ｐ明朝"/>
        <family val="1"/>
        <charset val="128"/>
      </rPr>
      <t>リリィ</t>
    </r>
  </si>
  <si>
    <r>
      <rPr>
        <sz val="11"/>
        <color theme="1"/>
        <rFont val="ＭＳ Ｐ明朝"/>
        <family val="1"/>
        <charset val="128"/>
      </rPr>
      <t>タイコウボウ</t>
    </r>
  </si>
  <si>
    <r>
      <rPr>
        <sz val="11"/>
        <color theme="1"/>
        <rFont val="ＭＳ Ｐ明朝"/>
        <family val="1"/>
        <charset val="128"/>
      </rPr>
      <t>セリエラ</t>
    </r>
  </si>
  <si>
    <r>
      <rPr>
        <sz val="11"/>
        <color theme="1"/>
        <rFont val="ＭＳ Ｐ明朝"/>
        <family val="1"/>
        <charset val="128"/>
      </rPr>
      <t>メロディ</t>
    </r>
  </si>
  <si>
    <r>
      <rPr>
        <sz val="11"/>
        <color theme="1"/>
        <rFont val="ＭＳ Ｐ明朝"/>
        <family val="1"/>
        <charset val="128"/>
      </rPr>
      <t>耐水</t>
    </r>
    <rPh sb="0" eb="2">
      <t>タイスイ</t>
    </rPh>
    <phoneticPr fontId="1"/>
  </si>
  <si>
    <r>
      <rPr>
        <sz val="11"/>
        <color theme="1"/>
        <rFont val="ＭＳ Ｐ明朝"/>
        <family val="1"/>
        <charset val="128"/>
      </rPr>
      <t>フランチェスカ</t>
    </r>
  </si>
  <si>
    <r>
      <rPr>
        <sz val="11"/>
        <color theme="1"/>
        <rFont val="ＭＳ Ｐ明朝"/>
        <family val="1"/>
        <charset val="128"/>
      </rPr>
      <t>イハンナ</t>
    </r>
  </si>
  <si>
    <r>
      <rPr>
        <sz val="11"/>
        <color theme="1"/>
        <rFont val="ＭＳ Ｐ明朝"/>
        <family val="1"/>
        <charset val="128"/>
      </rPr>
      <t>フィリア</t>
    </r>
  </si>
  <si>
    <r>
      <rPr>
        <sz val="11"/>
        <color theme="1"/>
        <rFont val="ＭＳ Ｐ明朝"/>
        <family val="1"/>
        <charset val="128"/>
      </rPr>
      <t>ニコラ</t>
    </r>
  </si>
  <si>
    <r>
      <rPr>
        <sz val="11"/>
        <color theme="1"/>
        <rFont val="ＭＳ Ｐ明朝"/>
        <family val="1"/>
        <charset val="128"/>
      </rPr>
      <t>ソフィ</t>
    </r>
  </si>
  <si>
    <r>
      <rPr>
        <sz val="11"/>
        <color theme="1"/>
        <rFont val="ＭＳ Ｐ明朝"/>
        <family val="1"/>
        <charset val="128"/>
      </rPr>
      <t>クガイ</t>
    </r>
  </si>
  <si>
    <r>
      <rPr>
        <sz val="11"/>
        <color theme="1"/>
        <rFont val="ＭＳ Ｐ明朝"/>
        <family val="1"/>
        <charset val="128"/>
      </rPr>
      <t>ムサシ</t>
    </r>
  </si>
  <si>
    <r>
      <rPr>
        <sz val="11"/>
        <color theme="1"/>
        <rFont val="ＭＳ Ｐ明朝"/>
        <family val="1"/>
        <charset val="128"/>
      </rPr>
      <t>エレオノーラ</t>
    </r>
  </si>
  <si>
    <r>
      <rPr>
        <sz val="11"/>
        <color theme="1"/>
        <rFont val="ＭＳ Ｐ明朝"/>
        <family val="1"/>
        <charset val="128"/>
      </rPr>
      <t>ノエル</t>
    </r>
  </si>
  <si>
    <r>
      <rPr>
        <sz val="11"/>
        <color theme="1"/>
        <rFont val="ＭＳ Ｐ明朝"/>
        <family val="1"/>
        <charset val="128"/>
      </rPr>
      <t>ルーエン</t>
    </r>
  </si>
  <si>
    <r>
      <rPr>
        <sz val="11"/>
        <color theme="1"/>
        <rFont val="ＭＳ Ｐ明朝"/>
        <family val="1"/>
        <charset val="128"/>
      </rPr>
      <t>ピアチェ</t>
    </r>
  </si>
  <si>
    <r>
      <rPr>
        <sz val="11"/>
        <color theme="1"/>
        <rFont val="ＭＳ Ｐ明朝"/>
        <family val="1"/>
        <charset val="128"/>
      </rPr>
      <t>ヴィクター</t>
    </r>
  </si>
  <si>
    <r>
      <rPr>
        <sz val="11"/>
        <color theme="1"/>
        <rFont val="ＭＳ Ｐ明朝"/>
        <family val="1"/>
        <charset val="128"/>
      </rPr>
      <t>リンユー</t>
    </r>
  </si>
  <si>
    <r>
      <rPr>
        <sz val="11"/>
        <color theme="1"/>
        <rFont val="ＭＳ Ｐ明朝"/>
        <family val="1"/>
        <charset val="128"/>
      </rPr>
      <t>ホーク</t>
    </r>
  </si>
  <si>
    <r>
      <rPr>
        <sz val="11"/>
        <color theme="1"/>
        <rFont val="ＭＳ Ｐ明朝"/>
        <family val="1"/>
        <charset val="128"/>
      </rPr>
      <t>アカーシャ</t>
    </r>
  </si>
  <si>
    <r>
      <rPr>
        <sz val="11"/>
        <color theme="1"/>
        <rFont val="ＭＳ Ｐ明朝"/>
        <family val="1"/>
        <charset val="128"/>
      </rPr>
      <t>エルフィリス</t>
    </r>
  </si>
  <si>
    <r>
      <rPr>
        <sz val="11"/>
        <color theme="1"/>
        <rFont val="ＭＳ Ｐ明朝"/>
        <family val="1"/>
        <charset val="128"/>
      </rPr>
      <t>ルイーゼ</t>
    </r>
  </si>
  <si>
    <r>
      <rPr>
        <sz val="11"/>
        <color theme="1"/>
        <rFont val="ＭＳ Ｐ明朝"/>
        <family val="1"/>
        <charset val="128"/>
      </rPr>
      <t>ライムンド</t>
    </r>
  </si>
  <si>
    <r>
      <rPr>
        <sz val="11"/>
        <color theme="1"/>
        <rFont val="ＭＳ Ｐ明朝"/>
        <family val="1"/>
        <charset val="128"/>
      </rPr>
      <t>イルファン</t>
    </r>
  </si>
  <si>
    <r>
      <rPr>
        <sz val="11"/>
        <color theme="1"/>
        <rFont val="ＭＳ Ｐ明朝"/>
        <family val="1"/>
        <charset val="128"/>
      </rPr>
      <t>耐闇</t>
    </r>
    <rPh sb="0" eb="2">
      <t>タイヤミ</t>
    </rPh>
    <phoneticPr fontId="1"/>
  </si>
  <si>
    <r>
      <rPr>
        <sz val="11"/>
        <color theme="1"/>
        <rFont val="ＭＳ Ｐ明朝"/>
        <family val="1"/>
        <charset val="128"/>
      </rPr>
      <t>ライナス</t>
    </r>
  </si>
  <si>
    <r>
      <rPr>
        <sz val="11"/>
        <color theme="1"/>
        <rFont val="ＭＳ Ｐ明朝"/>
        <family val="1"/>
        <charset val="128"/>
      </rPr>
      <t>マルカ</t>
    </r>
  </si>
  <si>
    <r>
      <rPr>
        <sz val="11"/>
        <color theme="1"/>
        <rFont val="ＭＳ Ｐ明朝"/>
        <family val="1"/>
        <charset val="128"/>
      </rPr>
      <t>マローラ</t>
    </r>
  </si>
  <si>
    <r>
      <rPr>
        <sz val="11"/>
        <color theme="1"/>
        <rFont val="ＭＳ Ｐ明朝"/>
        <family val="1"/>
        <charset val="128"/>
      </rPr>
      <t>麻痺付与率</t>
    </r>
    <rPh sb="0" eb="2">
      <t>マヒ</t>
    </rPh>
    <rPh sb="2" eb="4">
      <t>フヨ</t>
    </rPh>
    <rPh sb="4" eb="5">
      <t>リツ</t>
    </rPh>
    <phoneticPr fontId="1"/>
  </si>
  <si>
    <r>
      <rPr>
        <sz val="11"/>
        <color theme="1"/>
        <rFont val="ＭＳ Ｐ明朝"/>
        <family val="1"/>
        <charset val="128"/>
      </rPr>
      <t>シャオレイ</t>
    </r>
  </si>
  <si>
    <r>
      <rPr>
        <sz val="11"/>
        <color theme="1"/>
        <rFont val="ＭＳ Ｐ明朝"/>
        <family val="1"/>
        <charset val="128"/>
      </rPr>
      <t>ホープ</t>
    </r>
  </si>
  <si>
    <r>
      <rPr>
        <sz val="11"/>
        <color theme="1"/>
        <rFont val="ＭＳ Ｐ明朝"/>
        <family val="1"/>
        <charset val="128"/>
      </rPr>
      <t>エステル</t>
    </r>
  </si>
  <si>
    <r>
      <rPr>
        <sz val="11"/>
        <color theme="1"/>
        <rFont val="ＭＳ Ｐ明朝"/>
        <family val="1"/>
        <charset val="128"/>
      </rPr>
      <t>ヤチヨ</t>
    </r>
  </si>
  <si>
    <r>
      <rPr>
        <sz val="11"/>
        <color theme="1"/>
        <rFont val="ＭＳ Ｐ明朝"/>
        <family val="1"/>
        <charset val="128"/>
      </rPr>
      <t>耐闇</t>
    </r>
    <rPh sb="0" eb="1">
      <t>タイ</t>
    </rPh>
    <rPh sb="1" eb="2">
      <t>ヤミ</t>
    </rPh>
    <phoneticPr fontId="1"/>
  </si>
  <si>
    <r>
      <rPr>
        <sz val="11"/>
        <color theme="1"/>
        <rFont val="ＭＳ Ｐ明朝"/>
        <family val="1"/>
        <charset val="128"/>
      </rPr>
      <t>フリッツ</t>
    </r>
  </si>
  <si>
    <r>
      <rPr>
        <sz val="11"/>
        <color theme="1"/>
        <rFont val="ＭＳ Ｐ明朝"/>
        <family val="1"/>
        <charset val="128"/>
      </rPr>
      <t>リュカ</t>
    </r>
  </si>
  <si>
    <r>
      <rPr>
        <sz val="11"/>
        <color theme="1"/>
        <rFont val="ＭＳ Ｐ明朝"/>
        <family val="1"/>
        <charset val="128"/>
      </rPr>
      <t>リョウゼン</t>
    </r>
  </si>
  <si>
    <r>
      <rPr>
        <sz val="11"/>
        <color theme="1"/>
        <rFont val="ＭＳ Ｐ明朝"/>
        <family val="1"/>
        <charset val="128"/>
      </rPr>
      <t>アマネ</t>
    </r>
  </si>
  <si>
    <r>
      <rPr>
        <sz val="11"/>
        <color theme="1"/>
        <rFont val="ＭＳ Ｐ明朝"/>
        <family val="1"/>
        <charset val="128"/>
      </rPr>
      <t>フルル</t>
    </r>
  </si>
  <si>
    <r>
      <rPr>
        <sz val="11"/>
        <color theme="1"/>
        <rFont val="ＭＳ Ｐ明朝"/>
        <family val="1"/>
        <charset val="128"/>
      </rPr>
      <t>ウルガ</t>
    </r>
  </si>
  <si>
    <r>
      <rPr>
        <sz val="11"/>
        <color theme="1"/>
        <rFont val="ＭＳ Ｐ明朝"/>
        <family val="1"/>
        <charset val="128"/>
      </rPr>
      <t>ヴィクセル</t>
    </r>
  </si>
  <si>
    <r>
      <rPr>
        <sz val="11"/>
        <color theme="1"/>
        <rFont val="ＭＳ Ｐ明朝"/>
        <family val="1"/>
        <charset val="128"/>
      </rPr>
      <t>アルベール</t>
    </r>
  </si>
  <si>
    <r>
      <rPr>
        <sz val="11"/>
        <color theme="1"/>
        <rFont val="ＭＳ Ｐ明朝"/>
        <family val="1"/>
        <charset val="128"/>
      </rPr>
      <t>クラウ</t>
    </r>
  </si>
  <si>
    <r>
      <rPr>
        <sz val="11"/>
        <color theme="1"/>
        <rFont val="ＭＳ Ｐ明朝"/>
        <family val="1"/>
        <charset val="128"/>
      </rPr>
      <t>ルクレツィア</t>
    </r>
  </si>
  <si>
    <r>
      <rPr>
        <sz val="11"/>
        <color theme="1"/>
        <rFont val="ＭＳ Ｐ明朝"/>
        <family val="1"/>
        <charset val="128"/>
      </rPr>
      <t>ヒルデガルド</t>
    </r>
  </si>
  <si>
    <r>
      <rPr>
        <sz val="11"/>
        <color theme="1"/>
        <rFont val="ＭＳ Ｐ明朝"/>
        <family val="1"/>
        <charset val="128"/>
      </rPr>
      <t>アンネリーエ</t>
    </r>
  </si>
  <si>
    <r>
      <rPr>
        <sz val="11"/>
        <color theme="1"/>
        <rFont val="ＭＳ Ｐ明朝"/>
        <family val="1"/>
        <charset val="128"/>
      </rPr>
      <t>ロドリゴ</t>
    </r>
  </si>
  <si>
    <r>
      <rPr>
        <sz val="11"/>
        <color theme="1"/>
        <rFont val="ＭＳ Ｐ明朝"/>
        <family val="1"/>
        <charset val="128"/>
      </rPr>
      <t>タロウ</t>
    </r>
  </si>
  <si>
    <r>
      <rPr>
        <sz val="11"/>
        <color theme="1"/>
        <rFont val="ＭＳ Ｐ明朝"/>
        <family val="1"/>
        <charset val="128"/>
      </rPr>
      <t>ワイス</t>
    </r>
  </si>
  <si>
    <r>
      <rPr>
        <sz val="11"/>
        <color theme="1"/>
        <rFont val="ＭＳ Ｐ明朝"/>
        <family val="1"/>
        <charset val="128"/>
      </rPr>
      <t>エリック</t>
    </r>
  </si>
  <si>
    <r>
      <rPr>
        <sz val="11"/>
        <color theme="1"/>
        <rFont val="ＭＳ Ｐ明朝"/>
        <family val="1"/>
        <charset val="128"/>
      </rPr>
      <t>ジーズ</t>
    </r>
  </si>
  <si>
    <r>
      <rPr>
        <sz val="11"/>
        <color theme="1"/>
        <rFont val="ＭＳ Ｐ明朝"/>
        <family val="1"/>
        <charset val="128"/>
      </rPr>
      <t>イルテミア</t>
    </r>
  </si>
  <si>
    <r>
      <rPr>
        <sz val="11"/>
        <color theme="1"/>
        <rFont val="ＭＳ Ｐ明朝"/>
        <family val="1"/>
        <charset val="128"/>
      </rPr>
      <t>耐光</t>
    </r>
    <rPh sb="0" eb="2">
      <t>タイヒカリ</t>
    </rPh>
    <phoneticPr fontId="1"/>
  </si>
  <si>
    <r>
      <rPr>
        <sz val="11"/>
        <color theme="1"/>
        <rFont val="ＭＳ Ｐ明朝"/>
        <family val="1"/>
        <charset val="128"/>
      </rPr>
      <t>エドワード</t>
    </r>
  </si>
  <si>
    <r>
      <rPr>
        <sz val="11"/>
        <color theme="1"/>
        <rFont val="ＭＳ Ｐ明朝"/>
        <family val="1"/>
        <charset val="128"/>
      </rPr>
      <t>ヴィッテ</t>
    </r>
  </si>
  <si>
    <r>
      <rPr>
        <sz val="11"/>
        <color theme="1"/>
        <rFont val="ＭＳ Ｐ明朝"/>
        <family val="1"/>
        <charset val="128"/>
      </rPr>
      <t>ベルザーク</t>
    </r>
  </si>
  <si>
    <r>
      <rPr>
        <sz val="11"/>
        <color theme="1"/>
        <rFont val="ＭＳ Ｐ明朝"/>
        <family val="1"/>
        <charset val="128"/>
      </rPr>
      <t>デュラルド</t>
    </r>
  </si>
  <si>
    <r>
      <rPr>
        <sz val="11"/>
        <color theme="1"/>
        <rFont val="ＭＳ Ｐ明朝"/>
        <family val="1"/>
        <charset val="128"/>
      </rPr>
      <t>オリオン</t>
    </r>
  </si>
  <si>
    <r>
      <rPr>
        <sz val="11"/>
        <color theme="1"/>
        <rFont val="ＭＳ Ｐ明朝"/>
        <family val="1"/>
        <charset val="128"/>
      </rPr>
      <t>ノーストン</t>
    </r>
  </si>
  <si>
    <r>
      <rPr>
        <sz val="11"/>
        <color theme="1"/>
        <rFont val="ＭＳ Ｐ明朝"/>
        <family val="1"/>
        <charset val="128"/>
      </rPr>
      <t>クレイマン</t>
    </r>
  </si>
  <si>
    <r>
      <rPr>
        <sz val="11"/>
        <color theme="1"/>
        <rFont val="ＭＳ Ｐ明朝"/>
        <family val="1"/>
        <charset val="128"/>
      </rPr>
      <t>パティア</t>
    </r>
  </si>
  <si>
    <r>
      <rPr>
        <sz val="11"/>
        <color theme="1"/>
        <rFont val="ＭＳ Ｐ明朝"/>
        <family val="1"/>
        <charset val="128"/>
      </rPr>
      <t>ヤテン</t>
    </r>
  </si>
  <si>
    <r>
      <rPr>
        <sz val="11"/>
        <color theme="1"/>
        <rFont val="ＭＳ Ｐ明朝"/>
        <family val="1"/>
        <charset val="128"/>
      </rPr>
      <t>デルフィ</t>
    </r>
  </si>
  <si>
    <r>
      <rPr>
        <sz val="11"/>
        <color theme="1"/>
        <rFont val="ＭＳ Ｐ明朝"/>
        <family val="1"/>
        <charset val="128"/>
      </rPr>
      <t>クーガー</t>
    </r>
  </si>
  <si>
    <r>
      <rPr>
        <sz val="11"/>
        <color theme="1"/>
        <rFont val="ＭＳ Ｐ明朝"/>
        <family val="1"/>
        <charset val="128"/>
      </rPr>
      <t>ラトニー</t>
    </r>
  </si>
  <si>
    <r>
      <rPr>
        <sz val="11"/>
        <color theme="1"/>
        <rFont val="ＭＳ Ｐ明朝"/>
        <family val="1"/>
        <charset val="128"/>
      </rPr>
      <t>ネファリエ</t>
    </r>
  </si>
  <si>
    <r>
      <rPr>
        <sz val="11"/>
        <color theme="1"/>
        <rFont val="ＭＳ Ｐ明朝"/>
        <family val="1"/>
        <charset val="128"/>
      </rPr>
      <t>ハインヴァルト</t>
    </r>
  </si>
  <si>
    <r>
      <rPr>
        <sz val="11"/>
        <color theme="1"/>
        <rFont val="ＭＳ Ｐ明朝"/>
        <family val="1"/>
        <charset val="128"/>
      </rPr>
      <t>ナッツ</t>
    </r>
  </si>
  <si>
    <r>
      <rPr>
        <sz val="11"/>
        <color theme="1"/>
        <rFont val="ＭＳ Ｐ明朝"/>
        <family val="1"/>
        <charset val="128"/>
      </rPr>
      <t>カサンドラ</t>
    </r>
  </si>
  <si>
    <t>ゲヘナ</t>
    <phoneticPr fontId="1"/>
  </si>
  <si>
    <t>真竜</t>
    <rPh sb="0" eb="1">
      <t>シン</t>
    </rPh>
    <rPh sb="1" eb="2">
      <t>リュウ</t>
    </rPh>
    <phoneticPr fontId="1"/>
  </si>
  <si>
    <t>箱</t>
    <rPh sb="0" eb="1">
      <t>ハコ</t>
    </rPh>
    <phoneticPr fontId="1"/>
  </si>
  <si>
    <t>スキア</t>
    <phoneticPr fontId="1"/>
  </si>
  <si>
    <t>アビス</t>
    <phoneticPr fontId="1"/>
  </si>
  <si>
    <t>1~2</t>
    <phoneticPr fontId="1"/>
  </si>
  <si>
    <t>L</t>
    <phoneticPr fontId="1"/>
  </si>
  <si>
    <t>竜哭碑</t>
    <rPh sb="0" eb="3">
      <t>リュウコクヒ</t>
    </rPh>
    <phoneticPr fontId="1"/>
  </si>
  <si>
    <t>虹</t>
    <rPh sb="0" eb="1">
      <t>ニジ</t>
    </rPh>
    <phoneticPr fontId="1"/>
  </si>
  <si>
    <t>ルピ鉱山</t>
    <rPh sb="2" eb="4">
      <t>コウザン</t>
    </rPh>
    <phoneticPr fontId="1"/>
  </si>
  <si>
    <t>銅光</t>
    <rPh sb="0" eb="1">
      <t>ドウ</t>
    </rPh>
    <rPh sb="1" eb="2">
      <t>ヒカリ</t>
    </rPh>
    <phoneticPr fontId="1"/>
  </si>
  <si>
    <t>銀光</t>
    <rPh sb="0" eb="1">
      <t>ギン</t>
    </rPh>
    <rPh sb="1" eb="2">
      <t>ヒカリ</t>
    </rPh>
    <phoneticPr fontId="1"/>
  </si>
  <si>
    <t>金光</t>
    <rPh sb="0" eb="1">
      <t>キン</t>
    </rPh>
    <rPh sb="1" eb="2">
      <t>ヒカリ</t>
    </rPh>
    <phoneticPr fontId="1"/>
  </si>
  <si>
    <t>羽光</t>
    <rPh sb="0" eb="1">
      <t>ハネ</t>
    </rPh>
    <rPh sb="1" eb="2">
      <t>ヒカリ</t>
    </rPh>
    <phoneticPr fontId="1"/>
  </si>
  <si>
    <t>必要量</t>
    <rPh sb="0" eb="3">
      <t>ヒツヨウリョウ</t>
    </rPh>
    <phoneticPr fontId="1"/>
  </si>
  <si>
    <t>残り必要量</t>
    <rPh sb="0" eb="1">
      <t>ノコ</t>
    </rPh>
    <rPh sb="2" eb="5">
      <t>ヒツヨウリョウ</t>
    </rPh>
    <phoneticPr fontId="1"/>
  </si>
  <si>
    <t>属性</t>
    <rPh sb="0" eb="2">
      <t>ゾクセイ</t>
    </rPh>
    <phoneticPr fontId="1"/>
  </si>
  <si>
    <t>銅球</t>
    <rPh sb="0" eb="1">
      <t>ドウ</t>
    </rPh>
    <rPh sb="1" eb="2">
      <t>キュウ</t>
    </rPh>
    <phoneticPr fontId="1"/>
  </si>
  <si>
    <t>銀球</t>
    <rPh sb="0" eb="1">
      <t>ギン</t>
    </rPh>
    <rPh sb="1" eb="2">
      <t>キュウ</t>
    </rPh>
    <phoneticPr fontId="1"/>
  </si>
  <si>
    <t>金球</t>
    <rPh sb="0" eb="1">
      <t>キン</t>
    </rPh>
    <rPh sb="1" eb="2">
      <t>キュウ</t>
    </rPh>
    <phoneticPr fontId="1"/>
  </si>
  <si>
    <t>羽球</t>
    <rPh sb="0" eb="1">
      <t>ハネ</t>
    </rPh>
    <rPh sb="1" eb="2">
      <t>キュウ</t>
    </rPh>
    <phoneticPr fontId="1"/>
  </si>
  <si>
    <t>虹球</t>
    <rPh sb="0" eb="1">
      <t>ニジ</t>
    </rPh>
    <rPh sb="1" eb="2">
      <t>キュウ</t>
    </rPh>
    <phoneticPr fontId="1"/>
  </si>
  <si>
    <t>武器</t>
    <rPh sb="0" eb="2">
      <t>ブキ</t>
    </rPh>
    <phoneticPr fontId="1"/>
  </si>
  <si>
    <t>銅貨</t>
    <rPh sb="0" eb="1">
      <t>ドウ</t>
    </rPh>
    <rPh sb="1" eb="2">
      <t>カ</t>
    </rPh>
    <phoneticPr fontId="1"/>
  </si>
  <si>
    <t>銀貨</t>
    <rPh sb="0" eb="1">
      <t>ギン</t>
    </rPh>
    <rPh sb="1" eb="2">
      <t>カ</t>
    </rPh>
    <phoneticPr fontId="1"/>
  </si>
  <si>
    <t>金貨</t>
    <rPh sb="0" eb="1">
      <t>キン</t>
    </rPh>
    <rPh sb="1" eb="2">
      <t>カ</t>
    </rPh>
    <phoneticPr fontId="1"/>
  </si>
  <si>
    <t>銀章</t>
    <rPh sb="0" eb="1">
      <t>ギン</t>
    </rPh>
    <rPh sb="1" eb="2">
      <t>ショウ</t>
    </rPh>
    <phoneticPr fontId="1"/>
  </si>
  <si>
    <t>金章</t>
    <rPh sb="0" eb="1">
      <t>キン</t>
    </rPh>
    <rPh sb="1" eb="2">
      <t>ショウ</t>
    </rPh>
    <phoneticPr fontId="1"/>
  </si>
  <si>
    <t>銀片</t>
    <rPh sb="0" eb="1">
      <t>ギン</t>
    </rPh>
    <rPh sb="1" eb="2">
      <t>ヘン</t>
    </rPh>
    <phoneticPr fontId="1"/>
  </si>
  <si>
    <t>金片</t>
    <rPh sb="0" eb="1">
      <t>キン</t>
    </rPh>
    <rPh sb="1" eb="2">
      <t>ヘン</t>
    </rPh>
    <phoneticPr fontId="1"/>
  </si>
  <si>
    <t>銀鱗</t>
    <rPh sb="0" eb="1">
      <t>ギン</t>
    </rPh>
    <rPh sb="1" eb="2">
      <t>ウロコ</t>
    </rPh>
    <phoneticPr fontId="1"/>
  </si>
  <si>
    <t>金球</t>
    <rPh sb="0" eb="2">
      <t>キンキュウ</t>
    </rPh>
    <phoneticPr fontId="1"/>
  </si>
  <si>
    <t>金鱗</t>
    <rPh sb="0" eb="1">
      <t>キン</t>
    </rPh>
    <rPh sb="1" eb="2">
      <t>ウロコ</t>
    </rPh>
    <phoneticPr fontId="1"/>
  </si>
  <si>
    <t>ファフ像</t>
    <rPh sb="3" eb="4">
      <t>ゾウ</t>
    </rPh>
    <phoneticPr fontId="1"/>
  </si>
  <si>
    <t>爪</t>
    <rPh sb="0" eb="1">
      <t>ツメ</t>
    </rPh>
    <phoneticPr fontId="1"/>
  </si>
  <si>
    <t>特殊EX</t>
    <rPh sb="0" eb="2">
      <t>トクシュ</t>
    </rPh>
    <phoneticPr fontId="1"/>
  </si>
  <si>
    <t>ユーディル</t>
    <phoneticPr fontId="1"/>
  </si>
  <si>
    <t>ムム</t>
    <phoneticPr fontId="1"/>
  </si>
  <si>
    <t>メロディ</t>
    <phoneticPr fontId="1"/>
  </si>
  <si>
    <t>ロックマン</t>
    <phoneticPr fontId="1"/>
  </si>
  <si>
    <t>トライツ</t>
    <phoneticPr fontId="1"/>
  </si>
  <si>
    <t>グレース</t>
    <phoneticPr fontId="1"/>
  </si>
  <si>
    <t>シャロン</t>
    <phoneticPr fontId="1"/>
  </si>
  <si>
    <t>クロム</t>
    <phoneticPr fontId="1"/>
  </si>
  <si>
    <t>ピアニー</t>
    <phoneticPr fontId="1"/>
  </si>
  <si>
    <t>チキ</t>
    <phoneticPr fontId="1"/>
  </si>
  <si>
    <t>ラキシ</t>
    <phoneticPr fontId="1"/>
  </si>
  <si>
    <t>リーフ</t>
    <phoneticPr fontId="1"/>
  </si>
  <si>
    <t>アイコン</t>
    <phoneticPr fontId="1"/>
  </si>
  <si>
    <r>
      <rPr>
        <sz val="11"/>
        <color theme="1"/>
        <rFont val="ＭＳ Ｐゴシック"/>
        <family val="3"/>
        <charset val="128"/>
      </rPr>
      <t>時期ソート</t>
    </r>
    <rPh sb="0" eb="2">
      <t>ジキ</t>
    </rPh>
    <phoneticPr fontId="1"/>
  </si>
  <si>
    <r>
      <rPr>
        <sz val="11"/>
        <color theme="1"/>
        <rFont val="ＭＳ Ｐゴシック"/>
        <family val="3"/>
        <charset val="128"/>
      </rPr>
      <t>ソート</t>
    </r>
    <phoneticPr fontId="1"/>
  </si>
  <si>
    <r>
      <rPr>
        <sz val="11"/>
        <color theme="1"/>
        <rFont val="ＭＳ Ｐゴシック"/>
        <family val="3"/>
        <charset val="128"/>
      </rPr>
      <t>レア</t>
    </r>
    <phoneticPr fontId="1"/>
  </si>
  <si>
    <r>
      <rPr>
        <sz val="11"/>
        <color theme="1"/>
        <rFont val="ＭＳ Ｐゴシック"/>
        <family val="3"/>
        <charset val="128"/>
      </rPr>
      <t>名前</t>
    </r>
    <rPh sb="0" eb="2">
      <t>ナマエ</t>
    </rPh>
    <phoneticPr fontId="1"/>
  </si>
  <si>
    <r>
      <rPr>
        <sz val="11"/>
        <color theme="1"/>
        <rFont val="ＭＳ Ｐゴシック"/>
        <family val="3"/>
        <charset val="128"/>
      </rPr>
      <t>所持数</t>
    </r>
    <rPh sb="0" eb="2">
      <t>ショジ</t>
    </rPh>
    <rPh sb="2" eb="3">
      <t>スウ</t>
    </rPh>
    <phoneticPr fontId="1"/>
  </si>
  <si>
    <r>
      <rPr>
        <sz val="11"/>
        <color theme="1"/>
        <rFont val="ＭＳ Ｐゴシック"/>
        <family val="3"/>
        <charset val="128"/>
      </rPr>
      <t>制限</t>
    </r>
    <rPh sb="0" eb="2">
      <t>セイゲン</t>
    </rPh>
    <phoneticPr fontId="1"/>
  </si>
  <si>
    <r>
      <rPr>
        <sz val="11"/>
        <color theme="1"/>
        <rFont val="ＭＳ Ｐゴシック"/>
        <family val="3"/>
        <charset val="128"/>
      </rPr>
      <t>タイプ</t>
    </r>
    <phoneticPr fontId="1"/>
  </si>
  <si>
    <r>
      <rPr>
        <sz val="11"/>
        <color theme="1"/>
        <rFont val="ＭＳ Ｐゴシック"/>
        <family val="3"/>
        <charset val="128"/>
      </rPr>
      <t>最大効果</t>
    </r>
    <rPh sb="0" eb="2">
      <t>サイダイ</t>
    </rPh>
    <rPh sb="2" eb="4">
      <t>コウカ</t>
    </rPh>
    <phoneticPr fontId="1"/>
  </si>
  <si>
    <r>
      <rPr>
        <sz val="11"/>
        <color theme="1"/>
        <rFont val="ＭＳ Ｐゴシック"/>
        <family val="3"/>
        <charset val="128"/>
      </rPr>
      <t>イベント特効</t>
    </r>
    <rPh sb="4" eb="6">
      <t>トッコウ</t>
    </rPh>
    <phoneticPr fontId="1"/>
  </si>
  <si>
    <r>
      <rPr>
        <sz val="11"/>
        <color theme="1"/>
        <rFont val="ＭＳ Ｐゴシック"/>
        <family val="3"/>
        <charset val="128"/>
      </rPr>
      <t>入手</t>
    </r>
    <rPh sb="0" eb="2">
      <t>ニュウシュ</t>
    </rPh>
    <phoneticPr fontId="1"/>
  </si>
  <si>
    <r>
      <rPr>
        <sz val="11"/>
        <color theme="1"/>
        <rFont val="ＭＳ Ｐゴシック"/>
        <family val="3"/>
        <charset val="128"/>
      </rPr>
      <t>ブレイジング・クラウン</t>
    </r>
    <phoneticPr fontId="1"/>
  </si>
  <si>
    <r>
      <rPr>
        <sz val="11"/>
        <color theme="1"/>
        <rFont val="ＭＳ Ｐゴシック"/>
        <family val="3"/>
        <charset val="128"/>
      </rPr>
      <t>リンク</t>
    </r>
    <phoneticPr fontId="1"/>
  </si>
  <si>
    <r>
      <rPr>
        <sz val="11"/>
        <color theme="1"/>
        <rFont val="ＭＳ Ｐゴシック"/>
        <family val="3"/>
        <charset val="128"/>
      </rPr>
      <t>天才の閃き</t>
    </r>
    <rPh sb="0" eb="2">
      <t>テンサイ</t>
    </rPh>
    <rPh sb="3" eb="4">
      <t>ヒラメ</t>
    </rPh>
    <phoneticPr fontId="1"/>
  </si>
  <si>
    <r>
      <rPr>
        <sz val="11"/>
        <color theme="1"/>
        <rFont val="ＭＳ Ｐゴシック"/>
        <family val="3"/>
        <charset val="128"/>
      </rPr>
      <t>疾風怒濤</t>
    </r>
    <rPh sb="0" eb="4">
      <t>シップウドトウ</t>
    </rPh>
    <phoneticPr fontId="1"/>
  </si>
  <si>
    <r>
      <rPr>
        <sz val="11"/>
        <color theme="1"/>
        <rFont val="ＭＳ Ｐゴシック"/>
        <family val="3"/>
        <charset val="128"/>
      </rPr>
      <t>風</t>
    </r>
    <rPh sb="0" eb="1">
      <t>カゼ</t>
    </rPh>
    <phoneticPr fontId="1"/>
  </si>
  <si>
    <r>
      <rPr>
        <sz val="11"/>
        <color theme="1"/>
        <rFont val="ＭＳ Ｐゴシック"/>
        <family val="3"/>
        <charset val="128"/>
      </rPr>
      <t>ゴージャス・パーティー</t>
    </r>
    <phoneticPr fontId="1"/>
  </si>
  <si>
    <r>
      <t>HP</t>
    </r>
    <r>
      <rPr>
        <sz val="11"/>
        <color theme="1"/>
        <rFont val="ＭＳ Ｐゴシック"/>
        <family val="3"/>
        <charset val="128"/>
      </rPr>
      <t>満タン</t>
    </r>
    <rPh sb="2" eb="3">
      <t>マン</t>
    </rPh>
    <phoneticPr fontId="1"/>
  </si>
  <si>
    <r>
      <rPr>
        <sz val="11"/>
        <color theme="1"/>
        <rFont val="ＭＳ Ｐゴシック"/>
        <family val="3"/>
        <charset val="128"/>
      </rPr>
      <t>好敵手</t>
    </r>
    <rPh sb="0" eb="3">
      <t>コウテキシュ</t>
    </rPh>
    <phoneticPr fontId="1"/>
  </si>
  <si>
    <r>
      <rPr>
        <sz val="11"/>
        <color theme="1"/>
        <rFont val="ＭＳ Ｐゴシック"/>
        <family val="3"/>
        <charset val="128"/>
      </rPr>
      <t>ブレイク</t>
    </r>
    <phoneticPr fontId="1"/>
  </si>
  <si>
    <r>
      <rPr>
        <sz val="11"/>
        <color theme="1"/>
        <rFont val="ＭＳ Ｐゴシック"/>
        <family val="3"/>
        <charset val="128"/>
      </rPr>
      <t>聖なる祈り</t>
    </r>
    <rPh sb="0" eb="1">
      <t>セイ</t>
    </rPh>
    <rPh sb="3" eb="4">
      <t>イノ</t>
    </rPh>
    <phoneticPr fontId="1"/>
  </si>
  <si>
    <r>
      <rPr>
        <sz val="11"/>
        <color theme="1"/>
        <rFont val="ＭＳ Ｐゴシック"/>
        <family val="3"/>
        <charset val="128"/>
      </rPr>
      <t>呪い</t>
    </r>
    <rPh sb="0" eb="1">
      <t>ノロ</t>
    </rPh>
    <phoneticPr fontId="1"/>
  </si>
  <si>
    <r>
      <rPr>
        <sz val="11"/>
        <color theme="1"/>
        <rFont val="ＭＳ Ｐゴシック"/>
        <family val="3"/>
        <charset val="128"/>
      </rPr>
      <t>ドラゴンの血族</t>
    </r>
    <rPh sb="5" eb="7">
      <t>ケツゾク</t>
    </rPh>
    <phoneticPr fontId="1"/>
  </si>
  <si>
    <r>
      <rPr>
        <sz val="11"/>
        <color theme="1"/>
        <rFont val="ＭＳ Ｐゴシック"/>
        <family val="3"/>
        <charset val="128"/>
      </rPr>
      <t>火</t>
    </r>
    <rPh sb="0" eb="1">
      <t>ヒ</t>
    </rPh>
    <phoneticPr fontId="1"/>
  </si>
  <si>
    <r>
      <rPr>
        <sz val="11"/>
        <color theme="1"/>
        <rFont val="ＭＳ Ｐゴシック"/>
        <family val="3"/>
        <charset val="128"/>
      </rPr>
      <t>リュカのイタズラ</t>
    </r>
    <phoneticPr fontId="1"/>
  </si>
  <si>
    <r>
      <rPr>
        <sz val="11"/>
        <color theme="1"/>
        <rFont val="ＭＳ Ｐゴシック"/>
        <family val="3"/>
        <charset val="128"/>
      </rPr>
      <t>光</t>
    </r>
    <rPh sb="0" eb="1">
      <t>ヒカリ</t>
    </rPh>
    <phoneticPr fontId="1"/>
  </si>
  <si>
    <r>
      <rPr>
        <sz val="11"/>
        <color theme="1"/>
        <rFont val="ＭＳ Ｐゴシック"/>
        <family val="3"/>
        <charset val="128"/>
      </rPr>
      <t>ケガは私が治します</t>
    </r>
    <rPh sb="3" eb="4">
      <t>ワタシ</t>
    </rPh>
    <rPh sb="5" eb="6">
      <t>ナオ</t>
    </rPh>
    <phoneticPr fontId="1"/>
  </si>
  <si>
    <r>
      <rPr>
        <sz val="11"/>
        <color theme="1"/>
        <rFont val="ＭＳ Ｐゴシック"/>
        <family val="3"/>
        <charset val="128"/>
      </rPr>
      <t>レヴィオンの英雄</t>
    </r>
    <rPh sb="6" eb="8">
      <t>エイユウ</t>
    </rPh>
    <phoneticPr fontId="1"/>
  </si>
  <si>
    <r>
      <rPr>
        <sz val="11"/>
        <color theme="1"/>
        <rFont val="ＭＳ Ｐゴシック"/>
        <family val="3"/>
        <charset val="128"/>
      </rPr>
      <t>ハンティングナイト</t>
    </r>
    <phoneticPr fontId="1"/>
  </si>
  <si>
    <r>
      <rPr>
        <sz val="11"/>
        <color theme="1"/>
        <rFont val="ＭＳ Ｐゴシック"/>
        <family val="3"/>
        <charset val="128"/>
      </rPr>
      <t>凍結</t>
    </r>
    <rPh sb="0" eb="2">
      <t>トウケツ</t>
    </rPh>
    <phoneticPr fontId="1"/>
  </si>
  <si>
    <r>
      <rPr>
        <sz val="11"/>
        <color theme="1"/>
        <rFont val="ＭＳ Ｐゴシック"/>
        <family val="3"/>
        <charset val="128"/>
      </rPr>
      <t>交換所</t>
    </r>
    <rPh sb="0" eb="3">
      <t>コウカンジョ</t>
    </rPh>
    <phoneticPr fontId="1"/>
  </si>
  <si>
    <r>
      <rPr>
        <sz val="11"/>
        <color theme="1"/>
        <rFont val="ＭＳ Ｐゴシック"/>
        <family val="3"/>
        <charset val="128"/>
      </rPr>
      <t>百刃繚乱</t>
    </r>
    <rPh sb="0" eb="1">
      <t>ヒャク</t>
    </rPh>
    <rPh sb="1" eb="2">
      <t>ジン</t>
    </rPh>
    <rPh sb="2" eb="4">
      <t>リョウラン</t>
    </rPh>
    <phoneticPr fontId="1"/>
  </si>
  <si>
    <r>
      <rPr>
        <sz val="11"/>
        <color theme="1"/>
        <rFont val="ＭＳ Ｐゴシック"/>
        <family val="3"/>
        <charset val="128"/>
      </rPr>
      <t>運命の救済</t>
    </r>
    <rPh sb="0" eb="2">
      <t>ウンメイ</t>
    </rPh>
    <rPh sb="3" eb="5">
      <t>キュウサイ</t>
    </rPh>
    <phoneticPr fontId="1"/>
  </si>
  <si>
    <r>
      <rPr>
        <sz val="11"/>
        <color theme="1"/>
        <rFont val="ＭＳ Ｐゴシック"/>
        <family val="3"/>
        <charset val="128"/>
      </rPr>
      <t>セクシー・スナイパー</t>
    </r>
    <phoneticPr fontId="1"/>
  </si>
  <si>
    <r>
      <rPr>
        <sz val="11"/>
        <color theme="1"/>
        <rFont val="ＭＳ Ｐゴシック"/>
        <family val="3"/>
        <charset val="128"/>
      </rPr>
      <t>雨空の思い出</t>
    </r>
    <rPh sb="0" eb="2">
      <t>アメゾラ</t>
    </rPh>
    <rPh sb="3" eb="4">
      <t>オモ</t>
    </rPh>
    <rPh sb="5" eb="6">
      <t>デ</t>
    </rPh>
    <phoneticPr fontId="1"/>
  </si>
  <si>
    <r>
      <rPr>
        <sz val="11"/>
        <color theme="1"/>
        <rFont val="ＭＳ Ｐゴシック"/>
        <family val="3"/>
        <charset val="128"/>
      </rPr>
      <t>ずぶぬれ</t>
    </r>
    <phoneticPr fontId="1"/>
  </si>
  <si>
    <r>
      <rPr>
        <sz val="11"/>
        <color theme="1"/>
        <rFont val="ＭＳ Ｐゴシック"/>
        <family val="3"/>
        <charset val="128"/>
      </rPr>
      <t>水</t>
    </r>
    <rPh sb="0" eb="1">
      <t>ミズ</t>
    </rPh>
    <phoneticPr fontId="1"/>
  </si>
  <si>
    <r>
      <rPr>
        <sz val="11"/>
        <color theme="1"/>
        <rFont val="ＭＳ Ｐゴシック"/>
        <family val="3"/>
        <charset val="128"/>
      </rPr>
      <t>アツアツ女子会</t>
    </r>
    <rPh sb="4" eb="7">
      <t>ジョシカイ</t>
    </rPh>
    <phoneticPr fontId="1"/>
  </si>
  <si>
    <r>
      <rPr>
        <sz val="11"/>
        <color theme="1"/>
        <rFont val="ＭＳ Ｐゴシック"/>
        <family val="3"/>
        <charset val="128"/>
      </rPr>
      <t>火傷</t>
    </r>
    <rPh sb="0" eb="2">
      <t>ヤケド</t>
    </rPh>
    <phoneticPr fontId="1"/>
  </si>
  <si>
    <r>
      <rPr>
        <sz val="11"/>
        <color theme="1"/>
        <rFont val="ＭＳ Ｐゴシック"/>
        <family val="3"/>
        <charset val="128"/>
      </rPr>
      <t>我らが知恵袋</t>
    </r>
    <rPh sb="0" eb="1">
      <t>ワレ</t>
    </rPh>
    <rPh sb="3" eb="6">
      <t>チエブクロ</t>
    </rPh>
    <phoneticPr fontId="1"/>
  </si>
  <si>
    <r>
      <rPr>
        <sz val="11"/>
        <color theme="1"/>
        <rFont val="ＭＳ Ｐゴシック"/>
        <family val="3"/>
        <charset val="128"/>
      </rPr>
      <t>気絶</t>
    </r>
    <rPh sb="0" eb="2">
      <t>キゼツ</t>
    </rPh>
    <phoneticPr fontId="1"/>
  </si>
  <si>
    <r>
      <rPr>
        <sz val="11"/>
        <color theme="1"/>
        <rFont val="ＭＳ Ｐゴシック"/>
        <family val="3"/>
        <charset val="128"/>
      </rPr>
      <t>サバイバルデイズ</t>
    </r>
    <phoneticPr fontId="1"/>
  </si>
  <si>
    <r>
      <rPr>
        <sz val="11"/>
        <color theme="1"/>
        <rFont val="ＭＳ Ｐゴシック"/>
        <family val="3"/>
        <charset val="128"/>
      </rPr>
      <t>麻痺</t>
    </r>
    <rPh sb="0" eb="2">
      <t>マヒ</t>
    </rPh>
    <phoneticPr fontId="1"/>
  </si>
  <si>
    <r>
      <rPr>
        <sz val="11"/>
        <color theme="1"/>
        <rFont val="ＭＳ Ｐゴシック"/>
        <family val="3"/>
        <charset val="128"/>
      </rPr>
      <t>天空の覇者</t>
    </r>
    <rPh sb="0" eb="2">
      <t>テンクウ</t>
    </rPh>
    <rPh sb="3" eb="5">
      <t>ハシャ</t>
    </rPh>
    <phoneticPr fontId="1"/>
  </si>
  <si>
    <r>
      <rPr>
        <sz val="11"/>
        <color theme="1"/>
        <rFont val="ＭＳ Ｐゴシック"/>
        <family val="3"/>
        <charset val="128"/>
      </rPr>
      <t>闇</t>
    </r>
    <rPh sb="0" eb="1">
      <t>ヤミ</t>
    </rPh>
    <phoneticPr fontId="1"/>
  </si>
  <si>
    <r>
      <rPr>
        <sz val="11"/>
        <color theme="1"/>
        <rFont val="ＭＳ Ｐゴシック"/>
        <family val="3"/>
        <charset val="128"/>
      </rPr>
      <t>王の威厳</t>
    </r>
    <rPh sb="0" eb="1">
      <t>オウ</t>
    </rPh>
    <rPh sb="2" eb="4">
      <t>イゲン</t>
    </rPh>
    <phoneticPr fontId="1"/>
  </si>
  <si>
    <r>
      <rPr>
        <sz val="11"/>
        <color theme="1"/>
        <rFont val="ＭＳ Ｐゴシック"/>
        <family val="3"/>
        <charset val="128"/>
      </rPr>
      <t>未知への一歩</t>
    </r>
    <rPh sb="0" eb="2">
      <t>ミチ</t>
    </rPh>
    <rPh sb="4" eb="6">
      <t>イッポ</t>
    </rPh>
    <phoneticPr fontId="1"/>
  </si>
  <si>
    <r>
      <rPr>
        <sz val="11"/>
        <color theme="1"/>
        <rFont val="ＭＳ Ｐゴシック"/>
        <family val="3"/>
        <charset val="128"/>
      </rPr>
      <t>毒</t>
    </r>
    <rPh sb="0" eb="1">
      <t>ドク</t>
    </rPh>
    <phoneticPr fontId="1"/>
  </si>
  <si>
    <r>
      <rPr>
        <sz val="11"/>
        <color theme="1"/>
        <rFont val="ＭＳ Ｐゴシック"/>
        <family val="3"/>
        <charset val="128"/>
      </rPr>
      <t>手がかかるんだから！</t>
    </r>
    <rPh sb="0" eb="1">
      <t>テ</t>
    </rPh>
    <phoneticPr fontId="1"/>
  </si>
  <si>
    <r>
      <rPr>
        <sz val="11"/>
        <color theme="1"/>
        <rFont val="ＭＳ Ｐゴシック"/>
        <family val="3"/>
        <charset val="128"/>
      </rPr>
      <t>ここは退却しましょう！</t>
    </r>
    <rPh sb="3" eb="5">
      <t>タイキャク</t>
    </rPh>
    <phoneticPr fontId="1"/>
  </si>
  <si>
    <r>
      <rPr>
        <sz val="11"/>
        <color theme="1"/>
        <rFont val="ＭＳ Ｐゴシック"/>
        <family val="3"/>
        <charset val="128"/>
      </rPr>
      <t>背水の陣</t>
    </r>
    <rPh sb="0" eb="2">
      <t>ハイスイ</t>
    </rPh>
    <rPh sb="3" eb="4">
      <t>ジン</t>
    </rPh>
    <phoneticPr fontId="1"/>
  </si>
  <si>
    <r>
      <rPr>
        <sz val="11"/>
        <color theme="1"/>
        <rFont val="ＭＳ Ｐゴシック"/>
        <family val="3"/>
        <charset val="128"/>
      </rPr>
      <t>この身は影となりて</t>
    </r>
    <rPh sb="2" eb="3">
      <t>ミ</t>
    </rPh>
    <rPh sb="4" eb="5">
      <t>カゲ</t>
    </rPh>
    <phoneticPr fontId="1"/>
  </si>
  <si>
    <r>
      <rPr>
        <sz val="11"/>
        <color theme="1"/>
        <rFont val="ＭＳ Ｐゴシック"/>
        <family val="3"/>
        <charset val="128"/>
      </rPr>
      <t>楽しき命懸けの戦</t>
    </r>
    <rPh sb="0" eb="1">
      <t>タノ</t>
    </rPh>
    <phoneticPr fontId="1"/>
  </si>
  <si>
    <r>
      <rPr>
        <sz val="11"/>
        <color theme="1"/>
        <rFont val="ＭＳ Ｐゴシック"/>
        <family val="3"/>
        <charset val="128"/>
      </rPr>
      <t>甲冑師の大望</t>
    </r>
    <rPh sb="0" eb="2">
      <t>カッチュウ</t>
    </rPh>
    <rPh sb="2" eb="3">
      <t>シ</t>
    </rPh>
    <rPh sb="4" eb="6">
      <t>タイボウ</t>
    </rPh>
    <phoneticPr fontId="1"/>
  </si>
  <si>
    <r>
      <rPr>
        <sz val="11"/>
        <color theme="1"/>
        <rFont val="ＭＳ Ｐゴシック"/>
        <family val="3"/>
        <charset val="128"/>
      </rPr>
      <t>研究成果の新魔術</t>
    </r>
    <rPh sb="0" eb="4">
      <t>ケンキュウセイカ</t>
    </rPh>
    <rPh sb="5" eb="6">
      <t>シン</t>
    </rPh>
    <rPh sb="6" eb="8">
      <t>マジュツ</t>
    </rPh>
    <phoneticPr fontId="1"/>
  </si>
  <si>
    <r>
      <rPr>
        <sz val="11"/>
        <color theme="1"/>
        <rFont val="ＭＳ Ｐゴシック"/>
        <family val="3"/>
        <charset val="128"/>
      </rPr>
      <t>鍛冶屋三姉妹の絆</t>
    </r>
    <rPh sb="0" eb="3">
      <t>カジヤ</t>
    </rPh>
    <rPh sb="3" eb="4">
      <t>サン</t>
    </rPh>
    <rPh sb="4" eb="6">
      <t>シマイ</t>
    </rPh>
    <rPh sb="7" eb="8">
      <t>キズナ</t>
    </rPh>
    <phoneticPr fontId="1"/>
  </si>
  <si>
    <r>
      <rPr>
        <sz val="11"/>
        <color theme="1"/>
        <rFont val="ＭＳ Ｐゴシック"/>
        <family val="3"/>
        <charset val="128"/>
      </rPr>
      <t>ダンス・ダンス・バトル！</t>
    </r>
    <phoneticPr fontId="1"/>
  </si>
  <si>
    <r>
      <rPr>
        <sz val="11"/>
        <color theme="1"/>
        <rFont val="ＭＳ Ｐゴシック"/>
        <family val="3"/>
        <charset val="128"/>
      </rPr>
      <t>戦場のふたり</t>
    </r>
    <rPh sb="0" eb="2">
      <t>センジョウ</t>
    </rPh>
    <phoneticPr fontId="1"/>
  </si>
  <si>
    <r>
      <rPr>
        <sz val="11"/>
        <color theme="1"/>
        <rFont val="ＭＳ Ｐゴシック"/>
        <family val="3"/>
        <charset val="128"/>
      </rPr>
      <t>強撃撃破</t>
    </r>
    <rPh sb="0" eb="2">
      <t>キョウゲキ</t>
    </rPh>
    <rPh sb="2" eb="4">
      <t>ゲキハ</t>
    </rPh>
    <phoneticPr fontId="1"/>
  </si>
  <si>
    <r>
      <rPr>
        <sz val="11"/>
        <color theme="1"/>
        <rFont val="ＭＳ Ｐゴシック"/>
        <family val="3"/>
        <charset val="128"/>
      </rPr>
      <t>在りし日の幸せ</t>
    </r>
    <rPh sb="0" eb="1">
      <t>ア</t>
    </rPh>
    <rPh sb="3" eb="4">
      <t>ヒ</t>
    </rPh>
    <rPh sb="5" eb="6">
      <t>シアワ</t>
    </rPh>
    <phoneticPr fontId="1"/>
  </si>
  <si>
    <r>
      <rPr>
        <sz val="11"/>
        <color theme="1"/>
        <rFont val="ＭＳ Ｐゴシック"/>
        <family val="3"/>
        <charset val="128"/>
      </rPr>
      <t>五竜の咆哮：ミドガルズオルム</t>
    </r>
    <rPh sb="0" eb="2">
      <t>ゴリュウ</t>
    </rPh>
    <rPh sb="3" eb="5">
      <t>ホウコウ</t>
    </rPh>
    <phoneticPr fontId="1"/>
  </si>
  <si>
    <r>
      <rPr>
        <sz val="11"/>
        <color theme="1"/>
        <rFont val="ＭＳ Ｐゴシック"/>
        <family val="3"/>
        <charset val="128"/>
      </rPr>
      <t>碧竜</t>
    </r>
    <rPh sb="0" eb="1">
      <t>ヘキ</t>
    </rPh>
    <rPh sb="1" eb="2">
      <t>リュウ</t>
    </rPh>
    <phoneticPr fontId="1"/>
  </si>
  <si>
    <r>
      <rPr>
        <sz val="11"/>
        <color theme="1"/>
        <rFont val="ＭＳ Ｐゴシック"/>
        <family val="3"/>
        <charset val="128"/>
      </rPr>
      <t>五竜の咆哮：マーキュリー</t>
    </r>
    <rPh sb="0" eb="2">
      <t>ゴリュウ</t>
    </rPh>
    <rPh sb="3" eb="5">
      <t>ホウコウ</t>
    </rPh>
    <phoneticPr fontId="1"/>
  </si>
  <si>
    <r>
      <rPr>
        <sz val="11"/>
        <color theme="1"/>
        <rFont val="ＭＳ Ｐゴシック"/>
        <family val="3"/>
        <charset val="128"/>
      </rPr>
      <t>青竜</t>
    </r>
    <rPh sb="0" eb="2">
      <t>セイリュウ</t>
    </rPh>
    <phoneticPr fontId="1"/>
  </si>
  <si>
    <r>
      <rPr>
        <sz val="11"/>
        <color theme="1"/>
        <rFont val="ＭＳ Ｐゴシック"/>
        <family val="3"/>
        <charset val="128"/>
      </rPr>
      <t>五竜の咆哮：ブリュンヒルデ</t>
    </r>
    <rPh sb="0" eb="2">
      <t>ゴリュウ</t>
    </rPh>
    <rPh sb="3" eb="5">
      <t>ホウコウ</t>
    </rPh>
    <phoneticPr fontId="1"/>
  </si>
  <si>
    <r>
      <rPr>
        <sz val="11"/>
        <color theme="1"/>
        <rFont val="ＭＳ Ｐゴシック"/>
        <family val="3"/>
        <charset val="128"/>
      </rPr>
      <t>緋竜</t>
    </r>
    <rPh sb="0" eb="2">
      <t>ヒリュウ</t>
    </rPh>
    <phoneticPr fontId="1"/>
  </si>
  <si>
    <r>
      <rPr>
        <sz val="11"/>
        <color theme="1"/>
        <rFont val="ＭＳ Ｐゴシック"/>
        <family val="3"/>
        <charset val="128"/>
      </rPr>
      <t>五竜の咆哮：ユピテル</t>
    </r>
    <rPh sb="0" eb="2">
      <t>ゴリュウ</t>
    </rPh>
    <rPh sb="3" eb="5">
      <t>ホウコウ</t>
    </rPh>
    <phoneticPr fontId="1"/>
  </si>
  <si>
    <r>
      <rPr>
        <sz val="11"/>
        <color theme="1"/>
        <rFont val="ＭＳ Ｐゴシック"/>
        <family val="3"/>
        <charset val="128"/>
      </rPr>
      <t>輝竜</t>
    </r>
    <rPh sb="0" eb="1">
      <t>キ</t>
    </rPh>
    <rPh sb="1" eb="2">
      <t>リュウ</t>
    </rPh>
    <phoneticPr fontId="1"/>
  </si>
  <si>
    <r>
      <rPr>
        <sz val="11"/>
        <color theme="1"/>
        <rFont val="ＭＳ Ｐゴシック"/>
        <family val="3"/>
        <charset val="128"/>
      </rPr>
      <t>五竜の咆哮：ゾディアーク</t>
    </r>
    <rPh sb="0" eb="2">
      <t>ゴリュウ</t>
    </rPh>
    <rPh sb="3" eb="5">
      <t>ホウコウ</t>
    </rPh>
    <phoneticPr fontId="1"/>
  </si>
  <si>
    <r>
      <rPr>
        <sz val="11"/>
        <color theme="1"/>
        <rFont val="ＭＳ Ｐゴシック"/>
        <family val="3"/>
        <charset val="128"/>
      </rPr>
      <t>闇竜</t>
    </r>
    <rPh sb="0" eb="1">
      <t>ヤミ</t>
    </rPh>
    <rPh sb="1" eb="2">
      <t>リュウ</t>
    </rPh>
    <phoneticPr fontId="1"/>
  </si>
  <si>
    <r>
      <rPr>
        <sz val="11"/>
        <color theme="1"/>
        <rFont val="ＭＳ Ｐゴシック"/>
        <family val="3"/>
        <charset val="128"/>
      </rPr>
      <t>名馬スカービット</t>
    </r>
    <rPh sb="0" eb="2">
      <t>メイバ</t>
    </rPh>
    <phoneticPr fontId="1"/>
  </si>
  <si>
    <r>
      <rPr>
        <sz val="11"/>
        <color theme="1"/>
        <rFont val="ＭＳ Ｐゴシック"/>
        <family val="3"/>
        <charset val="128"/>
      </rPr>
      <t>聖光輪</t>
    </r>
    <rPh sb="0" eb="2">
      <t>セイコウ</t>
    </rPh>
    <rPh sb="2" eb="3">
      <t>リン</t>
    </rPh>
    <phoneticPr fontId="1"/>
  </si>
  <si>
    <r>
      <rPr>
        <sz val="11"/>
        <color theme="1"/>
        <rFont val="ＭＳ Ｐゴシック"/>
        <family val="3"/>
        <charset val="128"/>
      </rPr>
      <t>ティータイム</t>
    </r>
    <phoneticPr fontId="1"/>
  </si>
  <si>
    <r>
      <rPr>
        <sz val="11"/>
        <color theme="1"/>
        <rFont val="ＭＳ Ｐゴシック"/>
        <family val="3"/>
        <charset val="128"/>
      </rPr>
      <t>バラドンナの花</t>
    </r>
    <rPh sb="6" eb="7">
      <t>ハナ</t>
    </rPh>
    <phoneticPr fontId="1"/>
  </si>
  <si>
    <r>
      <rPr>
        <sz val="11"/>
        <color theme="1"/>
        <rFont val="ＭＳ Ｐゴシック"/>
        <family val="3"/>
        <charset val="128"/>
      </rPr>
      <t>アルベリア国旗</t>
    </r>
    <rPh sb="5" eb="7">
      <t>コッキ</t>
    </rPh>
    <phoneticPr fontId="1"/>
  </si>
  <si>
    <r>
      <rPr>
        <sz val="11"/>
        <color theme="1"/>
        <rFont val="ＭＳ Ｐゴシック"/>
        <family val="3"/>
        <charset val="128"/>
      </rPr>
      <t>破天の角笛</t>
    </r>
    <rPh sb="0" eb="1">
      <t>ハ</t>
    </rPh>
    <rPh sb="1" eb="2">
      <t>テン</t>
    </rPh>
    <rPh sb="3" eb="5">
      <t>ツノブエ</t>
    </rPh>
    <phoneticPr fontId="1"/>
  </si>
  <si>
    <r>
      <rPr>
        <sz val="11"/>
        <color theme="1"/>
        <rFont val="ＭＳ Ｐゴシック"/>
        <family val="3"/>
        <charset val="128"/>
      </rPr>
      <t>頂に吼える牙</t>
    </r>
    <rPh sb="0" eb="1">
      <t>イタダキ</t>
    </rPh>
    <rPh sb="2" eb="3">
      <t>ホ</t>
    </rPh>
    <rPh sb="5" eb="6">
      <t>キバ</t>
    </rPh>
    <phoneticPr fontId="1"/>
  </si>
  <si>
    <r>
      <rPr>
        <sz val="11"/>
        <color theme="1"/>
        <rFont val="ＭＳ Ｐゴシック"/>
        <family val="3"/>
        <charset val="128"/>
      </rPr>
      <t>《結社》の仮面</t>
    </r>
    <rPh sb="1" eb="3">
      <t>ケッシャ</t>
    </rPh>
    <rPh sb="5" eb="7">
      <t>カメン</t>
    </rPh>
    <phoneticPr fontId="1"/>
  </si>
  <si>
    <r>
      <rPr>
        <sz val="11"/>
        <color theme="1"/>
        <rFont val="ＭＳ Ｐゴシック"/>
        <family val="3"/>
        <charset val="128"/>
      </rPr>
      <t>暗闇</t>
    </r>
    <rPh sb="0" eb="2">
      <t>クラヤミ</t>
    </rPh>
    <phoneticPr fontId="1"/>
  </si>
  <si>
    <r>
      <rPr>
        <sz val="11"/>
        <color theme="1"/>
        <rFont val="ＭＳ Ｐゴシック"/>
        <family val="3"/>
        <charset val="128"/>
      </rPr>
      <t>遙かなる霊峰</t>
    </r>
    <rPh sb="0" eb="1">
      <t>ハル</t>
    </rPh>
    <rPh sb="4" eb="6">
      <t>レイホウ</t>
    </rPh>
    <phoneticPr fontId="1"/>
  </si>
  <si>
    <r>
      <rPr>
        <sz val="11"/>
        <color theme="1"/>
        <rFont val="ＭＳ Ｐゴシック"/>
        <family val="3"/>
        <charset val="128"/>
      </rPr>
      <t>森と湖の歌声</t>
    </r>
    <rPh sb="0" eb="1">
      <t>モリ</t>
    </rPh>
    <rPh sb="2" eb="3">
      <t>ミズウミ</t>
    </rPh>
    <rPh sb="4" eb="6">
      <t>ウタゴエ</t>
    </rPh>
    <phoneticPr fontId="1"/>
  </si>
  <si>
    <r>
      <rPr>
        <sz val="11"/>
        <color theme="1"/>
        <rFont val="ＭＳ Ｐゴシック"/>
        <family val="3"/>
        <charset val="128"/>
      </rPr>
      <t>ドラゴンの寝床</t>
    </r>
    <rPh sb="5" eb="7">
      <t>ネドコ</t>
    </rPh>
    <phoneticPr fontId="1"/>
  </si>
  <si>
    <r>
      <rPr>
        <sz val="11"/>
        <color theme="1"/>
        <rFont val="ＭＳ Ｐゴシック"/>
        <family val="3"/>
        <charset val="128"/>
      </rPr>
      <t>秘伝の書</t>
    </r>
    <rPh sb="0" eb="2">
      <t>ヒデン</t>
    </rPh>
    <rPh sb="3" eb="4">
      <t>ショ</t>
    </rPh>
    <phoneticPr fontId="1"/>
  </si>
  <si>
    <r>
      <rPr>
        <sz val="11"/>
        <color theme="1"/>
        <rFont val="ＭＳ Ｐゴシック"/>
        <family val="3"/>
        <charset val="128"/>
      </rPr>
      <t>鉄騎兵の盾</t>
    </r>
    <rPh sb="0" eb="2">
      <t>テッキ</t>
    </rPh>
    <rPh sb="2" eb="3">
      <t>ヘイ</t>
    </rPh>
    <rPh sb="4" eb="5">
      <t>タテ</t>
    </rPh>
    <phoneticPr fontId="1"/>
  </si>
  <si>
    <r>
      <rPr>
        <sz val="11"/>
        <color theme="1"/>
        <rFont val="ＭＳ Ｐゴシック"/>
        <family val="3"/>
        <charset val="128"/>
      </rPr>
      <t>セントロータスの風</t>
    </r>
    <rPh sb="8" eb="9">
      <t>カゼ</t>
    </rPh>
    <phoneticPr fontId="1"/>
  </si>
  <si>
    <r>
      <rPr>
        <sz val="11"/>
        <color theme="1"/>
        <rFont val="ＭＳ Ｐゴシック"/>
        <family val="3"/>
        <charset val="128"/>
      </rPr>
      <t>アロマポット</t>
    </r>
    <phoneticPr fontId="1"/>
  </si>
  <si>
    <r>
      <rPr>
        <sz val="11"/>
        <color theme="1"/>
        <rFont val="ＭＳ Ｐゴシック"/>
        <family val="3"/>
        <charset val="128"/>
      </rPr>
      <t>八つ葉のクローバー</t>
    </r>
    <rPh sb="0" eb="1">
      <t>ヤ</t>
    </rPh>
    <rPh sb="2" eb="3">
      <t>バ</t>
    </rPh>
    <phoneticPr fontId="1"/>
  </si>
  <si>
    <r>
      <rPr>
        <sz val="11"/>
        <color theme="1"/>
        <rFont val="ＭＳ Ｐゴシック"/>
        <family val="3"/>
        <charset val="128"/>
      </rPr>
      <t>禁じられた遺物</t>
    </r>
    <rPh sb="0" eb="1">
      <t>キン</t>
    </rPh>
    <rPh sb="5" eb="7">
      <t>イブツ</t>
    </rPh>
    <phoneticPr fontId="1"/>
  </si>
  <si>
    <r>
      <rPr>
        <sz val="11"/>
        <color theme="1"/>
        <rFont val="ＭＳ Ｐゴシック"/>
        <family val="3"/>
        <charset val="128"/>
      </rPr>
      <t>つわものたちの夢の跡</t>
    </r>
    <rPh sb="7" eb="8">
      <t>ユメ</t>
    </rPh>
    <rPh sb="9" eb="10">
      <t>アト</t>
    </rPh>
    <phoneticPr fontId="1"/>
  </si>
  <si>
    <r>
      <rPr>
        <sz val="11"/>
        <color theme="1"/>
        <rFont val="ＭＳ Ｐゴシック"/>
        <family val="3"/>
        <charset val="128"/>
      </rPr>
      <t>獅子奮迅</t>
    </r>
    <rPh sb="0" eb="4">
      <t>シシフンジン</t>
    </rPh>
    <phoneticPr fontId="1"/>
  </si>
  <si>
    <r>
      <rPr>
        <sz val="11"/>
        <color theme="1"/>
        <rFont val="ＭＳ Ｐゴシック"/>
        <family val="3"/>
        <charset val="128"/>
      </rPr>
      <t>『グリモルス・デクス』写本</t>
    </r>
    <rPh sb="11" eb="13">
      <t>シャホン</t>
    </rPh>
    <phoneticPr fontId="1"/>
  </si>
  <si>
    <r>
      <rPr>
        <sz val="11"/>
        <color theme="1"/>
        <rFont val="ＭＳ Ｐゴシック"/>
        <family val="3"/>
        <charset val="128"/>
      </rPr>
      <t>闇夜の通告</t>
    </r>
    <rPh sb="0" eb="2">
      <t>ヤミヨ</t>
    </rPh>
    <rPh sb="3" eb="5">
      <t>ツウコク</t>
    </rPh>
    <phoneticPr fontId="1"/>
  </si>
  <si>
    <r>
      <rPr>
        <sz val="11"/>
        <color theme="1"/>
        <rFont val="ＭＳ Ｐゴシック"/>
        <family val="3"/>
        <charset val="128"/>
      </rPr>
      <t>明日への轍</t>
    </r>
    <rPh sb="0" eb="2">
      <t>アス</t>
    </rPh>
    <rPh sb="4" eb="5">
      <t>ワダチ</t>
    </rPh>
    <phoneticPr fontId="1"/>
  </si>
  <si>
    <r>
      <rPr>
        <sz val="11"/>
        <color theme="1"/>
        <rFont val="ＭＳ Ｐゴシック"/>
        <family val="3"/>
        <charset val="128"/>
      </rPr>
      <t>聖草ポーションハーブ</t>
    </r>
    <rPh sb="0" eb="1">
      <t>セイ</t>
    </rPh>
    <rPh sb="1" eb="2">
      <t>ソウ</t>
    </rPh>
    <phoneticPr fontId="1"/>
  </si>
  <si>
    <r>
      <rPr>
        <sz val="11"/>
        <color theme="1"/>
        <rFont val="ＭＳ Ｐゴシック"/>
        <family val="3"/>
        <charset val="128"/>
      </rPr>
      <t>溶けない氷</t>
    </r>
    <rPh sb="0" eb="1">
      <t>ト</t>
    </rPh>
    <rPh sb="4" eb="5">
      <t>コオリ</t>
    </rPh>
    <phoneticPr fontId="1"/>
  </si>
  <si>
    <r>
      <rPr>
        <sz val="11"/>
        <color theme="1"/>
        <rFont val="ＭＳ Ｐゴシック"/>
        <family val="3"/>
        <charset val="128"/>
      </rPr>
      <t>勇躍の指輪</t>
    </r>
    <rPh sb="0" eb="2">
      <t>ユウヤク</t>
    </rPh>
    <rPh sb="3" eb="5">
      <t>ユビワ</t>
    </rPh>
    <phoneticPr fontId="1"/>
  </si>
  <si>
    <r>
      <rPr>
        <sz val="11"/>
        <color theme="1"/>
        <rFont val="ＭＳ Ｐゴシック"/>
        <family val="3"/>
        <charset val="128"/>
      </rPr>
      <t>シーフードスープ</t>
    </r>
    <phoneticPr fontId="1"/>
  </si>
  <si>
    <r>
      <rPr>
        <sz val="11"/>
        <color theme="1"/>
        <rFont val="ＭＳ Ｐゴシック"/>
        <family val="3"/>
        <charset val="128"/>
      </rPr>
      <t>ドラゴンの秘薬</t>
    </r>
    <rPh sb="5" eb="7">
      <t>ヒヤク</t>
    </rPh>
    <phoneticPr fontId="1"/>
  </si>
  <si>
    <r>
      <rPr>
        <sz val="11"/>
        <color theme="1"/>
        <rFont val="ＭＳ Ｐゴシック"/>
        <family val="3"/>
        <charset val="128"/>
      </rPr>
      <t>マナスポット</t>
    </r>
    <phoneticPr fontId="1"/>
  </si>
  <si>
    <r>
      <rPr>
        <sz val="11"/>
        <color theme="1"/>
        <rFont val="ＭＳ Ｐゴシック"/>
        <family val="3"/>
        <charset val="128"/>
      </rPr>
      <t>古びたハープ</t>
    </r>
    <rPh sb="0" eb="1">
      <t>フル</t>
    </rPh>
    <phoneticPr fontId="1"/>
  </si>
  <si>
    <r>
      <rPr>
        <sz val="11"/>
        <color theme="1"/>
        <rFont val="ＭＳ Ｐゴシック"/>
        <family val="3"/>
        <charset val="128"/>
      </rPr>
      <t>鬼教官のエール</t>
    </r>
    <rPh sb="0" eb="1">
      <t>オニ</t>
    </rPh>
    <rPh sb="1" eb="3">
      <t>キョウカン</t>
    </rPh>
    <phoneticPr fontId="1"/>
  </si>
  <si>
    <r>
      <rPr>
        <sz val="11"/>
        <color theme="1"/>
        <rFont val="ＭＳ Ｐゴシック"/>
        <family val="3"/>
        <charset val="128"/>
      </rPr>
      <t>クリスタリアの少女</t>
    </r>
    <rPh sb="7" eb="9">
      <t>ショウジョ</t>
    </rPh>
    <phoneticPr fontId="1"/>
  </si>
  <si>
    <r>
      <rPr>
        <sz val="11"/>
        <color theme="1"/>
        <rFont val="ＭＳ Ｐゴシック"/>
        <family val="3"/>
        <charset val="128"/>
      </rPr>
      <t>聖騎士の守り</t>
    </r>
    <rPh sb="0" eb="1">
      <t>セイ</t>
    </rPh>
    <rPh sb="1" eb="3">
      <t>キシ</t>
    </rPh>
    <rPh sb="4" eb="5">
      <t>マモ</t>
    </rPh>
    <phoneticPr fontId="1"/>
  </si>
  <si>
    <r>
      <rPr>
        <sz val="11"/>
        <color theme="1"/>
        <rFont val="ＭＳ Ｐゴシック"/>
        <family val="3"/>
        <charset val="128"/>
      </rPr>
      <t>レイド</t>
    </r>
    <phoneticPr fontId="1"/>
  </si>
  <si>
    <r>
      <rPr>
        <sz val="11"/>
        <color theme="1"/>
        <rFont val="ＭＳ Ｐゴシック"/>
        <family val="3"/>
        <charset val="128"/>
      </rPr>
      <t>デンジャラスビューティ</t>
    </r>
    <phoneticPr fontId="1"/>
  </si>
  <si>
    <r>
      <rPr>
        <sz val="11"/>
        <color theme="1"/>
        <rFont val="ＭＳ Ｐゴシック"/>
        <family val="3"/>
        <charset val="128"/>
      </rPr>
      <t>過ぎ去りし日の王冠</t>
    </r>
    <rPh sb="0" eb="1">
      <t>ス</t>
    </rPh>
    <rPh sb="2" eb="3">
      <t>サ</t>
    </rPh>
    <rPh sb="5" eb="6">
      <t>ヒ</t>
    </rPh>
    <rPh sb="7" eb="9">
      <t>オウカン</t>
    </rPh>
    <phoneticPr fontId="1"/>
  </si>
  <si>
    <r>
      <rPr>
        <sz val="11"/>
        <color theme="1"/>
        <rFont val="ＭＳ Ｐゴシック"/>
        <family val="3"/>
        <charset val="128"/>
      </rPr>
      <t>ハロウィン・ウィッチ・クラフト</t>
    </r>
    <phoneticPr fontId="1"/>
  </si>
  <si>
    <r>
      <rPr>
        <sz val="11"/>
        <color theme="1"/>
        <rFont val="ＭＳ Ｐゴシック"/>
        <family val="3"/>
        <charset val="128"/>
      </rPr>
      <t>ポイント</t>
    </r>
    <r>
      <rPr>
        <sz val="11"/>
        <color theme="1"/>
        <rFont val="Times New Roman"/>
        <family val="1"/>
      </rPr>
      <t>+100%</t>
    </r>
    <phoneticPr fontId="1"/>
  </si>
  <si>
    <r>
      <rPr>
        <sz val="11"/>
        <color theme="1"/>
        <rFont val="ＭＳ Ｐゴシック"/>
        <family val="3"/>
        <charset val="128"/>
      </rPr>
      <t>トリック・トリート・トリック</t>
    </r>
    <phoneticPr fontId="1"/>
  </si>
  <si>
    <r>
      <rPr>
        <sz val="11"/>
        <color theme="1"/>
        <rFont val="ＭＳ Ｐゴシック"/>
        <family val="3"/>
        <charset val="128"/>
      </rPr>
      <t>ポイント</t>
    </r>
    <r>
      <rPr>
        <sz val="11"/>
        <color theme="1"/>
        <rFont val="Times New Roman"/>
        <family val="1"/>
      </rPr>
      <t>+100%</t>
    </r>
  </si>
  <si>
    <r>
      <rPr>
        <sz val="11"/>
        <color theme="1"/>
        <rFont val="ＭＳ Ｐゴシック"/>
        <family val="3"/>
        <charset val="128"/>
      </rPr>
      <t>スイーツパイレーツ</t>
    </r>
    <phoneticPr fontId="1"/>
  </si>
  <si>
    <r>
      <rPr>
        <sz val="11"/>
        <color theme="1"/>
        <rFont val="ＭＳ Ｐゴシック"/>
        <family val="3"/>
        <charset val="128"/>
      </rPr>
      <t>素材ポイント</t>
    </r>
    <r>
      <rPr>
        <sz val="11"/>
        <color theme="1"/>
        <rFont val="Times New Roman"/>
        <family val="1"/>
      </rPr>
      <t>+50%</t>
    </r>
    <phoneticPr fontId="1"/>
  </si>
  <si>
    <r>
      <rPr>
        <sz val="11"/>
        <color theme="1"/>
        <rFont val="ＭＳ Ｐゴシック"/>
        <family val="3"/>
        <charset val="128"/>
      </rPr>
      <t>施設</t>
    </r>
    <rPh sb="0" eb="2">
      <t>シセツ</t>
    </rPh>
    <phoneticPr fontId="1"/>
  </si>
  <si>
    <r>
      <rPr>
        <sz val="11"/>
        <color theme="1"/>
        <rFont val="ＭＳ Ｐゴシック"/>
        <family val="3"/>
        <charset val="128"/>
      </rPr>
      <t>シルキーのお手伝い</t>
    </r>
    <rPh sb="6" eb="8">
      <t>テツダ</t>
    </rPh>
    <phoneticPr fontId="1"/>
  </si>
  <si>
    <r>
      <rPr>
        <sz val="11"/>
        <color theme="1"/>
        <rFont val="ＭＳ Ｐゴシック"/>
        <family val="3"/>
        <charset val="128"/>
      </rPr>
      <t>素材</t>
    </r>
    <r>
      <rPr>
        <sz val="11"/>
        <color theme="1"/>
        <rFont val="Times New Roman"/>
        <family val="1"/>
      </rPr>
      <t>+50%</t>
    </r>
    <rPh sb="0" eb="2">
      <t>ソザイ</t>
    </rPh>
    <phoneticPr fontId="1"/>
  </si>
  <si>
    <r>
      <rPr>
        <sz val="11"/>
        <color theme="1"/>
        <rFont val="ＭＳ Ｐゴシック"/>
        <family val="3"/>
        <charset val="128"/>
      </rPr>
      <t>パンプキンボックス</t>
    </r>
    <phoneticPr fontId="1"/>
  </si>
  <si>
    <r>
      <rPr>
        <sz val="11"/>
        <color theme="1"/>
        <rFont val="ＭＳ Ｐゴシック"/>
        <family val="3"/>
        <charset val="128"/>
      </rPr>
      <t>クラウの策略</t>
    </r>
    <rPh sb="4" eb="6">
      <t>サクリャク</t>
    </rPh>
    <phoneticPr fontId="1"/>
  </si>
  <si>
    <r>
      <rPr>
        <sz val="11"/>
        <color theme="1"/>
        <rFont val="ＭＳ Ｐゴシック"/>
        <family val="3"/>
        <charset val="128"/>
      </rPr>
      <t>宝石と剣</t>
    </r>
    <rPh sb="0" eb="2">
      <t>ホウセキ</t>
    </rPh>
    <rPh sb="3" eb="4">
      <t>ケン</t>
    </rPh>
    <phoneticPr fontId="1"/>
  </si>
  <si>
    <r>
      <rPr>
        <sz val="11"/>
        <color theme="1"/>
        <rFont val="ＭＳ Ｐゴシック"/>
        <family val="3"/>
        <charset val="128"/>
      </rPr>
      <t>サムライたちの休息</t>
    </r>
    <rPh sb="7" eb="9">
      <t>キュウソク</t>
    </rPh>
    <phoneticPr fontId="1"/>
  </si>
  <si>
    <r>
      <rPr>
        <sz val="11"/>
        <color theme="1"/>
        <rFont val="ＭＳ Ｐゴシック"/>
        <family val="3"/>
        <charset val="128"/>
      </rPr>
      <t>睡眠</t>
    </r>
    <rPh sb="0" eb="2">
      <t>スイミン</t>
    </rPh>
    <phoneticPr fontId="1"/>
  </si>
  <si>
    <r>
      <rPr>
        <sz val="11"/>
        <color theme="1"/>
        <rFont val="ＭＳ Ｐゴシック"/>
        <family val="3"/>
        <charset val="128"/>
      </rPr>
      <t>鮮烈なコンビネーション</t>
    </r>
    <rPh sb="0" eb="2">
      <t>センレツ</t>
    </rPh>
    <phoneticPr fontId="1"/>
  </si>
  <si>
    <r>
      <rPr>
        <sz val="11"/>
        <color theme="1"/>
        <rFont val="ＭＳ Ｐゴシック"/>
        <family val="3"/>
        <charset val="128"/>
      </rPr>
      <t>お出かけの日のとっておき</t>
    </r>
    <rPh sb="1" eb="2">
      <t>デ</t>
    </rPh>
    <rPh sb="5" eb="6">
      <t>ヒ</t>
    </rPh>
    <phoneticPr fontId="1"/>
  </si>
  <si>
    <r>
      <rPr>
        <sz val="11"/>
        <color theme="1"/>
        <rFont val="ＭＳ Ｐゴシック"/>
        <family val="3"/>
        <charset val="128"/>
      </rPr>
      <t>風のぬくもり</t>
    </r>
    <rPh sb="0" eb="1">
      <t>カゼ</t>
    </rPh>
    <phoneticPr fontId="1"/>
  </si>
  <si>
    <r>
      <rPr>
        <sz val="11"/>
        <color theme="1"/>
        <rFont val="ＭＳ Ｐゴシック"/>
        <family val="3"/>
        <charset val="128"/>
      </rPr>
      <t>ポイント</t>
    </r>
    <r>
      <rPr>
        <sz val="11"/>
        <color theme="1"/>
        <rFont val="Times New Roman"/>
        <family val="1"/>
      </rPr>
      <t>+150%</t>
    </r>
    <phoneticPr fontId="1"/>
  </si>
  <si>
    <r>
      <rPr>
        <sz val="11"/>
        <color theme="1"/>
        <rFont val="ＭＳ Ｐゴシック"/>
        <family val="3"/>
        <charset val="128"/>
      </rPr>
      <t>美しき烈風</t>
    </r>
    <rPh sb="0" eb="1">
      <t>ウツク</t>
    </rPh>
    <rPh sb="3" eb="5">
      <t>レップウ</t>
    </rPh>
    <phoneticPr fontId="1"/>
  </si>
  <si>
    <r>
      <rPr>
        <sz val="11"/>
        <color theme="1"/>
        <rFont val="ＭＳ Ｐゴシック"/>
        <family val="3"/>
        <charset val="128"/>
      </rPr>
      <t>ルイーゼの趣味</t>
    </r>
    <rPh sb="5" eb="7">
      <t>シュミ</t>
    </rPh>
    <phoneticPr fontId="1"/>
  </si>
  <si>
    <r>
      <rPr>
        <sz val="11"/>
        <color theme="1"/>
        <rFont val="ＭＳ Ｐゴシック"/>
        <family val="3"/>
        <charset val="128"/>
      </rPr>
      <t>見慣れぬ目線</t>
    </r>
    <rPh sb="0" eb="2">
      <t>ミナ</t>
    </rPh>
    <rPh sb="4" eb="6">
      <t>メセン</t>
    </rPh>
    <phoneticPr fontId="1"/>
  </si>
  <si>
    <r>
      <rPr>
        <sz val="11"/>
        <color theme="1"/>
        <rFont val="ＭＳ Ｐゴシック"/>
        <family val="3"/>
        <charset val="128"/>
      </rPr>
      <t>素材</t>
    </r>
    <r>
      <rPr>
        <sz val="11"/>
        <color theme="1"/>
        <rFont val="Times New Roman"/>
        <family val="1"/>
      </rPr>
      <t>+75%</t>
    </r>
    <rPh sb="0" eb="2">
      <t>ソザイ</t>
    </rPh>
    <phoneticPr fontId="1"/>
  </si>
  <si>
    <r>
      <rPr>
        <sz val="11"/>
        <color theme="1"/>
        <rFont val="ＭＳ Ｐゴシック"/>
        <family val="3"/>
        <charset val="128"/>
      </rPr>
      <t>ガルーダの羽</t>
    </r>
    <rPh sb="5" eb="6">
      <t>ハネ</t>
    </rPh>
    <phoneticPr fontId="1"/>
  </si>
  <si>
    <r>
      <rPr>
        <sz val="11"/>
        <color theme="1"/>
        <rFont val="ＭＳ Ｐゴシック"/>
        <family val="3"/>
        <charset val="128"/>
      </rPr>
      <t>響き渡る歌声</t>
    </r>
    <rPh sb="0" eb="1">
      <t>ヒビ</t>
    </rPh>
    <rPh sb="2" eb="3">
      <t>ワタ</t>
    </rPh>
    <rPh sb="4" eb="6">
      <t>ウタゴエ</t>
    </rPh>
    <phoneticPr fontId="1"/>
  </si>
  <si>
    <r>
      <rPr>
        <sz val="11"/>
        <color theme="1"/>
        <rFont val="ＭＳ Ｐゴシック"/>
        <family val="3"/>
        <charset val="128"/>
      </rPr>
      <t>聖職者の休日</t>
    </r>
    <rPh sb="0" eb="3">
      <t>セイショクシャ</t>
    </rPh>
    <rPh sb="4" eb="6">
      <t>キュウジツ</t>
    </rPh>
    <phoneticPr fontId="1"/>
  </si>
  <si>
    <r>
      <rPr>
        <sz val="11"/>
        <color theme="1"/>
        <rFont val="ＭＳ Ｐゴシック"/>
        <family val="3"/>
        <charset val="128"/>
      </rPr>
      <t>ある日の陽だまり</t>
    </r>
    <rPh sb="2" eb="3">
      <t>ヒ</t>
    </rPh>
    <rPh sb="4" eb="5">
      <t>ヒ</t>
    </rPh>
    <phoneticPr fontId="1"/>
  </si>
  <si>
    <r>
      <rPr>
        <sz val="11"/>
        <color theme="1"/>
        <rFont val="ＭＳ Ｐゴシック"/>
        <family val="3"/>
        <charset val="128"/>
      </rPr>
      <t>雪降る街で</t>
    </r>
    <rPh sb="0" eb="1">
      <t>ユキ</t>
    </rPh>
    <rPh sb="1" eb="2">
      <t>フ</t>
    </rPh>
    <rPh sb="3" eb="4">
      <t>マチ</t>
    </rPh>
    <phoneticPr fontId="1"/>
  </si>
  <si>
    <r>
      <rPr>
        <sz val="11"/>
        <color theme="1"/>
        <rFont val="ＭＳ Ｐゴシック"/>
        <family val="3"/>
        <charset val="128"/>
      </rPr>
      <t>Ⅲ</t>
    </r>
    <phoneticPr fontId="1"/>
  </si>
  <si>
    <r>
      <rPr>
        <sz val="11"/>
        <color theme="1"/>
        <rFont val="ＭＳ Ｐゴシック"/>
        <family val="3"/>
        <charset val="128"/>
      </rPr>
      <t>ないしょの友達</t>
    </r>
    <rPh sb="5" eb="7">
      <t>トモダチ</t>
    </rPh>
    <phoneticPr fontId="1"/>
  </si>
  <si>
    <r>
      <rPr>
        <sz val="11"/>
        <color theme="1"/>
        <rFont val="ＭＳ Ｐゴシック"/>
        <family val="3"/>
        <charset val="128"/>
      </rPr>
      <t>ヴォルカニッククイーン</t>
    </r>
    <phoneticPr fontId="1"/>
  </si>
  <si>
    <r>
      <rPr>
        <sz val="11"/>
        <color theme="1"/>
        <rFont val="ＭＳ Ｐゴシック"/>
        <family val="3"/>
        <charset val="128"/>
      </rPr>
      <t>星竜樹に願いを</t>
    </r>
    <rPh sb="0" eb="1">
      <t>セイ</t>
    </rPh>
    <rPh sb="1" eb="2">
      <t>リュウ</t>
    </rPh>
    <rPh sb="2" eb="3">
      <t>ジュ</t>
    </rPh>
    <rPh sb="4" eb="5">
      <t>ネガ</t>
    </rPh>
    <phoneticPr fontId="1"/>
  </si>
  <si>
    <r>
      <rPr>
        <sz val="11"/>
        <color theme="1"/>
        <rFont val="ＭＳ Ｐゴシック"/>
        <family val="3"/>
        <charset val="128"/>
      </rPr>
      <t>星竜祭の王子様</t>
    </r>
    <rPh sb="0" eb="3">
      <t>セイリュウサイ</t>
    </rPh>
    <rPh sb="4" eb="7">
      <t>オウジサマ</t>
    </rPh>
    <phoneticPr fontId="1"/>
  </si>
  <si>
    <r>
      <rPr>
        <sz val="11"/>
        <color theme="1"/>
        <rFont val="ＭＳ Ｐゴシック"/>
        <family val="3"/>
        <charset val="128"/>
      </rPr>
      <t>星竜祭のスペシャルケーキ</t>
    </r>
    <rPh sb="0" eb="2">
      <t>セイリュウ</t>
    </rPh>
    <rPh sb="2" eb="3">
      <t>サイ</t>
    </rPh>
    <phoneticPr fontId="1"/>
  </si>
  <si>
    <r>
      <rPr>
        <sz val="11"/>
        <color theme="1"/>
        <rFont val="ＭＳ Ｐゴシック"/>
        <family val="3"/>
        <charset val="128"/>
      </rPr>
      <t>あなたへのプレゼント</t>
    </r>
    <phoneticPr fontId="1"/>
  </si>
  <si>
    <r>
      <rPr>
        <sz val="11"/>
        <color theme="1"/>
        <rFont val="ＭＳ Ｐゴシック"/>
        <family val="3"/>
        <charset val="128"/>
      </rPr>
      <t>配布：星竜祭</t>
    </r>
    <rPh sb="0" eb="2">
      <t>ハイフ</t>
    </rPh>
    <rPh sb="3" eb="6">
      <t>セイリュウサイ</t>
    </rPh>
    <phoneticPr fontId="1"/>
  </si>
  <si>
    <r>
      <rPr>
        <sz val="11"/>
        <color theme="1"/>
        <rFont val="ＭＳ Ｐゴシック"/>
        <family val="3"/>
        <charset val="128"/>
      </rPr>
      <t>子供たちの星竜祭</t>
    </r>
    <rPh sb="0" eb="2">
      <t>コドモ</t>
    </rPh>
    <rPh sb="5" eb="8">
      <t>セイリュウサイ</t>
    </rPh>
    <phoneticPr fontId="1"/>
  </si>
  <si>
    <r>
      <rPr>
        <sz val="11"/>
        <color theme="1"/>
        <rFont val="ＭＳ Ｐゴシック"/>
        <family val="3"/>
        <charset val="128"/>
      </rPr>
      <t>星降る夜の晩餐</t>
    </r>
    <rPh sb="0" eb="1">
      <t>ホシ</t>
    </rPh>
    <rPh sb="1" eb="2">
      <t>フ</t>
    </rPh>
    <rPh sb="3" eb="4">
      <t>ヨル</t>
    </rPh>
    <rPh sb="5" eb="7">
      <t>バンサン</t>
    </rPh>
    <phoneticPr fontId="1"/>
  </si>
  <si>
    <r>
      <rPr>
        <sz val="11"/>
        <color theme="1"/>
        <rFont val="ＭＳ Ｐゴシック"/>
        <family val="3"/>
        <charset val="128"/>
      </rPr>
      <t>謹賀新年</t>
    </r>
    <rPh sb="0" eb="2">
      <t>キンガ</t>
    </rPh>
    <rPh sb="2" eb="4">
      <t>シンネン</t>
    </rPh>
    <phoneticPr fontId="1"/>
  </si>
  <si>
    <r>
      <rPr>
        <sz val="11"/>
        <color theme="1"/>
        <rFont val="ＭＳ Ｐゴシック"/>
        <family val="3"/>
        <charset val="128"/>
      </rPr>
      <t>限定：お正月</t>
    </r>
    <rPh sb="0" eb="2">
      <t>ゲンテイ</t>
    </rPh>
    <rPh sb="4" eb="6">
      <t>ショウガツ</t>
    </rPh>
    <phoneticPr fontId="1"/>
  </si>
  <si>
    <r>
      <rPr>
        <sz val="11"/>
        <color theme="1"/>
        <rFont val="ＭＳ Ｐゴシック"/>
        <family val="3"/>
        <charset val="128"/>
      </rPr>
      <t>ヒノモトよりの使者</t>
    </r>
    <rPh sb="7" eb="9">
      <t>シシャ</t>
    </rPh>
    <phoneticPr fontId="1"/>
  </si>
  <si>
    <r>
      <rPr>
        <sz val="11"/>
        <color theme="1"/>
        <rFont val="ＭＳ Ｐゴシック"/>
        <family val="3"/>
        <charset val="128"/>
      </rPr>
      <t>羽子板勝負！</t>
    </r>
    <rPh sb="0" eb="3">
      <t>ハゴイタ</t>
    </rPh>
    <rPh sb="3" eb="5">
      <t>ショウブ</t>
    </rPh>
    <phoneticPr fontId="1"/>
  </si>
  <si>
    <r>
      <rPr>
        <sz val="11"/>
        <color theme="1"/>
        <rFont val="ＭＳ Ｐゴシック"/>
        <family val="3"/>
        <charset val="128"/>
      </rPr>
      <t>新年最初の運試し</t>
    </r>
    <rPh sb="0" eb="2">
      <t>シンネン</t>
    </rPh>
    <rPh sb="2" eb="4">
      <t>サイショ</t>
    </rPh>
    <rPh sb="5" eb="7">
      <t>ウンダメ</t>
    </rPh>
    <phoneticPr fontId="1"/>
  </si>
  <si>
    <r>
      <rPr>
        <sz val="11"/>
        <color theme="1"/>
        <rFont val="ＭＳ Ｐゴシック"/>
        <family val="3"/>
        <charset val="128"/>
      </rPr>
      <t>ヴィオ・ライジエ・アルベリア！</t>
    </r>
    <phoneticPr fontId="1"/>
  </si>
  <si>
    <r>
      <rPr>
        <sz val="11"/>
        <color theme="1"/>
        <rFont val="ＭＳ Ｐゴシック"/>
        <family val="3"/>
        <charset val="128"/>
      </rPr>
      <t>ドラゴンサーカス</t>
    </r>
    <phoneticPr fontId="1"/>
  </si>
  <si>
    <r>
      <rPr>
        <sz val="11"/>
        <color theme="1"/>
        <rFont val="ＭＳ Ｐゴシック"/>
        <family val="3"/>
        <charset val="128"/>
      </rPr>
      <t>槍</t>
    </r>
    <rPh sb="0" eb="1">
      <t>ヤリ</t>
    </rPh>
    <phoneticPr fontId="1"/>
  </si>
  <si>
    <r>
      <rPr>
        <sz val="11"/>
        <color theme="1"/>
        <rFont val="ＭＳ Ｐゴシック"/>
        <family val="3"/>
        <charset val="128"/>
      </rPr>
      <t>ベストパフォーマンス</t>
    </r>
    <phoneticPr fontId="1"/>
  </si>
  <si>
    <r>
      <rPr>
        <sz val="11"/>
        <color theme="1"/>
        <rFont val="ＭＳ Ｐゴシック"/>
        <family val="3"/>
        <charset val="128"/>
      </rPr>
      <t>ワンダフルトリック</t>
    </r>
    <phoneticPr fontId="1"/>
  </si>
  <si>
    <r>
      <rPr>
        <sz val="11"/>
        <color theme="1"/>
        <rFont val="ＭＳ Ｐゴシック"/>
        <family val="3"/>
        <charset val="128"/>
      </rPr>
      <t>地道な活動</t>
    </r>
    <rPh sb="0" eb="2">
      <t>ジミチ</t>
    </rPh>
    <rPh sb="3" eb="5">
      <t>カツドウ</t>
    </rPh>
    <phoneticPr fontId="1"/>
  </si>
  <si>
    <r>
      <rPr>
        <sz val="11"/>
        <color theme="1"/>
        <rFont val="ＭＳ Ｐゴシック"/>
        <family val="3"/>
        <charset val="128"/>
      </rPr>
      <t>輝ける場所</t>
    </r>
    <rPh sb="0" eb="1">
      <t>カガヤ</t>
    </rPh>
    <rPh sb="3" eb="5">
      <t>バショ</t>
    </rPh>
    <phoneticPr fontId="1"/>
  </si>
  <si>
    <r>
      <rPr>
        <sz val="11"/>
        <color theme="1"/>
        <rFont val="ＭＳ Ｐゴシック"/>
        <family val="3"/>
        <charset val="128"/>
      </rPr>
      <t>戦旗の乙女</t>
    </r>
    <rPh sb="0" eb="2">
      <t>センキ</t>
    </rPh>
    <rPh sb="3" eb="5">
      <t>オトメ</t>
    </rPh>
    <phoneticPr fontId="1"/>
  </si>
  <si>
    <r>
      <rPr>
        <sz val="11"/>
        <color theme="1"/>
        <rFont val="ＭＳ Ｐゴシック"/>
        <family val="3"/>
        <charset val="128"/>
      </rPr>
      <t>功夫の道</t>
    </r>
    <rPh sb="0" eb="1">
      <t>コウ</t>
    </rPh>
    <rPh sb="1" eb="2">
      <t>フ</t>
    </rPh>
    <rPh sb="3" eb="4">
      <t>ミチ</t>
    </rPh>
    <phoneticPr fontId="1"/>
  </si>
  <si>
    <r>
      <rPr>
        <sz val="11"/>
        <color theme="1"/>
        <rFont val="ＭＳ Ｐゴシック"/>
        <family val="3"/>
        <charset val="128"/>
      </rPr>
      <t>斧</t>
    </r>
    <rPh sb="0" eb="1">
      <t>オノ</t>
    </rPh>
    <phoneticPr fontId="1"/>
  </si>
  <si>
    <r>
      <rPr>
        <sz val="11"/>
        <color theme="1"/>
        <rFont val="ＭＳ Ｐゴシック"/>
        <family val="3"/>
        <charset val="128"/>
      </rPr>
      <t>春節のお祭り</t>
    </r>
    <rPh sb="0" eb="2">
      <t>シュンセツ</t>
    </rPh>
    <rPh sb="4" eb="5">
      <t>マツ</t>
    </rPh>
    <phoneticPr fontId="1"/>
  </si>
  <si>
    <r>
      <rPr>
        <sz val="11"/>
        <color theme="1"/>
        <rFont val="ＭＳ Ｐゴシック"/>
        <family val="3"/>
        <charset val="128"/>
      </rPr>
      <t>ドラゴンダンス</t>
    </r>
    <phoneticPr fontId="1"/>
  </si>
  <si>
    <r>
      <rPr>
        <sz val="11"/>
        <color theme="1"/>
        <rFont val="ＭＳ Ｐゴシック"/>
        <family val="3"/>
        <charset val="128"/>
      </rPr>
      <t>仙花焔</t>
    </r>
    <rPh sb="0" eb="1">
      <t>セン</t>
    </rPh>
    <rPh sb="1" eb="2">
      <t>カ</t>
    </rPh>
    <rPh sb="2" eb="3">
      <t>エン</t>
    </rPh>
    <phoneticPr fontId="1"/>
  </si>
  <si>
    <r>
      <rPr>
        <sz val="11"/>
        <color theme="1"/>
        <rFont val="ＭＳ Ｐゴシック"/>
        <family val="3"/>
        <charset val="128"/>
      </rPr>
      <t>チョコレート・レッスン</t>
    </r>
    <phoneticPr fontId="1"/>
  </si>
  <si>
    <r>
      <rPr>
        <sz val="11"/>
        <color theme="1"/>
        <rFont val="ＭＳ Ｐゴシック"/>
        <family val="3"/>
        <charset val="128"/>
      </rPr>
      <t>薔薇の貴公子</t>
    </r>
  </si>
  <si>
    <r>
      <rPr>
        <sz val="11"/>
        <color theme="1"/>
        <rFont val="ＭＳ Ｐゴシック"/>
        <family val="3"/>
        <charset val="128"/>
      </rPr>
      <t>ローズフェアリー</t>
    </r>
    <phoneticPr fontId="1"/>
  </si>
  <si>
    <r>
      <rPr>
        <sz val="11"/>
        <color theme="1"/>
        <rFont val="ＭＳ Ｐゴシック"/>
        <family val="3"/>
        <charset val="128"/>
      </rPr>
      <t>開幕</t>
    </r>
    <rPh sb="0" eb="2">
      <t>カイマク</t>
    </rPh>
    <phoneticPr fontId="1"/>
  </si>
  <si>
    <r>
      <rPr>
        <sz val="11"/>
        <color theme="1"/>
        <rFont val="ＭＳ Ｐゴシック"/>
        <family val="3"/>
        <charset val="128"/>
      </rPr>
      <t>Ⅴ</t>
    </r>
    <phoneticPr fontId="1"/>
  </si>
  <si>
    <r>
      <rPr>
        <sz val="11"/>
        <color theme="1"/>
        <rFont val="ＭＳ Ｐゴシック"/>
        <family val="3"/>
        <charset val="128"/>
      </rPr>
      <t>配布：バレンタイン</t>
    </r>
    <rPh sb="0" eb="2">
      <t>ハイフ</t>
    </rPh>
    <phoneticPr fontId="1"/>
  </si>
  <si>
    <r>
      <rPr>
        <sz val="11"/>
        <color theme="1"/>
        <rFont val="ＭＳ Ｐゴシック"/>
        <family val="3"/>
        <charset val="128"/>
      </rPr>
      <t>ラッピングフィール</t>
    </r>
    <phoneticPr fontId="1"/>
  </si>
  <si>
    <r>
      <rPr>
        <sz val="11"/>
        <color theme="1"/>
        <rFont val="ＭＳ Ｐゴシック"/>
        <family val="3"/>
        <charset val="128"/>
      </rPr>
      <t>漢のバレンタイン</t>
    </r>
    <rPh sb="0" eb="1">
      <t>カン</t>
    </rPh>
    <phoneticPr fontId="1"/>
  </si>
  <si>
    <r>
      <rPr>
        <sz val="11"/>
        <color theme="1"/>
        <rFont val="ＭＳ Ｐゴシック"/>
        <family val="3"/>
        <charset val="128"/>
      </rPr>
      <t>トキメキ★デートスタイル</t>
    </r>
    <phoneticPr fontId="1"/>
  </si>
  <si>
    <r>
      <rPr>
        <sz val="11"/>
        <color theme="1"/>
        <rFont val="ＭＳ Ｐゴシック"/>
        <family val="3"/>
        <charset val="128"/>
      </rPr>
      <t>エレガントエスコート</t>
    </r>
    <phoneticPr fontId="1"/>
  </si>
  <si>
    <r>
      <rPr>
        <sz val="11"/>
        <color theme="1"/>
        <rFont val="ＭＳ Ｐゴシック"/>
        <family val="3"/>
        <charset val="128"/>
      </rPr>
      <t>ギヴ・ミー・ユアハンド</t>
    </r>
    <phoneticPr fontId="1"/>
  </si>
  <si>
    <r>
      <rPr>
        <sz val="11"/>
        <color theme="1"/>
        <rFont val="ＭＳ Ｐゴシック"/>
        <family val="3"/>
        <charset val="128"/>
      </rPr>
      <t>オネストモーメント</t>
    </r>
    <phoneticPr fontId="1"/>
  </si>
  <si>
    <r>
      <rPr>
        <sz val="11"/>
        <color theme="1"/>
        <rFont val="ＭＳ Ｐゴシック"/>
        <family val="3"/>
        <charset val="128"/>
      </rPr>
      <t>炎の饗宴</t>
    </r>
    <rPh sb="0" eb="1">
      <t>ホノオ</t>
    </rPh>
    <rPh sb="2" eb="4">
      <t>キョウエン</t>
    </rPh>
    <phoneticPr fontId="1"/>
  </si>
  <si>
    <r>
      <rPr>
        <sz val="11"/>
        <color theme="1"/>
        <rFont val="ＭＳ Ｐゴシック"/>
        <family val="3"/>
        <charset val="128"/>
      </rPr>
      <t>竜化中</t>
    </r>
    <rPh sb="0" eb="2">
      <t>リュウカ</t>
    </rPh>
    <rPh sb="2" eb="3">
      <t>チュウ</t>
    </rPh>
    <phoneticPr fontId="1"/>
  </si>
  <si>
    <r>
      <rPr>
        <sz val="11"/>
        <color theme="1"/>
        <rFont val="ＭＳ Ｐゴシック"/>
        <family val="3"/>
        <charset val="128"/>
      </rPr>
      <t>最愛の人へ</t>
    </r>
    <rPh sb="0" eb="2">
      <t>サイアイ</t>
    </rPh>
    <rPh sb="3" eb="4">
      <t>ヒト</t>
    </rPh>
    <phoneticPr fontId="1"/>
  </si>
  <si>
    <r>
      <rPr>
        <sz val="11"/>
        <color theme="1"/>
        <rFont val="ＭＳ Ｐゴシック"/>
        <family val="3"/>
        <charset val="128"/>
      </rPr>
      <t>シャイニング・オーバーロード</t>
    </r>
    <phoneticPr fontId="1"/>
  </si>
  <si>
    <r>
      <rPr>
        <sz val="11"/>
        <color theme="1"/>
        <rFont val="ＭＳ Ｐゴシック"/>
        <family val="3"/>
        <charset val="128"/>
      </rPr>
      <t>剣</t>
    </r>
    <rPh sb="0" eb="1">
      <t>ケン</t>
    </rPh>
    <phoneticPr fontId="1"/>
  </si>
  <si>
    <r>
      <rPr>
        <sz val="11"/>
        <color theme="1"/>
        <rFont val="ＭＳ Ｐゴシック"/>
        <family val="3"/>
        <charset val="128"/>
      </rPr>
      <t>竜の恩寵</t>
    </r>
    <rPh sb="0" eb="1">
      <t>リュウ</t>
    </rPh>
    <rPh sb="2" eb="4">
      <t>オンチョウ</t>
    </rPh>
    <phoneticPr fontId="1"/>
  </si>
  <si>
    <r>
      <rPr>
        <sz val="11"/>
        <color theme="1"/>
        <rFont val="ＭＳ Ｐゴシック"/>
        <family val="3"/>
        <charset val="128"/>
      </rPr>
      <t>闇の光条</t>
    </r>
    <rPh sb="0" eb="1">
      <t>ヤミ</t>
    </rPh>
    <rPh sb="2" eb="4">
      <t>コウジョウ</t>
    </rPh>
    <phoneticPr fontId="1"/>
  </si>
  <si>
    <r>
      <rPr>
        <sz val="11"/>
        <color theme="1"/>
        <rFont val="ＭＳ Ｐゴシック"/>
        <family val="3"/>
        <charset val="128"/>
      </rPr>
      <t>旅のエスコート</t>
    </r>
    <rPh sb="0" eb="1">
      <t>タビ</t>
    </rPh>
    <phoneticPr fontId="1"/>
  </si>
  <si>
    <r>
      <rPr>
        <sz val="11"/>
        <color theme="1"/>
        <rFont val="ＭＳ Ｐゴシック"/>
        <family val="3"/>
        <charset val="128"/>
      </rPr>
      <t>可憐な舞姫</t>
    </r>
    <rPh sb="0" eb="2">
      <t>カレン</t>
    </rPh>
    <rPh sb="3" eb="5">
      <t>マイヒメ</t>
    </rPh>
    <phoneticPr fontId="1"/>
  </si>
  <si>
    <r>
      <rPr>
        <sz val="11"/>
        <color theme="1"/>
        <rFont val="ＭＳ Ｐゴシック"/>
        <family val="3"/>
        <charset val="128"/>
      </rPr>
      <t>ダビアの湿地帯</t>
    </r>
    <rPh sb="4" eb="7">
      <t>シッチタイ</t>
    </rPh>
    <phoneticPr fontId="1"/>
  </si>
  <si>
    <r>
      <rPr>
        <sz val="11"/>
        <color theme="1"/>
        <rFont val="ＭＳ Ｐゴシック"/>
        <family val="3"/>
        <charset val="128"/>
      </rPr>
      <t>儚げな少女</t>
    </r>
    <rPh sb="0" eb="1">
      <t>ハカナ</t>
    </rPh>
    <rPh sb="3" eb="5">
      <t>ショウジョ</t>
    </rPh>
    <phoneticPr fontId="1"/>
  </si>
  <si>
    <r>
      <rPr>
        <sz val="11"/>
        <color theme="1"/>
        <rFont val="ＭＳ Ｐゴシック"/>
        <family val="3"/>
        <charset val="128"/>
      </rPr>
      <t>Ⅳ</t>
    </r>
    <phoneticPr fontId="1"/>
  </si>
  <si>
    <r>
      <rPr>
        <sz val="11"/>
        <color theme="1"/>
        <rFont val="ＭＳ Ｐゴシック"/>
        <family val="3"/>
        <charset val="128"/>
      </rPr>
      <t>読書は苦手？</t>
    </r>
    <rPh sb="0" eb="2">
      <t>ドクショ</t>
    </rPh>
    <rPh sb="3" eb="5">
      <t>ニガテ</t>
    </rPh>
    <phoneticPr fontId="1"/>
  </si>
  <si>
    <r>
      <rPr>
        <sz val="11"/>
        <color theme="1"/>
        <rFont val="ＭＳ Ｐゴシック"/>
        <family val="3"/>
        <charset val="128"/>
      </rPr>
      <t>極上のおもてなし</t>
    </r>
    <rPh sb="0" eb="2">
      <t>ゴクジョウ</t>
    </rPh>
    <phoneticPr fontId="1"/>
  </si>
  <si>
    <r>
      <rPr>
        <sz val="11"/>
        <color theme="1"/>
        <rFont val="ＭＳ Ｐゴシック"/>
        <family val="3"/>
        <charset val="128"/>
      </rPr>
      <t>異端の研究室</t>
    </r>
    <rPh sb="0" eb="2">
      <t>イタン</t>
    </rPh>
    <rPh sb="3" eb="6">
      <t>ケンキュウシツ</t>
    </rPh>
    <phoneticPr fontId="1"/>
  </si>
  <si>
    <r>
      <rPr>
        <sz val="11"/>
        <color theme="1"/>
        <rFont val="ＭＳ Ｐゴシック"/>
        <family val="3"/>
        <charset val="128"/>
      </rPr>
      <t>森が紡ぐ絆</t>
    </r>
    <rPh sb="0" eb="1">
      <t>モリ</t>
    </rPh>
    <rPh sb="2" eb="3">
      <t>ツム</t>
    </rPh>
    <rPh sb="4" eb="5">
      <t>キズナ</t>
    </rPh>
    <phoneticPr fontId="1"/>
  </si>
  <si>
    <r>
      <rPr>
        <sz val="11"/>
        <color theme="1"/>
        <rFont val="ＭＳ Ｐゴシック"/>
        <family val="3"/>
        <charset val="128"/>
      </rPr>
      <t>弓</t>
    </r>
    <rPh sb="0" eb="1">
      <t>ユミ</t>
    </rPh>
    <phoneticPr fontId="1"/>
  </si>
  <si>
    <r>
      <rPr>
        <sz val="11"/>
        <color theme="1"/>
        <rFont val="ＭＳ Ｐゴシック"/>
        <family val="3"/>
        <charset val="128"/>
      </rPr>
      <t>強撃</t>
    </r>
    <rPh sb="0" eb="2">
      <t>キョウゲキ</t>
    </rPh>
    <phoneticPr fontId="1"/>
  </si>
  <si>
    <r>
      <rPr>
        <sz val="11"/>
        <color theme="1"/>
        <rFont val="ＭＳ Ｐゴシック"/>
        <family val="3"/>
        <charset val="128"/>
      </rPr>
      <t>母の愛</t>
    </r>
    <rPh sb="0" eb="1">
      <t>ハハ</t>
    </rPh>
    <rPh sb="2" eb="3">
      <t>アイ</t>
    </rPh>
    <phoneticPr fontId="1"/>
  </si>
  <si>
    <r>
      <rPr>
        <sz val="11"/>
        <color theme="1"/>
        <rFont val="ＭＳ Ｐゴシック"/>
        <family val="3"/>
        <charset val="128"/>
      </rPr>
      <t>エッグに描く夢</t>
    </r>
    <rPh sb="4" eb="5">
      <t>エガ</t>
    </rPh>
    <rPh sb="6" eb="7">
      <t>ユメ</t>
    </rPh>
    <phoneticPr fontId="1"/>
  </si>
  <si>
    <r>
      <rPr>
        <sz val="11"/>
        <color theme="1"/>
        <rFont val="ＭＳ Ｐゴシック"/>
        <family val="3"/>
        <charset val="128"/>
      </rPr>
      <t>タイニー・ドラゴンパピエ</t>
    </r>
    <phoneticPr fontId="1"/>
  </si>
  <si>
    <r>
      <rPr>
        <sz val="11"/>
        <color theme="1"/>
        <rFont val="ＭＳ Ｐゴシック"/>
        <family val="3"/>
        <charset val="128"/>
      </rPr>
      <t>蒼海の女王</t>
    </r>
    <rPh sb="0" eb="2">
      <t>ソウカイ</t>
    </rPh>
    <rPh sb="3" eb="5">
      <t>ジョオウ</t>
    </rPh>
    <phoneticPr fontId="1"/>
  </si>
  <si>
    <r>
      <rPr>
        <sz val="11"/>
        <color theme="1"/>
        <rFont val="ＭＳ Ｐゴシック"/>
        <family val="3"/>
        <charset val="128"/>
      </rPr>
      <t>英雄，来たれり</t>
    </r>
    <rPh sb="0" eb="2">
      <t>エイユウ</t>
    </rPh>
    <rPh sb="3" eb="4">
      <t>キ</t>
    </rPh>
    <phoneticPr fontId="1"/>
  </si>
  <si>
    <r>
      <rPr>
        <sz val="11"/>
        <color theme="1"/>
        <rFont val="ＭＳ Ｐゴシック"/>
        <family val="3"/>
        <charset val="128"/>
      </rPr>
      <t>ポイント</t>
    </r>
    <r>
      <rPr>
        <sz val="11"/>
        <color theme="1"/>
        <rFont val="Times New Roman"/>
        <family val="1"/>
      </rPr>
      <t>+60%</t>
    </r>
    <phoneticPr fontId="1"/>
  </si>
  <si>
    <r>
      <rPr>
        <sz val="11"/>
        <color theme="1"/>
        <rFont val="ＭＳ Ｐゴシック"/>
        <family val="3"/>
        <charset val="128"/>
      </rPr>
      <t>限定：</t>
    </r>
    <r>
      <rPr>
        <sz val="11"/>
        <color theme="1"/>
        <rFont val="Times New Roman"/>
        <family val="1"/>
      </rPr>
      <t>FEH</t>
    </r>
    <rPh sb="0" eb="2">
      <t>ゲンテイ</t>
    </rPh>
    <phoneticPr fontId="1"/>
  </si>
  <si>
    <r>
      <rPr>
        <sz val="11"/>
        <color theme="1"/>
        <rFont val="ＭＳ Ｐゴシック"/>
        <family val="3"/>
        <charset val="128"/>
      </rPr>
      <t>つかの間のやすらぎ</t>
    </r>
    <rPh sb="3" eb="4">
      <t>マ</t>
    </rPh>
    <phoneticPr fontId="1"/>
  </si>
  <si>
    <r>
      <rPr>
        <sz val="11"/>
        <color theme="1"/>
        <rFont val="ＭＳ Ｐゴシック"/>
        <family val="3"/>
        <charset val="128"/>
      </rPr>
      <t>ポイント</t>
    </r>
    <r>
      <rPr>
        <sz val="11"/>
        <color theme="1"/>
        <rFont val="Times New Roman"/>
        <family val="1"/>
      </rPr>
      <t>+40%</t>
    </r>
    <phoneticPr fontId="1"/>
  </si>
  <si>
    <r>
      <rPr>
        <sz val="11"/>
        <color theme="1"/>
        <rFont val="ＭＳ Ｐゴシック"/>
        <family val="3"/>
        <charset val="128"/>
      </rPr>
      <t>特務機関の伝書ふくろう</t>
    </r>
    <rPh sb="0" eb="2">
      <t>トクム</t>
    </rPh>
    <rPh sb="2" eb="4">
      <t>キカン</t>
    </rPh>
    <rPh sb="5" eb="7">
      <t>デンショ</t>
    </rPh>
    <phoneticPr fontId="1"/>
  </si>
  <si>
    <r>
      <rPr>
        <sz val="11"/>
        <color theme="1"/>
        <rFont val="ＭＳ Ｐゴシック"/>
        <family val="3"/>
        <charset val="128"/>
      </rPr>
      <t>ポイント</t>
    </r>
    <r>
      <rPr>
        <sz val="11"/>
        <color theme="1"/>
        <rFont val="Times New Roman"/>
        <family val="1"/>
      </rPr>
      <t>+20%</t>
    </r>
    <phoneticPr fontId="1"/>
  </si>
  <si>
    <r>
      <rPr>
        <sz val="11"/>
        <color theme="1"/>
        <rFont val="ＭＳ Ｐゴシック"/>
        <family val="3"/>
        <charset val="128"/>
      </rPr>
      <t>時空を越える友情</t>
    </r>
    <rPh sb="0" eb="2">
      <t>ジクウ</t>
    </rPh>
    <rPh sb="3" eb="4">
      <t>コ</t>
    </rPh>
    <rPh sb="6" eb="8">
      <t>ユウジョウ</t>
    </rPh>
    <phoneticPr fontId="1"/>
  </si>
  <si>
    <r>
      <rPr>
        <sz val="11"/>
        <color theme="1"/>
        <rFont val="ＭＳ Ｐゴシック"/>
        <family val="3"/>
        <charset val="128"/>
      </rPr>
      <t>配布：</t>
    </r>
    <r>
      <rPr>
        <sz val="11"/>
        <color theme="1"/>
        <rFont val="Times New Roman"/>
        <family val="1"/>
      </rPr>
      <t>FEH</t>
    </r>
    <rPh sb="0" eb="2">
      <t>ハイフ</t>
    </rPh>
    <phoneticPr fontId="1"/>
  </si>
  <si>
    <r>
      <rPr>
        <sz val="11"/>
        <color theme="1"/>
        <rFont val="ＭＳ Ｐゴシック"/>
        <family val="3"/>
        <charset val="128"/>
      </rPr>
      <t>真実の探求者</t>
    </r>
    <rPh sb="0" eb="2">
      <t>シンジツ</t>
    </rPh>
    <rPh sb="3" eb="6">
      <t>タンキュウシャ</t>
    </rPh>
    <phoneticPr fontId="1"/>
  </si>
  <si>
    <r>
      <rPr>
        <sz val="11"/>
        <color theme="1"/>
        <rFont val="ＭＳ Ｐゴシック"/>
        <family val="3"/>
        <charset val="128"/>
      </rPr>
      <t>悠久の時を経て</t>
    </r>
    <rPh sb="0" eb="2">
      <t>ユウキュウ</t>
    </rPh>
    <rPh sb="3" eb="4">
      <t>トキ</t>
    </rPh>
    <rPh sb="5" eb="6">
      <t>ヘ</t>
    </rPh>
    <phoneticPr fontId="1"/>
  </si>
  <si>
    <r>
      <rPr>
        <sz val="11"/>
        <color theme="1"/>
        <rFont val="ＭＳ Ｐゴシック"/>
        <family val="3"/>
        <charset val="128"/>
      </rPr>
      <t>強い男になるために</t>
    </r>
    <rPh sb="0" eb="1">
      <t>ツヨ</t>
    </rPh>
    <rPh sb="2" eb="3">
      <t>オトコ</t>
    </rPh>
    <phoneticPr fontId="1"/>
  </si>
  <si>
    <r>
      <rPr>
        <sz val="11"/>
        <color theme="1"/>
        <rFont val="ＭＳ Ｐゴシック"/>
        <family val="3"/>
        <charset val="128"/>
      </rPr>
      <t>夢に見た学校生活♪</t>
    </r>
    <rPh sb="0" eb="1">
      <t>ユメ</t>
    </rPh>
    <rPh sb="2" eb="3">
      <t>ミ</t>
    </rPh>
    <rPh sb="4" eb="8">
      <t>ガッコウセイカツ</t>
    </rPh>
    <phoneticPr fontId="1"/>
  </si>
  <si>
    <r>
      <rPr>
        <sz val="11"/>
        <color theme="1"/>
        <rFont val="ＭＳ Ｐゴシック"/>
        <family val="3"/>
        <charset val="128"/>
      </rPr>
      <t>美の秘訣</t>
    </r>
    <rPh sb="0" eb="1">
      <t>ビ</t>
    </rPh>
    <rPh sb="2" eb="4">
      <t>ヒケツ</t>
    </rPh>
    <phoneticPr fontId="1"/>
  </si>
  <si>
    <r>
      <rPr>
        <sz val="11"/>
        <color theme="1"/>
        <rFont val="ＭＳ Ｐゴシック"/>
        <family val="3"/>
        <charset val="128"/>
      </rPr>
      <t>師匠の一喝</t>
    </r>
    <rPh sb="0" eb="2">
      <t>シショウ</t>
    </rPh>
    <rPh sb="3" eb="5">
      <t>イッカツ</t>
    </rPh>
    <phoneticPr fontId="1"/>
  </si>
  <si>
    <r>
      <rPr>
        <sz val="11"/>
        <color theme="1"/>
        <rFont val="ＭＳ Ｐゴシック"/>
        <family val="3"/>
        <charset val="128"/>
      </rPr>
      <t>花嫁はドラゴン</t>
    </r>
    <rPh sb="0" eb="2">
      <t>ハナヨメ</t>
    </rPh>
    <phoneticPr fontId="1"/>
  </si>
  <si>
    <r>
      <rPr>
        <sz val="11"/>
        <color theme="1"/>
        <rFont val="ＭＳ Ｐゴシック"/>
        <family val="3"/>
        <charset val="128"/>
      </rPr>
      <t>聖城の花婿たち</t>
    </r>
    <rPh sb="0" eb="2">
      <t>セイジョウ</t>
    </rPh>
    <rPh sb="3" eb="5">
      <t>ハナムコ</t>
    </rPh>
    <phoneticPr fontId="1"/>
  </si>
  <si>
    <r>
      <rPr>
        <sz val="11"/>
        <color theme="1"/>
        <rFont val="ＭＳ Ｐゴシック"/>
        <family val="3"/>
        <charset val="128"/>
      </rPr>
      <t>Ⅰ</t>
    </r>
    <phoneticPr fontId="1"/>
  </si>
  <si>
    <r>
      <rPr>
        <sz val="11"/>
        <color theme="1"/>
        <rFont val="ＭＳ Ｐゴシック"/>
        <family val="3"/>
        <charset val="128"/>
      </rPr>
      <t>やる気</t>
    </r>
    <rPh sb="2" eb="3">
      <t>キ</t>
    </rPh>
    <phoneticPr fontId="1"/>
  </si>
  <si>
    <r>
      <rPr>
        <sz val="11"/>
        <color theme="1"/>
        <rFont val="ＭＳ Ｐゴシック"/>
        <family val="3"/>
        <charset val="128"/>
      </rPr>
      <t>忘れられない夏</t>
    </r>
    <rPh sb="0" eb="1">
      <t>ワス</t>
    </rPh>
    <rPh sb="6" eb="7">
      <t>ナツ</t>
    </rPh>
    <phoneticPr fontId="1"/>
  </si>
  <si>
    <r>
      <rPr>
        <sz val="11"/>
        <color theme="1"/>
        <rFont val="ＭＳ Ｐゴシック"/>
        <family val="3"/>
        <charset val="128"/>
      </rPr>
      <t>太鼓を打ち鳴らせ！</t>
    </r>
    <rPh sb="0" eb="2">
      <t>タイコ</t>
    </rPh>
    <rPh sb="3" eb="4">
      <t>ウ</t>
    </rPh>
    <rPh sb="5" eb="6">
      <t>ナ</t>
    </rPh>
    <phoneticPr fontId="1"/>
  </si>
  <si>
    <r>
      <rPr>
        <sz val="11"/>
        <color theme="1"/>
        <rFont val="ＭＳ Ｐゴシック"/>
        <family val="3"/>
        <charset val="128"/>
      </rPr>
      <t>ヒット</t>
    </r>
    <phoneticPr fontId="1"/>
  </si>
  <si>
    <r>
      <rPr>
        <sz val="11"/>
        <color theme="1"/>
        <rFont val="ＭＳ Ｐゴシック"/>
        <family val="3"/>
        <charset val="128"/>
      </rPr>
      <t>三姉妹の日常</t>
    </r>
    <rPh sb="0" eb="1">
      <t>サン</t>
    </rPh>
    <rPh sb="1" eb="3">
      <t>シマイ</t>
    </rPh>
    <rPh sb="4" eb="6">
      <t>ニチジョウ</t>
    </rPh>
    <phoneticPr fontId="1"/>
  </si>
  <si>
    <r>
      <rPr>
        <sz val="11"/>
        <color theme="1"/>
        <rFont val="ＭＳ Ｐゴシック"/>
        <family val="3"/>
        <charset val="128"/>
      </rPr>
      <t>ドラゴンの鍛冶屋さん</t>
    </r>
    <rPh sb="5" eb="8">
      <t>カジヤ</t>
    </rPh>
    <phoneticPr fontId="1"/>
  </si>
  <si>
    <r>
      <rPr>
        <sz val="11"/>
        <color theme="1"/>
        <rFont val="ＭＳ Ｐゴシック"/>
        <family val="3"/>
        <charset val="128"/>
      </rPr>
      <t>アルクトスの猛特訓！</t>
    </r>
    <rPh sb="6" eb="9">
      <t>モウトックン</t>
    </rPh>
    <phoneticPr fontId="1"/>
  </si>
  <si>
    <r>
      <rPr>
        <sz val="11"/>
        <color theme="1"/>
        <rFont val="ＭＳ Ｐゴシック"/>
        <family val="3"/>
        <charset val="128"/>
      </rPr>
      <t>万雷の王</t>
    </r>
    <rPh sb="0" eb="2">
      <t>バンライ</t>
    </rPh>
    <rPh sb="3" eb="4">
      <t>オウ</t>
    </rPh>
    <phoneticPr fontId="1"/>
  </si>
  <si>
    <r>
      <rPr>
        <sz val="11"/>
        <color theme="1"/>
        <rFont val="ＭＳ Ｐゴシック"/>
        <family val="3"/>
        <charset val="128"/>
      </rPr>
      <t>真夏の聖騎士</t>
    </r>
    <rPh sb="0" eb="2">
      <t>マナツ</t>
    </rPh>
    <rPh sb="3" eb="6">
      <t>セイキシ</t>
    </rPh>
    <phoneticPr fontId="1"/>
  </si>
  <si>
    <r>
      <rPr>
        <sz val="11"/>
        <color theme="1"/>
        <rFont val="ＭＳ Ｐゴシック"/>
        <family val="3"/>
        <charset val="128"/>
      </rPr>
      <t>渚のビーチフラッグ</t>
    </r>
    <rPh sb="0" eb="1">
      <t>ナギサ</t>
    </rPh>
    <phoneticPr fontId="1"/>
  </si>
  <si>
    <r>
      <rPr>
        <sz val="11"/>
        <color theme="1"/>
        <rFont val="ＭＳ Ｐゴシック"/>
        <family val="3"/>
        <charset val="128"/>
      </rPr>
      <t>説教師のバカンス</t>
    </r>
    <rPh sb="0" eb="3">
      <t>セッキョウシ</t>
    </rPh>
    <phoneticPr fontId="1"/>
  </si>
  <si>
    <r>
      <rPr>
        <sz val="11"/>
        <color theme="1"/>
        <rFont val="ＭＳ Ｐゴシック"/>
        <family val="3"/>
        <charset val="128"/>
      </rPr>
      <t>シーサイド・プリンセス</t>
    </r>
    <phoneticPr fontId="1"/>
  </si>
  <si>
    <r>
      <rPr>
        <sz val="11"/>
        <color theme="1"/>
        <rFont val="ＭＳ Ｐゴシック"/>
        <family val="3"/>
        <charset val="128"/>
      </rPr>
      <t>波乗り兄妹</t>
    </r>
    <rPh sb="0" eb="2">
      <t>ナミノ</t>
    </rPh>
    <rPh sb="3" eb="5">
      <t>キョウダイ</t>
    </rPh>
    <phoneticPr fontId="1"/>
  </si>
  <si>
    <r>
      <rPr>
        <sz val="11"/>
        <color theme="1"/>
        <rFont val="ＭＳ Ｐゴシック"/>
        <family val="3"/>
        <charset val="128"/>
      </rPr>
      <t>海の家のにぎわい</t>
    </r>
    <rPh sb="0" eb="1">
      <t>ウミ</t>
    </rPh>
    <rPh sb="2" eb="3">
      <t>イエ</t>
    </rPh>
    <phoneticPr fontId="1"/>
  </si>
  <si>
    <r>
      <rPr>
        <sz val="11"/>
        <color theme="1"/>
        <rFont val="ＭＳ Ｐゴシック"/>
        <family val="3"/>
        <charset val="128"/>
      </rPr>
      <t>ふたりの絆</t>
    </r>
    <rPh sb="4" eb="5">
      <t>キズナ</t>
    </rPh>
    <phoneticPr fontId="1"/>
  </si>
  <si>
    <r>
      <rPr>
        <sz val="11"/>
        <color theme="1"/>
        <rFont val="ＭＳ Ｐゴシック"/>
        <family val="3"/>
        <charset val="128"/>
      </rPr>
      <t>短剣</t>
    </r>
    <rPh sb="0" eb="2">
      <t>タンケン</t>
    </rPh>
    <phoneticPr fontId="1"/>
  </si>
  <si>
    <r>
      <rPr>
        <sz val="11"/>
        <color theme="1"/>
        <rFont val="ＭＳ Ｐゴシック"/>
        <family val="3"/>
        <charset val="128"/>
      </rPr>
      <t>吹き荒れる暴風</t>
    </r>
    <rPh sb="0" eb="1">
      <t>フ</t>
    </rPh>
    <rPh sb="2" eb="3">
      <t>ア</t>
    </rPh>
    <rPh sb="5" eb="7">
      <t>ボウフウ</t>
    </rPh>
    <phoneticPr fontId="1"/>
  </si>
  <si>
    <r>
      <rPr>
        <sz val="11"/>
        <color theme="1"/>
        <rFont val="ＭＳ Ｐゴシック"/>
        <family val="3"/>
        <charset val="128"/>
      </rPr>
      <t>我ら，キャッスル応援団！</t>
    </r>
    <rPh sb="0" eb="1">
      <t>ワレ</t>
    </rPh>
    <rPh sb="8" eb="11">
      <t>オウエンダン</t>
    </rPh>
    <phoneticPr fontId="1"/>
  </si>
  <si>
    <r>
      <rPr>
        <sz val="11"/>
        <color theme="1"/>
        <rFont val="ＭＳ Ｐゴシック"/>
        <family val="3"/>
        <charset val="128"/>
      </rPr>
      <t>幽美なる虚無</t>
    </r>
    <rPh sb="0" eb="1">
      <t>ユウ</t>
    </rPh>
    <rPh sb="1" eb="2">
      <t>ビ</t>
    </rPh>
    <rPh sb="4" eb="6">
      <t>キョム</t>
    </rPh>
    <phoneticPr fontId="1"/>
  </si>
  <si>
    <r>
      <rPr>
        <sz val="11"/>
        <color theme="1"/>
        <rFont val="ＭＳ Ｐゴシック"/>
        <family val="3"/>
        <charset val="128"/>
      </rPr>
      <t>ダークネスルーラー</t>
    </r>
    <phoneticPr fontId="1"/>
  </si>
  <si>
    <r>
      <rPr>
        <sz val="11"/>
        <color theme="1"/>
        <rFont val="ＭＳ Ｐゴシック"/>
        <family val="3"/>
        <charset val="128"/>
      </rPr>
      <t>理想のもとに集いし者たち</t>
    </r>
    <rPh sb="0" eb="2">
      <t>リソウ</t>
    </rPh>
    <rPh sb="6" eb="7">
      <t>ツド</t>
    </rPh>
    <rPh sb="9" eb="10">
      <t>モノ</t>
    </rPh>
    <phoneticPr fontId="1"/>
  </si>
  <si>
    <r>
      <rPr>
        <sz val="11"/>
        <color theme="1"/>
        <rFont val="ＭＳ Ｐゴシック"/>
        <family val="3"/>
        <charset val="128"/>
      </rPr>
      <t>配布：クロノス</t>
    </r>
    <rPh sb="0" eb="2">
      <t>ハイフ</t>
    </rPh>
    <phoneticPr fontId="1"/>
  </si>
  <si>
    <r>
      <rPr>
        <sz val="11"/>
        <color theme="1"/>
        <rFont val="ＭＳ Ｐゴシック"/>
        <family val="3"/>
        <charset val="128"/>
      </rPr>
      <t>一致団結</t>
    </r>
    <rPh sb="0" eb="4">
      <t>イッチダンケツ</t>
    </rPh>
    <phoneticPr fontId="1"/>
  </si>
  <si>
    <r>
      <rPr>
        <sz val="11"/>
        <color theme="1"/>
        <rFont val="ＭＳ Ｐゴシック"/>
        <family val="3"/>
        <charset val="128"/>
      </rPr>
      <t>妖艶なる宮廷魔術師</t>
    </r>
    <rPh sb="0" eb="2">
      <t>ヨウエン</t>
    </rPh>
    <rPh sb="4" eb="6">
      <t>キュウテイ</t>
    </rPh>
    <rPh sb="6" eb="9">
      <t>マジュツシ</t>
    </rPh>
    <phoneticPr fontId="1"/>
  </si>
  <si>
    <r>
      <rPr>
        <sz val="11"/>
        <color theme="1"/>
        <rFont val="ＭＳ Ｐゴシック"/>
        <family val="3"/>
        <charset val="128"/>
      </rPr>
      <t>エンドレスワルツ</t>
    </r>
    <phoneticPr fontId="1"/>
  </si>
  <si>
    <r>
      <rPr>
        <sz val="11"/>
        <color theme="1"/>
        <rFont val="ＭＳ Ｐゴシック"/>
        <family val="3"/>
        <charset val="128"/>
      </rPr>
      <t>古の盟約</t>
    </r>
    <rPh sb="0" eb="1">
      <t>イニシエ</t>
    </rPh>
    <rPh sb="2" eb="4">
      <t>メイヤク</t>
    </rPh>
    <phoneticPr fontId="1"/>
  </si>
  <si>
    <r>
      <rPr>
        <sz val="11"/>
        <color theme="1"/>
        <rFont val="ＭＳ Ｐゴシック"/>
        <family val="3"/>
        <charset val="128"/>
      </rPr>
      <t>白燕騎士団のデコボココンビ</t>
    </r>
    <rPh sb="0" eb="2">
      <t>シロツバメ</t>
    </rPh>
    <rPh sb="2" eb="5">
      <t>キシダン</t>
    </rPh>
    <phoneticPr fontId="1"/>
  </si>
  <si>
    <r>
      <rPr>
        <sz val="11"/>
        <color theme="1"/>
        <rFont val="ＭＳ Ｐゴシック"/>
        <family val="3"/>
        <charset val="128"/>
      </rPr>
      <t>トゥインクルナイトウィッチーズ</t>
    </r>
    <phoneticPr fontId="1"/>
  </si>
  <si>
    <r>
      <rPr>
        <sz val="11"/>
        <color theme="1"/>
        <rFont val="ＭＳ Ｐゴシック"/>
        <family val="3"/>
        <charset val="128"/>
      </rPr>
      <t>ロッド</t>
    </r>
    <phoneticPr fontId="1"/>
  </si>
  <si>
    <r>
      <rPr>
        <sz val="11"/>
        <color theme="1"/>
        <rFont val="ＭＳ Ｐゴシック"/>
        <family val="3"/>
        <charset val="128"/>
      </rPr>
      <t>マスカレード・オペラ</t>
    </r>
    <phoneticPr fontId="1"/>
  </si>
  <si>
    <r>
      <rPr>
        <sz val="11"/>
        <color theme="1"/>
        <rFont val="ＭＳ Ｐゴシック"/>
        <family val="3"/>
        <charset val="128"/>
      </rPr>
      <t>『遙かなる主』へ</t>
    </r>
    <rPh sb="1" eb="2">
      <t>ハル</t>
    </rPh>
    <rPh sb="5" eb="6">
      <t>アルジ</t>
    </rPh>
    <phoneticPr fontId="1"/>
  </si>
  <si>
    <r>
      <rPr>
        <sz val="11"/>
        <color theme="1"/>
        <rFont val="ＭＳ Ｐゴシック"/>
        <family val="3"/>
        <charset val="128"/>
      </rPr>
      <t>彼方より来たりて</t>
    </r>
    <rPh sb="0" eb="2">
      <t>カナタ</t>
    </rPh>
    <rPh sb="4" eb="5">
      <t>キ</t>
    </rPh>
    <phoneticPr fontId="1"/>
  </si>
  <si>
    <r>
      <rPr>
        <sz val="11"/>
        <color theme="1"/>
        <rFont val="ＭＳ Ｐゴシック"/>
        <family val="3"/>
        <charset val="128"/>
      </rPr>
      <t>あたしだけのリュカきゅん☆☆☆</t>
    </r>
    <phoneticPr fontId="1"/>
  </si>
  <si>
    <r>
      <rPr>
        <sz val="11"/>
        <color theme="1"/>
        <rFont val="ＭＳ Ｐゴシック"/>
        <family val="3"/>
        <charset val="128"/>
      </rPr>
      <t>起死回生</t>
    </r>
    <rPh sb="0" eb="4">
      <t>キシカイセイ</t>
    </rPh>
    <phoneticPr fontId="1"/>
  </si>
  <si>
    <r>
      <rPr>
        <sz val="11"/>
        <color theme="1"/>
        <rFont val="ＭＳ Ｐゴシック"/>
        <family val="3"/>
        <charset val="128"/>
      </rPr>
      <t>おらぁ！チャリオッツで来たぜぇ！</t>
    </r>
    <rPh sb="11" eb="12">
      <t>キ</t>
    </rPh>
    <phoneticPr fontId="1"/>
  </si>
  <si>
    <r>
      <t>Dr.</t>
    </r>
    <r>
      <rPr>
        <sz val="11"/>
        <color theme="1"/>
        <rFont val="ＭＳ Ｐゴシック"/>
        <family val="3"/>
        <charset val="128"/>
      </rPr>
      <t>ワイリーの刺客たち・</t>
    </r>
    <r>
      <rPr>
        <sz val="11"/>
        <color theme="1"/>
        <rFont val="Times New Roman"/>
        <family val="1"/>
      </rPr>
      <t>B&amp;W</t>
    </r>
    <rPh sb="8" eb="10">
      <t>シカク</t>
    </rPh>
    <phoneticPr fontId="1"/>
  </si>
  <si>
    <r>
      <rPr>
        <sz val="11"/>
        <color theme="1"/>
        <rFont val="ＭＳ Ｐゴシック"/>
        <family val="3"/>
        <charset val="128"/>
      </rPr>
      <t>ボス特効</t>
    </r>
    <r>
      <rPr>
        <sz val="11"/>
        <color theme="1"/>
        <rFont val="Times New Roman"/>
        <family val="1"/>
      </rPr>
      <t>+60%</t>
    </r>
    <rPh sb="2" eb="4">
      <t>トッコウ</t>
    </rPh>
    <phoneticPr fontId="1"/>
  </si>
  <si>
    <r>
      <rPr>
        <sz val="11"/>
        <color theme="1"/>
        <rFont val="ＭＳ Ｐゴシック"/>
        <family val="3"/>
        <charset val="128"/>
      </rPr>
      <t>限定：ロックマン</t>
    </r>
    <rPh sb="0" eb="2">
      <t>ゲンテイ</t>
    </rPh>
    <phoneticPr fontId="1"/>
  </si>
  <si>
    <r>
      <t>Dr.</t>
    </r>
    <r>
      <rPr>
        <sz val="11"/>
        <color theme="1"/>
        <rFont val="ＭＳ Ｐゴシック"/>
        <family val="3"/>
        <charset val="128"/>
      </rPr>
      <t>ワイリーの刺客たち・</t>
    </r>
    <r>
      <rPr>
        <sz val="11"/>
        <color theme="1"/>
        <rFont val="Times New Roman"/>
        <family val="1"/>
      </rPr>
      <t>A&amp;C</t>
    </r>
    <rPh sb="8" eb="10">
      <t>シカク</t>
    </rPh>
    <phoneticPr fontId="1"/>
  </si>
  <si>
    <r>
      <t>Dr.</t>
    </r>
    <r>
      <rPr>
        <sz val="11"/>
        <color theme="1"/>
        <rFont val="ＭＳ Ｐゴシック"/>
        <family val="3"/>
        <charset val="128"/>
      </rPr>
      <t>ワイリーの刺客たち・</t>
    </r>
    <r>
      <rPr>
        <sz val="11"/>
        <color theme="1"/>
        <rFont val="Times New Roman"/>
        <family val="1"/>
      </rPr>
      <t>M&amp;Q</t>
    </r>
    <rPh sb="8" eb="10">
      <t>シカク</t>
    </rPh>
    <phoneticPr fontId="1"/>
  </si>
  <si>
    <r>
      <t>Dr.</t>
    </r>
    <r>
      <rPr>
        <sz val="11"/>
        <color theme="1"/>
        <rFont val="ＭＳ Ｐゴシック"/>
        <family val="3"/>
        <charset val="128"/>
      </rPr>
      <t>ワイリーの刺客たち・</t>
    </r>
    <r>
      <rPr>
        <sz val="11"/>
        <color theme="1"/>
        <rFont val="Times New Roman"/>
        <family val="1"/>
      </rPr>
      <t>F&amp;H</t>
    </r>
    <rPh sb="8" eb="10">
      <t>シカク</t>
    </rPh>
    <phoneticPr fontId="1"/>
  </si>
  <si>
    <r>
      <rPr>
        <sz val="11"/>
        <color theme="1"/>
        <rFont val="ＭＳ Ｐゴシック"/>
        <family val="3"/>
        <charset val="128"/>
      </rPr>
      <t>ロックンロールトリップ</t>
    </r>
    <phoneticPr fontId="1"/>
  </si>
  <si>
    <r>
      <rPr>
        <sz val="11"/>
        <color theme="1"/>
        <rFont val="ＭＳ Ｐゴシック"/>
        <family val="3"/>
        <charset val="128"/>
      </rPr>
      <t>配布：ロックマン</t>
    </r>
    <rPh sb="0" eb="2">
      <t>ハイフ</t>
    </rPh>
    <phoneticPr fontId="1"/>
  </si>
  <si>
    <r>
      <rPr>
        <sz val="11"/>
        <color theme="1"/>
        <rFont val="ＭＳ Ｐゴシック"/>
        <family val="3"/>
        <charset val="128"/>
      </rPr>
      <t>共鳴する勇気</t>
    </r>
    <rPh sb="0" eb="2">
      <t>キョウメイ</t>
    </rPh>
    <rPh sb="4" eb="6">
      <t>ユウキ</t>
    </rPh>
    <phoneticPr fontId="1"/>
  </si>
  <si>
    <r>
      <rPr>
        <sz val="11"/>
        <color theme="1"/>
        <rFont val="ＭＳ Ｐゴシック"/>
        <family val="3"/>
        <charset val="128"/>
      </rPr>
      <t>天に吠ゆる夜狼</t>
    </r>
    <rPh sb="0" eb="1">
      <t>テン</t>
    </rPh>
    <rPh sb="2" eb="3">
      <t>ホ</t>
    </rPh>
    <rPh sb="5" eb="6">
      <t>ヤ</t>
    </rPh>
    <rPh sb="6" eb="7">
      <t>ロウ</t>
    </rPh>
    <phoneticPr fontId="1"/>
  </si>
  <si>
    <r>
      <rPr>
        <sz val="11"/>
        <color theme="1"/>
        <rFont val="ＭＳ Ｐゴシック"/>
        <family val="3"/>
        <charset val="128"/>
      </rPr>
      <t>もふもふわんだーらんど</t>
    </r>
    <phoneticPr fontId="1"/>
  </si>
  <si>
    <r>
      <rPr>
        <sz val="11"/>
        <color theme="1"/>
        <rFont val="ＭＳ Ｐゴシック"/>
        <family val="3"/>
        <charset val="128"/>
      </rPr>
      <t>プレゼント・フォーユー</t>
    </r>
    <phoneticPr fontId="1"/>
  </si>
  <si>
    <r>
      <rPr>
        <sz val="11"/>
        <color theme="1"/>
        <rFont val="ＭＳ Ｐゴシック"/>
        <family val="3"/>
        <charset val="128"/>
      </rPr>
      <t>キラメキ☆スパークルナイト</t>
    </r>
    <phoneticPr fontId="1"/>
  </si>
  <si>
    <r>
      <rPr>
        <sz val="11"/>
        <color theme="1"/>
        <rFont val="ＭＳ Ｐゴシック"/>
        <family val="3"/>
        <charset val="128"/>
      </rPr>
      <t>十二竜氏がふたり，参る！</t>
    </r>
    <rPh sb="0" eb="2">
      <t>ジュウニ</t>
    </rPh>
    <rPh sb="2" eb="4">
      <t>リュウシ</t>
    </rPh>
    <rPh sb="9" eb="10">
      <t>マイ</t>
    </rPh>
    <phoneticPr fontId="1"/>
  </si>
  <si>
    <r>
      <rPr>
        <sz val="11"/>
        <color theme="1"/>
        <rFont val="ＭＳ Ｐゴシック"/>
        <family val="3"/>
        <charset val="128"/>
      </rPr>
      <t>新しい年のはじまり</t>
    </r>
    <rPh sb="0" eb="1">
      <t>アタラ</t>
    </rPh>
    <rPh sb="3" eb="4">
      <t>トシ</t>
    </rPh>
    <phoneticPr fontId="1"/>
  </si>
  <si>
    <r>
      <rPr>
        <sz val="11"/>
        <color theme="1"/>
        <rFont val="ＭＳ Ｐゴシック"/>
        <family val="3"/>
        <charset val="128"/>
      </rPr>
      <t>猫猪戯画</t>
    </r>
    <rPh sb="0" eb="1">
      <t>ネコ</t>
    </rPh>
    <rPh sb="1" eb="2">
      <t>イノシシ</t>
    </rPh>
    <rPh sb="2" eb="4">
      <t>ギガ</t>
    </rPh>
    <phoneticPr fontId="1"/>
  </si>
  <si>
    <r>
      <rPr>
        <sz val="11"/>
        <color theme="1"/>
        <rFont val="ＭＳ Ｐゴシック"/>
        <family val="3"/>
        <charset val="128"/>
      </rPr>
      <t>過日のメモリア</t>
    </r>
    <rPh sb="0" eb="2">
      <t>カジツ</t>
    </rPh>
    <phoneticPr fontId="1"/>
  </si>
  <si>
    <r>
      <rPr>
        <sz val="11"/>
        <color theme="1"/>
        <rFont val="ＭＳ Ｐゴシック"/>
        <family val="3"/>
        <charset val="128"/>
      </rPr>
      <t>病ヲもたらスもの</t>
    </r>
    <rPh sb="0" eb="1">
      <t>ヤマイ</t>
    </rPh>
    <phoneticPr fontId="1"/>
  </si>
  <si>
    <r>
      <rPr>
        <sz val="11"/>
        <color theme="1"/>
        <rFont val="ＭＳ Ｐゴシック"/>
        <family val="3"/>
        <charset val="128"/>
      </rPr>
      <t>開春はなやぐ空の華</t>
    </r>
    <rPh sb="0" eb="1">
      <t>カイ</t>
    </rPh>
    <rPh sb="1" eb="2">
      <t>シュン</t>
    </rPh>
    <rPh sb="6" eb="7">
      <t>ソラ</t>
    </rPh>
    <rPh sb="8" eb="9">
      <t>ハナ</t>
    </rPh>
    <phoneticPr fontId="1"/>
  </si>
  <si>
    <r>
      <rPr>
        <sz val="11"/>
        <color theme="1"/>
        <rFont val="ＭＳ Ｐゴシック"/>
        <family val="3"/>
        <charset val="128"/>
      </rPr>
      <t>配布</t>
    </r>
    <rPh sb="0" eb="2">
      <t>ハイフ</t>
    </rPh>
    <phoneticPr fontId="1"/>
  </si>
  <si>
    <r>
      <rPr>
        <sz val="11"/>
        <color theme="1"/>
        <rFont val="ＭＳ Ｐゴシック"/>
        <family val="3"/>
        <charset val="128"/>
      </rPr>
      <t>アイルーのおもてなし</t>
    </r>
    <phoneticPr fontId="1"/>
  </si>
  <si>
    <r>
      <rPr>
        <sz val="11"/>
        <color theme="1"/>
        <rFont val="ＭＳ Ｐゴシック"/>
        <family val="3"/>
        <charset val="128"/>
      </rPr>
      <t>限定：モンハン</t>
    </r>
    <rPh sb="0" eb="2">
      <t>ゲンテイ</t>
    </rPh>
    <phoneticPr fontId="1"/>
  </si>
  <si>
    <r>
      <rPr>
        <sz val="11"/>
        <color theme="1"/>
        <rFont val="ＭＳ Ｐゴシック"/>
        <family val="3"/>
        <charset val="128"/>
      </rPr>
      <t>漆黒，纏いて挑む</t>
    </r>
    <rPh sb="0" eb="2">
      <t>シッコク</t>
    </rPh>
    <rPh sb="3" eb="4">
      <t>マト</t>
    </rPh>
    <rPh sb="6" eb="7">
      <t>イド</t>
    </rPh>
    <phoneticPr fontId="1"/>
  </si>
  <si>
    <r>
      <rPr>
        <sz val="11"/>
        <color theme="1"/>
        <rFont val="ＭＳ Ｐゴシック"/>
        <family val="3"/>
        <charset val="128"/>
      </rPr>
      <t>天空の王者</t>
    </r>
    <rPh sb="0" eb="2">
      <t>テンクウ</t>
    </rPh>
    <rPh sb="3" eb="5">
      <t>オウジャ</t>
    </rPh>
    <phoneticPr fontId="1"/>
  </si>
  <si>
    <r>
      <rPr>
        <sz val="11"/>
        <color theme="1"/>
        <rFont val="ＭＳ Ｐゴシック"/>
        <family val="3"/>
        <charset val="128"/>
      </rPr>
      <t>聖城に舞い込む依頼</t>
    </r>
    <rPh sb="0" eb="2">
      <t>セイジョウ</t>
    </rPh>
    <rPh sb="3" eb="4">
      <t>マ</t>
    </rPh>
    <rPh sb="5" eb="6">
      <t>コ</t>
    </rPh>
    <rPh sb="7" eb="9">
      <t>イライ</t>
    </rPh>
    <phoneticPr fontId="1"/>
  </si>
  <si>
    <r>
      <rPr>
        <sz val="11"/>
        <color theme="1"/>
        <rFont val="ＭＳ Ｐゴシック"/>
        <family val="3"/>
        <charset val="128"/>
      </rPr>
      <t>配布：モンハン</t>
    </r>
    <rPh sb="0" eb="2">
      <t>ハイフ</t>
    </rPh>
    <phoneticPr fontId="1"/>
  </si>
  <si>
    <r>
      <rPr>
        <sz val="11"/>
        <color theme="1"/>
        <rFont val="ＭＳ Ｐゴシック"/>
        <family val="3"/>
        <charset val="128"/>
      </rPr>
      <t>森の奥に潜むもの</t>
    </r>
    <rPh sb="0" eb="1">
      <t>モリ</t>
    </rPh>
    <rPh sb="2" eb="3">
      <t>オク</t>
    </rPh>
    <rPh sb="4" eb="5">
      <t>ヒソ</t>
    </rPh>
    <phoneticPr fontId="1"/>
  </si>
  <si>
    <r>
      <rPr>
        <sz val="11"/>
        <color theme="1"/>
        <rFont val="ＭＳ Ｐゴシック"/>
        <family val="3"/>
        <charset val="128"/>
      </rPr>
      <t>アンビバレント・フレア</t>
    </r>
    <phoneticPr fontId="1"/>
  </si>
  <si>
    <r>
      <rPr>
        <sz val="11"/>
        <color theme="1"/>
        <rFont val="ＭＳ Ｐゴシック"/>
        <family val="3"/>
        <charset val="128"/>
      </rPr>
      <t>限定：バレンタイン</t>
    </r>
    <phoneticPr fontId="1"/>
  </si>
  <si>
    <r>
      <rPr>
        <sz val="11"/>
        <color theme="1"/>
        <rFont val="ＭＳ Ｐゴシック"/>
        <family val="3"/>
        <charset val="128"/>
      </rPr>
      <t>メイド部隊におまかせ！</t>
    </r>
    <rPh sb="3" eb="5">
      <t>ブタイ</t>
    </rPh>
    <phoneticPr fontId="1"/>
  </si>
  <si>
    <r>
      <rPr>
        <sz val="11"/>
        <color theme="1"/>
        <rFont val="ＭＳ Ｐゴシック"/>
        <family val="3"/>
        <charset val="128"/>
      </rPr>
      <t>愛すべき森の住人</t>
    </r>
    <rPh sb="0" eb="1">
      <t>アイ</t>
    </rPh>
    <rPh sb="4" eb="5">
      <t>モリ</t>
    </rPh>
    <rPh sb="6" eb="8">
      <t>ジュウニン</t>
    </rPh>
    <phoneticPr fontId="1"/>
  </si>
  <si>
    <r>
      <rPr>
        <sz val="11"/>
        <color theme="1"/>
        <rFont val="ＭＳ Ｐゴシック"/>
        <family val="3"/>
        <charset val="128"/>
      </rPr>
      <t>シェフと共に朝食を</t>
    </r>
    <rPh sb="4" eb="5">
      <t>トモ</t>
    </rPh>
    <rPh sb="6" eb="8">
      <t>チョウショク</t>
    </rPh>
    <phoneticPr fontId="1"/>
  </si>
  <si>
    <r>
      <rPr>
        <sz val="11"/>
        <color theme="1"/>
        <rFont val="ＭＳ Ｐゴシック"/>
        <family val="3"/>
        <charset val="128"/>
      </rPr>
      <t>ミツバの手ほどき</t>
    </r>
    <rPh sb="4" eb="5">
      <t>テ</t>
    </rPh>
    <phoneticPr fontId="1"/>
  </si>
  <si>
    <r>
      <rPr>
        <sz val="11"/>
        <color theme="1"/>
        <rFont val="ＭＳ Ｐゴシック"/>
        <family val="3"/>
        <charset val="128"/>
      </rPr>
      <t>イリアの信徒たち</t>
    </r>
    <rPh sb="4" eb="6">
      <t>シント</t>
    </rPh>
    <phoneticPr fontId="1"/>
  </si>
  <si>
    <r>
      <rPr>
        <sz val="11"/>
        <color theme="1"/>
        <rFont val="ＭＳ Ｐゴシック"/>
        <family val="3"/>
        <charset val="128"/>
      </rPr>
      <t>絢爛たる二重唱</t>
    </r>
    <rPh sb="0" eb="2">
      <t>ケンラン</t>
    </rPh>
    <rPh sb="4" eb="7">
      <t>ニジュウショウ</t>
    </rPh>
    <phoneticPr fontId="1"/>
  </si>
  <si>
    <r>
      <rPr>
        <sz val="11"/>
        <color theme="1"/>
        <rFont val="ＭＳ Ｐゴシック"/>
        <family val="3"/>
        <charset val="128"/>
      </rPr>
      <t>インビジブル・ブラック</t>
    </r>
    <phoneticPr fontId="1"/>
  </si>
  <si>
    <r>
      <rPr>
        <sz val="11"/>
        <color theme="1"/>
        <rFont val="ＭＳ Ｐゴシック"/>
        <family val="3"/>
        <charset val="128"/>
      </rPr>
      <t>ちいさな勇気</t>
    </r>
    <rPh sb="4" eb="6">
      <t>ユウキ</t>
    </rPh>
    <phoneticPr fontId="1"/>
  </si>
  <si>
    <r>
      <rPr>
        <sz val="11"/>
        <color theme="1"/>
        <rFont val="ＭＳ Ｐゴシック"/>
        <family val="3"/>
        <charset val="128"/>
      </rPr>
      <t>レッドインパルス</t>
    </r>
    <phoneticPr fontId="1"/>
  </si>
  <si>
    <r>
      <rPr>
        <sz val="11"/>
        <color theme="1"/>
        <rFont val="ＭＳ Ｐゴシック"/>
        <family val="3"/>
        <charset val="128"/>
      </rPr>
      <t>幼き日の追憶</t>
    </r>
    <rPh sb="0" eb="1">
      <t>オサナ</t>
    </rPh>
    <rPh sb="2" eb="3">
      <t>ヒ</t>
    </rPh>
    <rPh sb="4" eb="6">
      <t>ツイオク</t>
    </rPh>
    <phoneticPr fontId="1"/>
  </si>
  <si>
    <r>
      <rPr>
        <sz val="11"/>
        <color theme="1"/>
        <rFont val="ＭＳ Ｐゴシック"/>
        <family val="3"/>
        <charset val="128"/>
      </rPr>
      <t>創造されし人造竜</t>
    </r>
    <rPh sb="0" eb="2">
      <t>ソウゾウ</t>
    </rPh>
    <rPh sb="5" eb="7">
      <t>ジンゾウ</t>
    </rPh>
    <rPh sb="7" eb="8">
      <t>リュウ</t>
    </rPh>
    <phoneticPr fontId="1"/>
  </si>
  <si>
    <r>
      <rPr>
        <sz val="11"/>
        <color theme="1"/>
        <rFont val="ＭＳ Ｐゴシック"/>
        <family val="3"/>
        <charset val="128"/>
      </rPr>
      <t>未亡の淑女</t>
    </r>
    <rPh sb="0" eb="1">
      <t>ミ</t>
    </rPh>
    <rPh sb="1" eb="2">
      <t>ボウ</t>
    </rPh>
    <rPh sb="3" eb="5">
      <t>シュクジョ</t>
    </rPh>
    <phoneticPr fontId="1"/>
  </si>
  <si>
    <r>
      <rPr>
        <sz val="11"/>
        <color theme="1"/>
        <rFont val="ＭＳ Ｐゴシック"/>
        <family val="3"/>
        <charset val="128"/>
      </rPr>
      <t>あなたを守りたい</t>
    </r>
    <rPh sb="4" eb="5">
      <t>マモ</t>
    </rPh>
    <phoneticPr fontId="1"/>
  </si>
  <si>
    <r>
      <rPr>
        <sz val="11"/>
        <color theme="1"/>
        <rFont val="ＭＳ Ｐゴシック"/>
        <family val="3"/>
        <charset val="128"/>
      </rPr>
      <t>シャッフル・リラックスタイム</t>
    </r>
    <phoneticPr fontId="1"/>
  </si>
  <si>
    <r>
      <rPr>
        <sz val="11"/>
        <color theme="1"/>
        <rFont val="ＭＳ Ｐゴシック"/>
        <family val="3"/>
        <charset val="128"/>
      </rPr>
      <t>物知りお兄ちゃん</t>
    </r>
    <rPh sb="0" eb="2">
      <t>モノシ</t>
    </rPh>
    <rPh sb="4" eb="5">
      <t>ニイ</t>
    </rPh>
    <phoneticPr fontId="1"/>
  </si>
  <si>
    <r>
      <rPr>
        <sz val="11"/>
        <color theme="1"/>
        <rFont val="ＭＳ Ｐゴシック"/>
        <family val="3"/>
        <charset val="128"/>
      </rPr>
      <t>冷傷</t>
    </r>
    <rPh sb="0" eb="2">
      <t>レイショウ</t>
    </rPh>
    <phoneticPr fontId="1"/>
  </si>
  <si>
    <r>
      <rPr>
        <sz val="11"/>
        <color theme="1"/>
        <rFont val="ＭＳ Ｐゴシック"/>
        <family val="3"/>
        <charset val="128"/>
      </rPr>
      <t>聖城へようこそ！</t>
    </r>
    <rPh sb="0" eb="2">
      <t>セイジョウ</t>
    </rPh>
    <phoneticPr fontId="1"/>
  </si>
  <si>
    <r>
      <rPr>
        <sz val="11"/>
        <color theme="1"/>
        <rFont val="ＭＳ Ｐゴシック"/>
        <family val="3"/>
        <charset val="128"/>
      </rPr>
      <t>クロス・チェンジ</t>
    </r>
    <phoneticPr fontId="1"/>
  </si>
  <si>
    <r>
      <rPr>
        <sz val="11"/>
        <color theme="1"/>
        <rFont val="ＭＳ Ｐゴシック"/>
        <family val="3"/>
        <charset val="128"/>
      </rPr>
      <t>ポイント</t>
    </r>
    <r>
      <rPr>
        <sz val="11"/>
        <color theme="1"/>
        <rFont val="Times New Roman"/>
        <family val="1"/>
      </rPr>
      <t>+60%</t>
    </r>
  </si>
  <si>
    <r>
      <rPr>
        <sz val="11"/>
        <color theme="1"/>
        <rFont val="ＭＳ Ｐゴシック"/>
        <family val="3"/>
        <charset val="128"/>
      </rPr>
      <t>友の記憶</t>
    </r>
    <rPh sb="0" eb="1">
      <t>トモ</t>
    </rPh>
    <rPh sb="2" eb="4">
      <t>キオク</t>
    </rPh>
    <phoneticPr fontId="1"/>
  </si>
  <si>
    <r>
      <rPr>
        <sz val="11"/>
        <color theme="1"/>
        <rFont val="ＭＳ Ｐゴシック"/>
        <family val="3"/>
        <charset val="128"/>
      </rPr>
      <t>堕ちた翼</t>
    </r>
    <rPh sb="0" eb="1">
      <t>オ</t>
    </rPh>
    <rPh sb="3" eb="4">
      <t>ツバサ</t>
    </rPh>
    <phoneticPr fontId="1"/>
  </si>
  <si>
    <r>
      <rPr>
        <sz val="11"/>
        <color theme="1"/>
        <rFont val="ＭＳ Ｐゴシック"/>
        <family val="3"/>
        <charset val="128"/>
      </rPr>
      <t>封師ご一行到来！</t>
    </r>
    <rPh sb="0" eb="1">
      <t>フウ</t>
    </rPh>
    <rPh sb="1" eb="2">
      <t>シ</t>
    </rPh>
    <rPh sb="3" eb="5">
      <t>イッコウ</t>
    </rPh>
    <rPh sb="5" eb="7">
      <t>トウライ</t>
    </rPh>
    <phoneticPr fontId="1"/>
  </si>
  <si>
    <r>
      <rPr>
        <sz val="11"/>
        <color theme="1"/>
        <rFont val="ＭＳ Ｐゴシック"/>
        <family val="3"/>
        <charset val="128"/>
      </rPr>
      <t>一寸の光</t>
    </r>
    <rPh sb="0" eb="2">
      <t>イッスン</t>
    </rPh>
    <rPh sb="3" eb="4">
      <t>ヒカリ</t>
    </rPh>
    <phoneticPr fontId="1"/>
  </si>
  <si>
    <r>
      <rPr>
        <sz val="11"/>
        <color theme="1"/>
        <rFont val="ＭＳ Ｐゴシック"/>
        <family val="3"/>
        <charset val="128"/>
      </rPr>
      <t>花のかんざし月の夜</t>
    </r>
    <rPh sb="0" eb="1">
      <t>ハナ</t>
    </rPh>
    <rPh sb="6" eb="7">
      <t>ツキ</t>
    </rPh>
    <rPh sb="8" eb="9">
      <t>ヨル</t>
    </rPh>
    <phoneticPr fontId="1"/>
  </si>
  <si>
    <r>
      <rPr>
        <sz val="11"/>
        <color theme="1"/>
        <rFont val="ＭＳ Ｐゴシック"/>
        <family val="3"/>
        <charset val="128"/>
      </rPr>
      <t>リエリエとあーし☆彡</t>
    </r>
    <rPh sb="8" eb="10">
      <t>ナガレボシ</t>
    </rPh>
    <phoneticPr fontId="1"/>
  </si>
  <si>
    <r>
      <rPr>
        <sz val="11"/>
        <color theme="1"/>
        <rFont val="ＭＳ Ｐゴシック"/>
        <family val="3"/>
        <charset val="128"/>
      </rPr>
      <t>舞い降りてきたチャンス</t>
    </r>
    <rPh sb="0" eb="1">
      <t>マ</t>
    </rPh>
    <rPh sb="2" eb="3">
      <t>オ</t>
    </rPh>
    <phoneticPr fontId="1"/>
  </si>
  <si>
    <r>
      <rPr>
        <sz val="11"/>
        <color theme="1"/>
        <rFont val="ＭＳ Ｐゴシック"/>
        <family val="3"/>
        <charset val="128"/>
      </rPr>
      <t>スゥといっしょ</t>
    </r>
    <phoneticPr fontId="1"/>
  </si>
  <si>
    <r>
      <rPr>
        <sz val="11"/>
        <color theme="1"/>
        <rFont val="ＭＳ Ｐゴシック"/>
        <family val="3"/>
        <charset val="128"/>
      </rPr>
      <t>千祭一遇</t>
    </r>
    <rPh sb="0" eb="1">
      <t>セン</t>
    </rPh>
    <rPh sb="1" eb="2">
      <t>サイ</t>
    </rPh>
    <rPh sb="2" eb="4">
      <t>イチグウ</t>
    </rPh>
    <phoneticPr fontId="1"/>
  </si>
  <si>
    <r>
      <rPr>
        <sz val="11"/>
        <color theme="1"/>
        <rFont val="ＭＳ Ｐゴシック"/>
        <family val="3"/>
        <charset val="128"/>
      </rPr>
      <t>向日葵畑でつかまえて</t>
    </r>
    <rPh sb="0" eb="3">
      <t>ヒマワリ</t>
    </rPh>
    <rPh sb="3" eb="4">
      <t>バタケ</t>
    </rPh>
    <phoneticPr fontId="1"/>
  </si>
  <si>
    <r>
      <rPr>
        <sz val="11"/>
        <color theme="1"/>
        <rFont val="ＭＳ Ｐゴシック"/>
        <family val="3"/>
        <charset val="128"/>
      </rPr>
      <t>切り傷</t>
    </r>
    <rPh sb="0" eb="1">
      <t>キ</t>
    </rPh>
    <rPh sb="2" eb="3">
      <t>キズ</t>
    </rPh>
    <phoneticPr fontId="1"/>
  </si>
  <si>
    <r>
      <rPr>
        <sz val="11"/>
        <color theme="1"/>
        <rFont val="ＭＳ Ｐゴシック"/>
        <family val="3"/>
        <charset val="128"/>
      </rPr>
      <t>猫のいる夏</t>
    </r>
    <rPh sb="0" eb="1">
      <t>ネコ</t>
    </rPh>
    <rPh sb="4" eb="5">
      <t>ナツ</t>
    </rPh>
    <phoneticPr fontId="1"/>
  </si>
  <si>
    <r>
      <rPr>
        <sz val="11"/>
        <color theme="1"/>
        <rFont val="ＭＳ Ｐゴシック"/>
        <family val="3"/>
        <charset val="128"/>
      </rPr>
      <t>イケイケなのねぇ♪</t>
    </r>
    <phoneticPr fontId="1"/>
  </si>
  <si>
    <r>
      <rPr>
        <sz val="11"/>
        <color theme="1"/>
        <rFont val="ＭＳ Ｐゴシック"/>
        <family val="3"/>
        <charset val="128"/>
      </rPr>
      <t>渚の桜花姫</t>
    </r>
    <rPh sb="0" eb="1">
      <t>ナギサ</t>
    </rPh>
    <rPh sb="2" eb="4">
      <t>オウカ</t>
    </rPh>
    <rPh sb="4" eb="5">
      <t>ヒメ</t>
    </rPh>
    <phoneticPr fontId="1"/>
  </si>
  <si>
    <r>
      <rPr>
        <sz val="11"/>
        <color theme="1"/>
        <rFont val="ＭＳ Ｐゴシック"/>
        <family val="3"/>
        <charset val="128"/>
      </rPr>
      <t>ハイテンション☆サマー</t>
    </r>
    <phoneticPr fontId="1"/>
  </si>
  <si>
    <r>
      <rPr>
        <sz val="11"/>
        <color theme="1"/>
        <rFont val="ＭＳ Ｐゴシック"/>
        <family val="3"/>
        <charset val="128"/>
      </rPr>
      <t>シーサイドメモリー</t>
    </r>
    <phoneticPr fontId="1"/>
  </si>
  <si>
    <r>
      <rPr>
        <sz val="11"/>
        <color theme="1"/>
        <rFont val="ＭＳ Ｐゴシック"/>
        <family val="3"/>
        <charset val="128"/>
      </rPr>
      <t>晩夏の思い出</t>
    </r>
    <rPh sb="0" eb="2">
      <t>バンカ</t>
    </rPh>
    <rPh sb="3" eb="4">
      <t>オモ</t>
    </rPh>
    <rPh sb="5" eb="6">
      <t>デ</t>
    </rPh>
    <phoneticPr fontId="1"/>
  </si>
  <si>
    <r>
      <rPr>
        <sz val="11"/>
        <color theme="1"/>
        <rFont val="ＭＳ Ｐゴシック"/>
        <family val="3"/>
        <charset val="128"/>
      </rPr>
      <t>ブレイクタイム・パッション</t>
    </r>
    <phoneticPr fontId="1"/>
  </si>
  <si>
    <r>
      <rPr>
        <sz val="11"/>
        <color theme="1"/>
        <rFont val="ＭＳ Ｐゴシック"/>
        <family val="3"/>
        <charset val="128"/>
      </rPr>
      <t>令嬢騎士の一日</t>
    </r>
    <rPh sb="0" eb="2">
      <t>レイジョウ</t>
    </rPh>
    <rPh sb="2" eb="4">
      <t>キシ</t>
    </rPh>
    <rPh sb="5" eb="7">
      <t>イチニチ</t>
    </rPh>
    <phoneticPr fontId="1"/>
  </si>
  <si>
    <r>
      <rPr>
        <sz val="11"/>
        <color theme="1"/>
        <rFont val="ＭＳ Ｐゴシック"/>
        <family val="3"/>
        <charset val="128"/>
      </rPr>
      <t>知の宝庫</t>
    </r>
    <rPh sb="0" eb="1">
      <t>チ</t>
    </rPh>
    <rPh sb="2" eb="4">
      <t>ホウコ</t>
    </rPh>
    <phoneticPr fontId="1"/>
  </si>
  <si>
    <t>闇夜を翔ける翼たち</t>
    <rPh sb="0" eb="2">
      <t>ヤミヨ</t>
    </rPh>
    <rPh sb="3" eb="4">
      <t>カケ</t>
    </rPh>
    <rPh sb="6" eb="7">
      <t>ツバサ</t>
    </rPh>
    <phoneticPr fontId="1"/>
  </si>
  <si>
    <t>強撃</t>
    <rPh sb="0" eb="2">
      <t>キョウゲキ</t>
    </rPh>
    <phoneticPr fontId="1"/>
  </si>
  <si>
    <t>ムーンライト・パーティー</t>
    <phoneticPr fontId="1"/>
  </si>
  <si>
    <t>会心ダメージ</t>
    <rPh sb="0" eb="2">
      <t>カイシン</t>
    </rPh>
    <phoneticPr fontId="1"/>
  </si>
  <si>
    <t>舞い踊る双輪花</t>
    <rPh sb="0" eb="1">
      <t>マ</t>
    </rPh>
    <rPh sb="2" eb="3">
      <t>オド</t>
    </rPh>
    <rPh sb="4" eb="6">
      <t>ソウリン</t>
    </rPh>
    <rPh sb="6" eb="7">
      <t>カ</t>
    </rPh>
    <phoneticPr fontId="1"/>
  </si>
  <si>
    <r>
      <t>HP</t>
    </r>
    <r>
      <rPr>
        <sz val="11"/>
        <color theme="1"/>
        <rFont val="ＭＳ Ｐ明朝"/>
        <family val="1"/>
        <charset val="128"/>
      </rPr>
      <t>満タン</t>
    </r>
    <rPh sb="2" eb="3">
      <t>マン</t>
    </rPh>
    <phoneticPr fontId="1"/>
  </si>
  <si>
    <t>スキルダメージ</t>
    <phoneticPr fontId="1"/>
  </si>
  <si>
    <t>HP</t>
  </si>
  <si>
    <t>火</t>
  </si>
  <si>
    <t>火</t>
    <rPh sb="0" eb="1">
      <t>ヒ</t>
    </rPh>
    <phoneticPr fontId="1"/>
  </si>
  <si>
    <t>FEH</t>
    <phoneticPr fontId="1"/>
  </si>
  <si>
    <t>水</t>
  </si>
  <si>
    <t>竜化ブースト</t>
    <rPh sb="0" eb="2">
      <t>リュウカ</t>
    </rPh>
    <phoneticPr fontId="1"/>
  </si>
  <si>
    <t>風</t>
  </si>
  <si>
    <t>光</t>
  </si>
  <si>
    <t>闇</t>
  </si>
  <si>
    <t>やる気</t>
    <rPh sb="2" eb="3">
      <t>キ</t>
    </rPh>
    <phoneticPr fontId="1"/>
  </si>
  <si>
    <t>バフ時間</t>
    <rPh sb="2" eb="4">
      <t>ジカン</t>
    </rPh>
    <phoneticPr fontId="1"/>
  </si>
  <si>
    <t>ゲージブレイク</t>
    <phoneticPr fontId="1"/>
  </si>
  <si>
    <t>~30</t>
    <phoneticPr fontId="1"/>
  </si>
  <si>
    <t>~40</t>
    <phoneticPr fontId="1"/>
  </si>
  <si>
    <t>~50</t>
    <phoneticPr fontId="1"/>
  </si>
  <si>
    <t>~70</t>
    <phoneticPr fontId="1"/>
  </si>
  <si>
    <t>ならず者たちの宴</t>
    <rPh sb="3" eb="4">
      <t>モノ</t>
    </rPh>
    <rPh sb="7" eb="8">
      <t>ウタゲ</t>
    </rPh>
    <phoneticPr fontId="1"/>
  </si>
  <si>
    <t>上限開放</t>
    <rPh sb="0" eb="2">
      <t>ジョウゲン</t>
    </rPh>
    <rPh sb="2" eb="4">
      <t>カイホウ</t>
    </rPh>
    <phoneticPr fontId="1"/>
  </si>
  <si>
    <t>ユニオン</t>
    <phoneticPr fontId="1"/>
  </si>
  <si>
    <t>ブレイク特効</t>
    <rPh sb="4" eb="6">
      <t>トッコウ</t>
    </rPh>
    <phoneticPr fontId="1"/>
  </si>
  <si>
    <t>上限値</t>
    <rPh sb="0" eb="2">
      <t>ジョウゲン</t>
    </rPh>
    <rPh sb="2" eb="3">
      <t>チ</t>
    </rPh>
    <phoneticPr fontId="1"/>
  </si>
  <si>
    <t>強撃ダメージ</t>
    <rPh sb="0" eb="2">
      <t>キョウゲキ</t>
    </rPh>
    <phoneticPr fontId="1"/>
  </si>
  <si>
    <t>経験値</t>
    <rPh sb="0" eb="3">
      <t>ケイケンチ</t>
    </rPh>
    <phoneticPr fontId="1"/>
  </si>
  <si>
    <t>ゲージディレイ</t>
    <phoneticPr fontId="1"/>
  </si>
  <si>
    <t>Ⅲ</t>
  </si>
  <si>
    <t>Ⅲ</t>
    <phoneticPr fontId="1"/>
  </si>
  <si>
    <t>シールド</t>
    <phoneticPr fontId="1"/>
  </si>
  <si>
    <t>状態異常無効</t>
    <rPh sb="0" eb="6">
      <t>ジョウタイイジョウムコウ</t>
    </rPh>
    <phoneticPr fontId="1"/>
  </si>
  <si>
    <t>スキルチャージ</t>
    <phoneticPr fontId="1"/>
  </si>
  <si>
    <t>Ⅰ</t>
    <phoneticPr fontId="1"/>
  </si>
  <si>
    <t>耐性</t>
    <rPh sb="0" eb="2">
      <t>タイセイ</t>
    </rPh>
    <phoneticPr fontId="1"/>
  </si>
  <si>
    <t>Ⅳ</t>
    <phoneticPr fontId="1"/>
  </si>
  <si>
    <t>特効</t>
    <rPh sb="0" eb="2">
      <t>トッコウ</t>
    </rPh>
    <phoneticPr fontId="1"/>
  </si>
  <si>
    <t>Ⅴ</t>
    <phoneticPr fontId="1"/>
  </si>
  <si>
    <t>ライフシールド</t>
    <phoneticPr fontId="1"/>
  </si>
  <si>
    <t>竜化ゲージ</t>
    <rPh sb="0" eb="2">
      <t>リュウカ</t>
    </rPh>
    <phoneticPr fontId="1"/>
  </si>
  <si>
    <t>竜化時間</t>
    <rPh sb="0" eb="4">
      <t>リュウカジカン</t>
    </rPh>
    <phoneticPr fontId="1"/>
  </si>
  <si>
    <t>竜化中</t>
    <rPh sb="0" eb="2">
      <t>リュウカ</t>
    </rPh>
    <rPh sb="2" eb="3">
      <t>チュウ</t>
    </rPh>
    <phoneticPr fontId="1"/>
  </si>
  <si>
    <t>気絶耐性</t>
    <rPh sb="0" eb="2">
      <t>キゼツ</t>
    </rPh>
    <rPh sb="2" eb="4">
      <t>タイセイ</t>
    </rPh>
    <phoneticPr fontId="1"/>
  </si>
  <si>
    <t>呪い耐性</t>
    <rPh sb="0" eb="1">
      <t>ノロ</t>
    </rPh>
    <rPh sb="2" eb="4">
      <t>タイセイ</t>
    </rPh>
    <phoneticPr fontId="1"/>
  </si>
  <si>
    <t>火傷耐性</t>
    <rPh sb="0" eb="2">
      <t>ヤケド</t>
    </rPh>
    <rPh sb="2" eb="4">
      <t>タイセイ</t>
    </rPh>
    <phoneticPr fontId="1"/>
  </si>
  <si>
    <t>HP満タン</t>
    <rPh sb="2" eb="3">
      <t>マン</t>
    </rPh>
    <phoneticPr fontId="1"/>
  </si>
  <si>
    <t>麻痺耐性</t>
    <rPh sb="0" eb="2">
      <t>マヒ</t>
    </rPh>
    <rPh sb="2" eb="4">
      <t>タイセイ</t>
    </rPh>
    <phoneticPr fontId="1"/>
  </si>
  <si>
    <t>真碧竜</t>
    <rPh sb="0" eb="1">
      <t>シン</t>
    </rPh>
    <rPh sb="1" eb="2">
      <t>ヘキ</t>
    </rPh>
    <rPh sb="2" eb="3">
      <t>リュウ</t>
    </rPh>
    <phoneticPr fontId="1"/>
  </si>
  <si>
    <t>真緋竜</t>
    <rPh sb="0" eb="1">
      <t>リュウ</t>
    </rPh>
    <phoneticPr fontId="1"/>
  </si>
  <si>
    <t>風</t>
    <rPh sb="0" eb="1">
      <t>カゼ</t>
    </rPh>
    <phoneticPr fontId="1"/>
  </si>
  <si>
    <t>真青竜</t>
    <rPh sb="0" eb="1">
      <t>シン</t>
    </rPh>
    <rPh sb="1" eb="2">
      <t>セイ</t>
    </rPh>
    <rPh sb="2" eb="3">
      <t>リュウ</t>
    </rPh>
    <phoneticPr fontId="1"/>
  </si>
  <si>
    <t>真輝竜</t>
    <rPh sb="0" eb="1">
      <t>シン</t>
    </rPh>
    <rPh sb="1" eb="3">
      <t>キリュウ</t>
    </rPh>
    <phoneticPr fontId="1"/>
  </si>
  <si>
    <t>真闇竜</t>
    <phoneticPr fontId="1"/>
  </si>
  <si>
    <t>闇</t>
    <rPh sb="0" eb="1">
      <t>ヤミ</t>
    </rPh>
    <phoneticPr fontId="1"/>
  </si>
  <si>
    <t>麻痺</t>
    <rPh sb="0" eb="2">
      <t>マヒ</t>
    </rPh>
    <phoneticPr fontId="1"/>
  </si>
  <si>
    <t>5+3</t>
    <phoneticPr fontId="1"/>
  </si>
  <si>
    <r>
      <rPr>
        <sz val="11"/>
        <color theme="1"/>
        <rFont val="ＭＳ Ｐ明朝"/>
        <family val="1"/>
        <charset val="128"/>
      </rPr>
      <t>冷傷トリガー</t>
    </r>
    <rPh sb="0" eb="2">
      <t>レイショウ</t>
    </rPh>
    <phoneticPr fontId="1"/>
  </si>
  <si>
    <r>
      <t>10</t>
    </r>
    <r>
      <rPr>
        <sz val="11"/>
        <color theme="1"/>
        <rFont val="ＭＳ Ｐ明朝"/>
        <family val="1"/>
        <charset val="128"/>
      </rPr>
      <t>ヒット以上</t>
    </r>
    <rPh sb="5" eb="7">
      <t>イジョウ</t>
    </rPh>
    <phoneticPr fontId="1"/>
  </si>
  <si>
    <r>
      <t>HP40%</t>
    </r>
    <r>
      <rPr>
        <sz val="11"/>
        <color theme="1"/>
        <rFont val="ＭＳ Ｐ明朝"/>
        <family val="1"/>
        <charset val="128"/>
      </rPr>
      <t>以下</t>
    </r>
    <rPh sb="5" eb="7">
      <t>イカ</t>
    </rPh>
    <phoneticPr fontId="1"/>
  </si>
  <si>
    <r>
      <rPr>
        <sz val="11"/>
        <color theme="1"/>
        <rFont val="ＭＳ Ｐ明朝"/>
        <family val="1"/>
        <charset val="128"/>
      </rPr>
      <t>火傷トリガー</t>
    </r>
    <rPh sb="0" eb="2">
      <t>ヤケド</t>
    </rPh>
    <phoneticPr fontId="1"/>
  </si>
  <si>
    <r>
      <rPr>
        <sz val="11"/>
        <color theme="1"/>
        <rFont val="ＭＳ Ｐ明朝"/>
        <family val="1"/>
        <charset val="128"/>
      </rPr>
      <t>毒トリガー</t>
    </r>
    <rPh sb="0" eb="1">
      <t>ドク</t>
    </rPh>
    <phoneticPr fontId="1"/>
  </si>
  <si>
    <r>
      <rPr>
        <sz val="11"/>
        <color theme="1"/>
        <rFont val="ＭＳ Ｐ明朝"/>
        <family val="1"/>
        <charset val="128"/>
      </rPr>
      <t>リンク</t>
    </r>
    <phoneticPr fontId="1"/>
  </si>
  <si>
    <r>
      <t>HP60%</t>
    </r>
    <r>
      <rPr>
        <sz val="11"/>
        <color theme="1"/>
        <rFont val="ＭＳ Ｐ明朝"/>
        <family val="1"/>
        <charset val="128"/>
      </rPr>
      <t>以下</t>
    </r>
    <rPh sb="5" eb="7">
      <t>イカ</t>
    </rPh>
    <phoneticPr fontId="1"/>
  </si>
  <si>
    <r>
      <rPr>
        <sz val="11"/>
        <color theme="1"/>
        <rFont val="ＭＳ Ｐ明朝"/>
        <family val="1"/>
        <charset val="128"/>
      </rPr>
      <t>竜化ブースト</t>
    </r>
    <rPh sb="0" eb="2">
      <t>リュウカ</t>
    </rPh>
    <phoneticPr fontId="1"/>
  </si>
  <si>
    <r>
      <t>HP80%</t>
    </r>
    <r>
      <rPr>
        <sz val="11"/>
        <color theme="1"/>
        <rFont val="ＭＳ Ｐ明朝"/>
        <family val="1"/>
        <charset val="128"/>
      </rPr>
      <t>以上</t>
    </r>
    <rPh sb="5" eb="7">
      <t>イジョウ</t>
    </rPh>
    <phoneticPr fontId="1"/>
  </si>
  <si>
    <r>
      <rPr>
        <sz val="11"/>
        <color theme="1"/>
        <rFont val="ＭＳ Ｐ明朝"/>
        <family val="1"/>
        <charset val="128"/>
      </rPr>
      <t>麻痺トリガー</t>
    </r>
    <rPh sb="0" eb="2">
      <t>マヒ</t>
    </rPh>
    <phoneticPr fontId="1"/>
  </si>
  <si>
    <r>
      <rPr>
        <sz val="11"/>
        <color theme="1"/>
        <rFont val="ＭＳ Ｐ明朝"/>
        <family val="1"/>
        <charset val="128"/>
      </rPr>
      <t>ヒット</t>
    </r>
    <phoneticPr fontId="1"/>
  </si>
  <si>
    <r>
      <t>HP&amp;</t>
    </r>
    <r>
      <rPr>
        <sz val="11"/>
        <color theme="1"/>
        <rFont val="ＭＳ Ｐ明朝"/>
        <family val="1"/>
        <charset val="128"/>
      </rPr>
      <t>防御</t>
    </r>
    <rPh sb="3" eb="5">
      <t>ボウギョ</t>
    </rPh>
    <phoneticPr fontId="1"/>
  </si>
  <si>
    <r>
      <rPr>
        <sz val="11"/>
        <color theme="1"/>
        <rFont val="ＭＳ Ｐ明朝"/>
        <family val="1"/>
        <charset val="128"/>
      </rPr>
      <t>竜化時</t>
    </r>
    <rPh sb="0" eb="2">
      <t>リュウカ</t>
    </rPh>
    <rPh sb="2" eb="3">
      <t>ジ</t>
    </rPh>
    <phoneticPr fontId="1"/>
  </si>
  <si>
    <r>
      <rPr>
        <sz val="11"/>
        <color theme="1"/>
        <rFont val="ＭＳ Ｐ明朝"/>
        <family val="1"/>
        <charset val="128"/>
      </rPr>
      <t>麻痺特効</t>
    </r>
    <rPh sb="0" eb="2">
      <t>マヒ</t>
    </rPh>
    <rPh sb="2" eb="4">
      <t>トッコウ</t>
    </rPh>
    <phoneticPr fontId="1"/>
  </si>
  <si>
    <r>
      <rPr>
        <sz val="11"/>
        <color theme="1"/>
        <rFont val="ＭＳ Ｐ明朝"/>
        <family val="1"/>
        <charset val="128"/>
      </rPr>
      <t>全員</t>
    </r>
    <rPh sb="0" eb="2">
      <t>ゼンイン</t>
    </rPh>
    <phoneticPr fontId="1"/>
  </si>
  <si>
    <r>
      <rPr>
        <sz val="11"/>
        <color theme="1"/>
        <rFont val="ＭＳ Ｐ明朝"/>
        <family val="1"/>
        <charset val="128"/>
      </rPr>
      <t>武器</t>
    </r>
    <rPh sb="0" eb="2">
      <t>ブキ</t>
    </rPh>
    <phoneticPr fontId="1"/>
  </si>
  <si>
    <r>
      <t xml:space="preserve">LEX
</t>
    </r>
    <r>
      <rPr>
        <sz val="11"/>
        <color theme="1"/>
        <rFont val="ＭＳ Ｐ明朝"/>
        <family val="1"/>
        <charset val="128"/>
      </rPr>
      <t>対象</t>
    </r>
    <rPh sb="4" eb="6">
      <t>タイショウ</t>
    </rPh>
    <phoneticPr fontId="1"/>
  </si>
  <si>
    <r>
      <t xml:space="preserve">LEX
</t>
    </r>
    <r>
      <rPr>
        <sz val="11"/>
        <color theme="1"/>
        <rFont val="ＭＳ Ｐ明朝"/>
        <family val="1"/>
        <charset val="128"/>
      </rPr>
      <t>条件</t>
    </r>
    <rPh sb="4" eb="6">
      <t>ジョウケン</t>
    </rPh>
    <phoneticPr fontId="1"/>
  </si>
  <si>
    <r>
      <t xml:space="preserve">LEX
</t>
    </r>
    <r>
      <rPr>
        <sz val="11"/>
        <color theme="1"/>
        <rFont val="ＭＳ Ｐ明朝"/>
        <family val="1"/>
        <charset val="128"/>
      </rPr>
      <t>効果</t>
    </r>
    <rPh sb="4" eb="6">
      <t>コウカ</t>
    </rPh>
    <phoneticPr fontId="1"/>
  </si>
  <si>
    <r>
      <rPr>
        <sz val="11"/>
        <color theme="1"/>
        <rFont val="ＭＳ Ｐ明朝"/>
        <family val="1"/>
        <charset val="128"/>
      </rPr>
      <t>最大値</t>
    </r>
    <rPh sb="0" eb="2">
      <t>サイダイ</t>
    </rPh>
    <rPh sb="2" eb="3">
      <t>チ</t>
    </rPh>
    <phoneticPr fontId="1"/>
  </si>
  <si>
    <r>
      <rPr>
        <sz val="11"/>
        <color theme="1"/>
        <rFont val="ＭＳ Ｐ明朝"/>
        <family val="1"/>
        <charset val="128"/>
      </rPr>
      <t>入手</t>
    </r>
    <rPh sb="0" eb="2">
      <t>ニュウシュ</t>
    </rPh>
    <phoneticPr fontId="1"/>
  </si>
  <si>
    <r>
      <rPr>
        <sz val="11"/>
        <color theme="1"/>
        <rFont val="ＭＳ Ｐ明朝"/>
        <family val="1"/>
        <charset val="128"/>
      </rPr>
      <t>配布</t>
    </r>
    <rPh sb="0" eb="2">
      <t>ハイフ</t>
    </rPh>
    <phoneticPr fontId="1"/>
  </si>
  <si>
    <r>
      <rPr>
        <sz val="11"/>
        <color theme="1"/>
        <rFont val="ＭＳ Ｐ明朝"/>
        <family val="1"/>
        <charset val="128"/>
      </rPr>
      <t>ロッド</t>
    </r>
    <phoneticPr fontId="1"/>
  </si>
  <si>
    <r>
      <rPr>
        <sz val="11"/>
        <color theme="1"/>
        <rFont val="ＭＳ Ｐ明朝"/>
        <family val="1"/>
        <charset val="128"/>
      </rPr>
      <t>スキルダメージ</t>
    </r>
    <phoneticPr fontId="1"/>
  </si>
  <si>
    <r>
      <rPr>
        <sz val="11"/>
        <color theme="1"/>
        <rFont val="ＭＳ Ｐ明朝"/>
        <family val="1"/>
        <charset val="128"/>
      </rPr>
      <t>長銃</t>
    </r>
    <rPh sb="0" eb="2">
      <t>チョウジュウ</t>
    </rPh>
    <phoneticPr fontId="1"/>
  </si>
  <si>
    <r>
      <rPr>
        <sz val="11"/>
        <color theme="1"/>
        <rFont val="ＭＳ Ｐ明朝"/>
        <family val="1"/>
        <charset val="128"/>
      </rPr>
      <t>ジョー</t>
    </r>
    <phoneticPr fontId="1"/>
  </si>
  <si>
    <r>
      <rPr>
        <sz val="11"/>
        <color theme="1"/>
        <rFont val="ＭＳ Ｐ明朝"/>
        <family val="1"/>
        <charset val="128"/>
      </rPr>
      <t>ゲージブレイク</t>
    </r>
    <phoneticPr fontId="1"/>
  </si>
  <si>
    <r>
      <rPr>
        <sz val="11"/>
        <color theme="1"/>
        <rFont val="ＭＳ Ｐ明朝"/>
        <family val="1"/>
        <charset val="128"/>
      </rPr>
      <t>ラキシ</t>
    </r>
    <phoneticPr fontId="1"/>
  </si>
  <si>
    <r>
      <rPr>
        <sz val="11"/>
        <color theme="1"/>
        <rFont val="ＭＳ Ｐ明朝"/>
        <family val="1"/>
        <charset val="128"/>
      </rPr>
      <t>ストーリー</t>
    </r>
    <phoneticPr fontId="1"/>
  </si>
  <si>
    <r>
      <rPr>
        <sz val="11"/>
        <color theme="1"/>
        <rFont val="ＭＳ Ｐ明朝"/>
        <family val="1"/>
        <charset val="128"/>
      </rPr>
      <t>メルサ</t>
    </r>
    <phoneticPr fontId="1"/>
  </si>
  <si>
    <r>
      <rPr>
        <sz val="11"/>
        <color theme="1"/>
        <rFont val="ＭＳ Ｐ明朝"/>
        <family val="1"/>
        <charset val="128"/>
      </rPr>
      <t>イベント</t>
    </r>
    <phoneticPr fontId="1"/>
  </si>
  <si>
    <r>
      <rPr>
        <sz val="11"/>
        <color theme="1"/>
        <rFont val="ＭＳ Ｐ明朝"/>
        <family val="1"/>
        <charset val="128"/>
      </rPr>
      <t>サンゾウ</t>
    </r>
    <phoneticPr fontId="1"/>
  </si>
  <si>
    <r>
      <rPr>
        <sz val="11"/>
        <color theme="1"/>
        <rFont val="ＭＳ Ｐ明朝"/>
        <family val="1"/>
        <charset val="128"/>
      </rPr>
      <t>オリオン</t>
    </r>
    <phoneticPr fontId="1"/>
  </si>
  <si>
    <r>
      <rPr>
        <sz val="11"/>
        <color theme="1"/>
        <rFont val="ＭＳ Ｐ明朝"/>
        <family val="1"/>
        <charset val="128"/>
      </rPr>
      <t>バレンタイン</t>
    </r>
    <phoneticPr fontId="1"/>
  </si>
  <si>
    <r>
      <rPr>
        <sz val="11"/>
        <color theme="1"/>
        <rFont val="ＭＳ Ｐ明朝"/>
        <family val="1"/>
        <charset val="128"/>
      </rPr>
      <t>スキルブースト</t>
    </r>
    <phoneticPr fontId="1"/>
  </si>
  <si>
    <r>
      <rPr>
        <sz val="11"/>
        <color theme="1"/>
        <rFont val="ＭＳ Ｐ明朝"/>
        <family val="1"/>
        <charset val="128"/>
      </rPr>
      <t>回復</t>
    </r>
    <rPh sb="0" eb="2">
      <t>カイフク</t>
    </rPh>
    <phoneticPr fontId="1"/>
  </si>
  <si>
    <r>
      <rPr>
        <sz val="11"/>
        <color theme="1"/>
        <rFont val="ＭＳ Ｐ明朝"/>
        <family val="1"/>
        <charset val="128"/>
      </rPr>
      <t>ゴルド</t>
    </r>
  </si>
  <si>
    <r>
      <rPr>
        <sz val="11"/>
        <color theme="1"/>
        <rFont val="ＭＳ Ｐ明朝"/>
        <family val="1"/>
        <charset val="128"/>
      </rPr>
      <t>アレクシス</t>
    </r>
    <phoneticPr fontId="1"/>
  </si>
  <si>
    <r>
      <rPr>
        <sz val="11"/>
        <color theme="1"/>
        <rFont val="ＭＳ Ｐ明朝"/>
        <family val="1"/>
        <charset val="128"/>
      </rPr>
      <t>星竜祭</t>
    </r>
    <rPh sb="0" eb="2">
      <t>セイリュウ</t>
    </rPh>
    <rPh sb="2" eb="3">
      <t>サイ</t>
    </rPh>
    <phoneticPr fontId="1"/>
  </si>
  <si>
    <r>
      <rPr>
        <sz val="11"/>
        <color theme="1"/>
        <rFont val="ＭＳ Ｐ明朝"/>
        <family val="1"/>
        <charset val="128"/>
      </rPr>
      <t>エステル</t>
    </r>
    <phoneticPr fontId="1"/>
  </si>
  <si>
    <r>
      <rPr>
        <sz val="11"/>
        <color theme="1"/>
        <rFont val="ＭＳ Ｐ明朝"/>
        <family val="1"/>
        <charset val="128"/>
      </rPr>
      <t>オデッタ</t>
    </r>
    <phoneticPr fontId="1"/>
  </si>
  <si>
    <r>
      <rPr>
        <sz val="11"/>
        <color theme="1"/>
        <rFont val="ＭＳ Ｐ明朝"/>
        <family val="1"/>
        <charset val="128"/>
      </rPr>
      <t>ハロウィン</t>
    </r>
    <phoneticPr fontId="1"/>
  </si>
  <si>
    <r>
      <rPr>
        <sz val="11"/>
        <color theme="1"/>
        <rFont val="ＭＳ Ｐ明朝"/>
        <family val="1"/>
        <charset val="128"/>
      </rPr>
      <t>ヨアキム</t>
    </r>
  </si>
  <si>
    <r>
      <rPr>
        <sz val="11"/>
        <color theme="1"/>
        <rFont val="ＭＳ Ｐ明朝"/>
        <family val="1"/>
        <charset val="128"/>
      </rPr>
      <t>ザインフラッド</t>
    </r>
    <phoneticPr fontId="1"/>
  </si>
  <si>
    <r>
      <rPr>
        <sz val="11"/>
        <color theme="1"/>
        <rFont val="ＭＳ Ｐ明朝"/>
        <family val="1"/>
        <charset val="128"/>
      </rPr>
      <t>Ⅰ</t>
    </r>
    <phoneticPr fontId="1"/>
  </si>
  <si>
    <r>
      <rPr>
        <sz val="11"/>
        <color theme="1"/>
        <rFont val="ＭＳ Ｐ明朝"/>
        <family val="1"/>
        <charset val="128"/>
      </rPr>
      <t>星竜祭</t>
    </r>
    <rPh sb="0" eb="3">
      <t>セイリュウサイ</t>
    </rPh>
    <phoneticPr fontId="1"/>
  </si>
  <si>
    <r>
      <rPr>
        <sz val="11"/>
        <color theme="1"/>
        <rFont val="ＭＳ Ｐ明朝"/>
        <family val="1"/>
        <charset val="128"/>
      </rPr>
      <t>ハナブサ</t>
    </r>
    <phoneticPr fontId="1"/>
  </si>
  <si>
    <r>
      <rPr>
        <sz val="11"/>
        <color theme="1"/>
        <rFont val="ＭＳ Ｐ明朝"/>
        <family val="1"/>
        <charset val="128"/>
      </rPr>
      <t>ゴジョウ</t>
    </r>
  </si>
  <si>
    <r>
      <rPr>
        <sz val="11"/>
        <color theme="1"/>
        <rFont val="ＭＳ Ｐ明朝"/>
        <family val="1"/>
        <charset val="128"/>
      </rPr>
      <t>エリアス</t>
    </r>
    <phoneticPr fontId="1"/>
  </si>
  <si>
    <r>
      <rPr>
        <sz val="11"/>
        <color theme="1"/>
        <rFont val="ＭＳ Ｐ明朝"/>
        <family val="1"/>
        <charset val="128"/>
      </rPr>
      <t>エドワード</t>
    </r>
    <phoneticPr fontId="1"/>
  </si>
  <si>
    <r>
      <rPr>
        <sz val="11"/>
        <color theme="1"/>
        <rFont val="ＭＳ Ｐ明朝"/>
        <family val="1"/>
        <charset val="128"/>
      </rPr>
      <t>アスラム</t>
    </r>
    <phoneticPr fontId="1"/>
  </si>
  <si>
    <r>
      <rPr>
        <sz val="11"/>
        <color theme="1"/>
        <rFont val="ＭＳ Ｐ明朝"/>
        <family val="1"/>
        <charset val="128"/>
      </rPr>
      <t>ノブナガ</t>
    </r>
    <phoneticPr fontId="1"/>
  </si>
  <si>
    <r>
      <rPr>
        <sz val="11"/>
        <color theme="1"/>
        <rFont val="ＭＳ Ｐ明朝"/>
        <family val="1"/>
        <charset val="128"/>
      </rPr>
      <t>Ⅲ</t>
    </r>
    <phoneticPr fontId="1"/>
  </si>
  <si>
    <r>
      <rPr>
        <sz val="11"/>
        <color theme="1"/>
        <rFont val="ＭＳ Ｐ明朝"/>
        <family val="1"/>
        <charset val="128"/>
      </rPr>
      <t>お正月</t>
    </r>
    <rPh sb="1" eb="3">
      <t>ショウガツ</t>
    </rPh>
    <phoneticPr fontId="1"/>
  </si>
  <si>
    <r>
      <rPr>
        <sz val="11"/>
        <color theme="1"/>
        <rFont val="ＭＳ Ｐ明朝"/>
        <family val="1"/>
        <charset val="128"/>
      </rPr>
      <t>シールド</t>
    </r>
  </si>
  <si>
    <r>
      <rPr>
        <sz val="11"/>
        <color theme="1"/>
        <rFont val="ＭＳ Ｐ明朝"/>
        <family val="1"/>
        <charset val="128"/>
      </rPr>
      <t>エゼリット</t>
    </r>
    <phoneticPr fontId="1"/>
  </si>
  <si>
    <r>
      <rPr>
        <sz val="11"/>
        <color theme="1"/>
        <rFont val="ＭＳ Ｐ明朝"/>
        <family val="1"/>
        <charset val="128"/>
      </rPr>
      <t>マルス</t>
    </r>
    <phoneticPr fontId="1"/>
  </si>
  <si>
    <r>
      <rPr>
        <sz val="11"/>
        <color theme="1"/>
        <rFont val="ＭＳ Ｐ明朝"/>
        <family val="1"/>
        <charset val="128"/>
      </rPr>
      <t>ベルザーク</t>
    </r>
    <phoneticPr fontId="1"/>
  </si>
  <si>
    <r>
      <rPr>
        <sz val="11"/>
        <color theme="1"/>
        <rFont val="ＭＳ Ｐ明朝"/>
        <family val="1"/>
        <charset val="128"/>
      </rPr>
      <t>モンハン</t>
    </r>
    <phoneticPr fontId="1"/>
  </si>
  <si>
    <r>
      <rPr>
        <sz val="11"/>
        <color theme="1"/>
        <rFont val="ＭＳ Ｐ明朝"/>
        <family val="1"/>
        <charset val="128"/>
      </rPr>
      <t>クラウ</t>
    </r>
    <phoneticPr fontId="1"/>
  </si>
  <si>
    <r>
      <rPr>
        <sz val="11"/>
        <color theme="1"/>
        <rFont val="ＭＳ Ｐ明朝"/>
        <family val="1"/>
        <charset val="128"/>
      </rPr>
      <t>フィヨルム</t>
    </r>
    <phoneticPr fontId="1"/>
  </si>
  <si>
    <r>
      <rPr>
        <sz val="11"/>
        <color theme="1"/>
        <rFont val="ＭＳ Ｐ明朝"/>
        <family val="1"/>
        <charset val="128"/>
      </rPr>
      <t>ピノン</t>
    </r>
  </si>
  <si>
    <r>
      <rPr>
        <sz val="11"/>
        <color theme="1"/>
        <rFont val="ＭＳ Ｐ明朝"/>
        <family val="1"/>
        <charset val="128"/>
      </rPr>
      <t>セリエラ</t>
    </r>
    <phoneticPr fontId="1"/>
  </si>
  <si>
    <r>
      <rPr>
        <sz val="11"/>
        <color theme="1"/>
        <rFont val="ＭＳ Ｐ明朝"/>
        <family val="1"/>
        <charset val="128"/>
      </rPr>
      <t>ネファリエ</t>
    </r>
    <phoneticPr fontId="1"/>
  </si>
  <si>
    <r>
      <rPr>
        <sz val="11"/>
        <color theme="1"/>
        <rFont val="ＭＳ Ｐ明朝"/>
        <family val="1"/>
        <charset val="128"/>
      </rPr>
      <t>ユージン</t>
    </r>
  </si>
  <si>
    <r>
      <rPr>
        <sz val="11"/>
        <color theme="1"/>
        <rFont val="ＭＳ Ｐ明朝"/>
        <family val="1"/>
        <charset val="128"/>
      </rPr>
      <t>ランザーヴ</t>
    </r>
    <phoneticPr fontId="1"/>
  </si>
  <si>
    <r>
      <rPr>
        <sz val="11"/>
        <color theme="1"/>
        <rFont val="ＭＳ Ｐ明朝"/>
        <family val="1"/>
        <charset val="128"/>
      </rPr>
      <t>フェス</t>
    </r>
    <phoneticPr fontId="1"/>
  </si>
  <si>
    <r>
      <rPr>
        <sz val="11"/>
        <color theme="1"/>
        <rFont val="ＭＳ Ｐ明朝"/>
        <family val="1"/>
        <charset val="128"/>
      </rPr>
      <t>シャスト</t>
    </r>
  </si>
  <si>
    <r>
      <rPr>
        <sz val="11"/>
        <color theme="1"/>
        <rFont val="ＭＳ Ｐ明朝"/>
        <family val="1"/>
        <charset val="128"/>
      </rPr>
      <t>キルスティ</t>
    </r>
  </si>
  <si>
    <r>
      <rPr>
        <sz val="11"/>
        <color theme="1"/>
        <rFont val="ＭＳ Ｐ明朝"/>
        <family val="1"/>
        <charset val="128"/>
      </rPr>
      <t>アディス</t>
    </r>
    <phoneticPr fontId="1"/>
  </si>
  <si>
    <r>
      <rPr>
        <sz val="11"/>
        <color theme="1"/>
        <rFont val="ＭＳ Ｐ明朝"/>
        <family val="1"/>
        <charset val="128"/>
      </rPr>
      <t>スオウ</t>
    </r>
    <phoneticPr fontId="1"/>
  </si>
  <si>
    <r>
      <rPr>
        <sz val="11"/>
        <color theme="1"/>
        <rFont val="ＭＳ Ｐ明朝"/>
        <family val="1"/>
        <charset val="128"/>
      </rPr>
      <t>アルフォンス</t>
    </r>
    <phoneticPr fontId="1"/>
  </si>
  <si>
    <r>
      <rPr>
        <sz val="11"/>
        <color theme="1"/>
        <rFont val="ＭＳ Ｐ明朝"/>
        <family val="1"/>
        <charset val="128"/>
      </rPr>
      <t>マローラ</t>
    </r>
    <phoneticPr fontId="1"/>
  </si>
  <si>
    <r>
      <rPr>
        <sz val="11"/>
        <color theme="1"/>
        <rFont val="ＭＳ Ｐ明朝"/>
        <family val="1"/>
        <charset val="128"/>
      </rPr>
      <t>エルフィリス</t>
    </r>
    <phoneticPr fontId="1"/>
  </si>
  <si>
    <r>
      <rPr>
        <sz val="11"/>
        <color theme="1"/>
        <rFont val="ＭＳ Ｐ明朝"/>
        <family val="1"/>
        <charset val="128"/>
      </rPr>
      <t>サンゾウ</t>
    </r>
  </si>
  <si>
    <r>
      <rPr>
        <sz val="11"/>
        <color theme="1"/>
        <rFont val="ＭＳ Ｐ明朝"/>
        <family val="1"/>
        <charset val="128"/>
      </rPr>
      <t>リュカ</t>
    </r>
    <phoneticPr fontId="1"/>
  </si>
  <si>
    <r>
      <rPr>
        <sz val="11"/>
        <color theme="1"/>
        <rFont val="ＭＳ Ｐ明朝"/>
        <family val="1"/>
        <charset val="128"/>
      </rPr>
      <t>ベリーナ</t>
    </r>
  </si>
  <si>
    <r>
      <rPr>
        <sz val="11"/>
        <color theme="1"/>
        <rFont val="ＭＳ Ｐ明朝"/>
        <family val="1"/>
        <charset val="128"/>
      </rPr>
      <t>ヴェロニカ</t>
    </r>
    <phoneticPr fontId="1"/>
  </si>
  <si>
    <r>
      <rPr>
        <sz val="11"/>
        <color theme="1"/>
        <rFont val="ＭＳ Ｐ明朝"/>
        <family val="1"/>
        <charset val="128"/>
      </rPr>
      <t>ゼーナ</t>
    </r>
    <phoneticPr fontId="1"/>
  </si>
  <si>
    <r>
      <rPr>
        <sz val="11"/>
        <color theme="1"/>
        <rFont val="ＭＳ Ｐ明朝"/>
        <family val="1"/>
        <charset val="128"/>
      </rPr>
      <t>アデルペイン</t>
    </r>
    <phoneticPr fontId="1"/>
  </si>
  <si>
    <r>
      <rPr>
        <sz val="11"/>
        <color theme="1"/>
        <rFont val="ＭＳ Ｐ明朝"/>
        <family val="1"/>
        <charset val="128"/>
      </rPr>
      <t>通常攻撃</t>
    </r>
    <rPh sb="0" eb="2">
      <t>ツウジョウ</t>
    </rPh>
    <rPh sb="2" eb="4">
      <t>コウゲキ</t>
    </rPh>
    <phoneticPr fontId="1"/>
  </si>
  <si>
    <r>
      <rPr>
        <sz val="11"/>
        <color theme="1"/>
        <rFont val="ＭＳ Ｐ明朝"/>
        <family val="1"/>
        <charset val="128"/>
      </rPr>
      <t>ムム</t>
    </r>
    <phoneticPr fontId="1"/>
  </si>
  <si>
    <r>
      <rPr>
        <sz val="11"/>
        <color theme="1"/>
        <rFont val="ＭＳ Ｐ明朝"/>
        <family val="1"/>
        <charset val="128"/>
      </rPr>
      <t>会心ダメージ</t>
    </r>
    <rPh sb="0" eb="2">
      <t>カイシン</t>
    </rPh>
    <phoneticPr fontId="1"/>
  </si>
  <si>
    <r>
      <rPr>
        <sz val="11"/>
        <color theme="1"/>
        <rFont val="ＭＳ Ｐ明朝"/>
        <family val="1"/>
        <charset val="128"/>
      </rPr>
      <t>シーリス</t>
    </r>
    <phoneticPr fontId="1"/>
  </si>
  <si>
    <r>
      <rPr>
        <sz val="11"/>
        <color theme="1"/>
        <rFont val="ＭＳ Ｐ明朝"/>
        <family val="1"/>
        <charset val="128"/>
      </rPr>
      <t>ロックマン</t>
    </r>
    <phoneticPr fontId="1"/>
  </si>
  <si>
    <r>
      <t>OD</t>
    </r>
    <r>
      <rPr>
        <sz val="11"/>
        <color theme="1"/>
        <rFont val="ＭＳ Ｐ明朝"/>
        <family val="1"/>
        <charset val="128"/>
      </rPr>
      <t>特効</t>
    </r>
    <r>
      <rPr>
        <sz val="11"/>
        <color theme="1"/>
        <rFont val="Times New Roman"/>
        <family val="1"/>
      </rPr>
      <t>&amp;</t>
    </r>
    <r>
      <rPr>
        <sz val="11"/>
        <color theme="1"/>
        <rFont val="ＭＳ Ｐ明朝"/>
        <family val="1"/>
        <charset val="128"/>
      </rPr>
      <t>ゲージブレイク</t>
    </r>
    <rPh sb="2" eb="4">
      <t>トッコウ</t>
    </rPh>
    <phoneticPr fontId="1"/>
  </si>
  <si>
    <r>
      <rPr>
        <sz val="11"/>
        <color theme="1"/>
        <rFont val="ＭＳ Ｐ明朝"/>
        <family val="1"/>
        <charset val="128"/>
      </rPr>
      <t>ヒルデガルド</t>
    </r>
    <phoneticPr fontId="1"/>
  </si>
  <si>
    <r>
      <rPr>
        <sz val="11"/>
        <color theme="1"/>
        <rFont val="ＭＳ Ｐ明朝"/>
        <family val="1"/>
        <charset val="128"/>
      </rPr>
      <t>クロム</t>
    </r>
    <phoneticPr fontId="1"/>
  </si>
  <si>
    <r>
      <rPr>
        <sz val="11"/>
        <color theme="1"/>
        <rFont val="ＭＳ Ｐ明朝"/>
        <family val="1"/>
        <charset val="128"/>
      </rPr>
      <t>チキ</t>
    </r>
    <phoneticPr fontId="1"/>
  </si>
  <si>
    <r>
      <rPr>
        <sz val="11"/>
        <color theme="1"/>
        <rFont val="ＭＳ Ｐ明朝"/>
        <family val="1"/>
        <charset val="128"/>
      </rPr>
      <t>カトリーヌ</t>
    </r>
  </si>
  <si>
    <r>
      <rPr>
        <sz val="11"/>
        <color theme="1"/>
        <rFont val="ＭＳ Ｐ明朝"/>
        <family val="1"/>
        <charset val="128"/>
      </rPr>
      <t>ピップル</t>
    </r>
  </si>
  <si>
    <r>
      <rPr>
        <sz val="11"/>
        <color theme="1"/>
        <rFont val="ＭＳ Ｐ明朝"/>
        <family val="1"/>
        <charset val="128"/>
      </rPr>
      <t>リーフ</t>
    </r>
    <phoneticPr fontId="1"/>
  </si>
  <si>
    <r>
      <rPr>
        <sz val="11"/>
        <color theme="1"/>
        <rFont val="ＭＳ Ｐ明朝"/>
        <family val="1"/>
        <charset val="128"/>
      </rPr>
      <t>攻防ダウン特効</t>
    </r>
    <rPh sb="0" eb="2">
      <t>コウボウ</t>
    </rPh>
    <rPh sb="5" eb="7">
      <t>トッコウ</t>
    </rPh>
    <phoneticPr fontId="1"/>
  </si>
  <si>
    <r>
      <rPr>
        <sz val="11"/>
        <color theme="1"/>
        <rFont val="ＭＳ Ｐ明朝"/>
        <family val="1"/>
        <charset val="128"/>
      </rPr>
      <t>メロディ</t>
    </r>
    <phoneticPr fontId="1"/>
  </si>
  <si>
    <r>
      <rPr>
        <sz val="11"/>
        <color theme="1"/>
        <rFont val="ＭＳ Ｐ明朝"/>
        <family val="1"/>
        <charset val="128"/>
      </rPr>
      <t>ユーディル</t>
    </r>
    <phoneticPr fontId="1"/>
  </si>
  <si>
    <r>
      <rPr>
        <sz val="11"/>
        <color theme="1"/>
        <rFont val="ＭＳ Ｐ明朝"/>
        <family val="1"/>
        <charset val="128"/>
      </rPr>
      <t>竜化強化</t>
    </r>
    <rPh sb="0" eb="2">
      <t>リュウカ</t>
    </rPh>
    <rPh sb="2" eb="4">
      <t>キョウカ</t>
    </rPh>
    <phoneticPr fontId="1"/>
  </si>
  <si>
    <r>
      <rPr>
        <sz val="11"/>
        <color theme="1"/>
        <rFont val="ＭＳ Ｐ明朝"/>
        <family val="1"/>
        <charset val="128"/>
      </rPr>
      <t>ミツヒデ</t>
    </r>
    <phoneticPr fontId="1"/>
  </si>
  <si>
    <r>
      <rPr>
        <sz val="11"/>
        <color theme="1"/>
        <rFont val="ＭＳ Ｐ明朝"/>
        <family val="1"/>
        <charset val="128"/>
      </rPr>
      <t>Ⅵ</t>
    </r>
    <phoneticPr fontId="1"/>
  </si>
  <si>
    <r>
      <rPr>
        <sz val="11"/>
        <color theme="1"/>
        <rFont val="ＭＳ Ｐ明朝"/>
        <family val="1"/>
        <charset val="128"/>
      </rPr>
      <t>ヴァネッサ</t>
    </r>
    <phoneticPr fontId="1"/>
  </si>
  <si>
    <r>
      <rPr>
        <sz val="11"/>
        <color theme="1"/>
        <rFont val="ＭＳ Ｐ明朝"/>
        <family val="1"/>
        <charset val="128"/>
      </rPr>
      <t>シャロン</t>
    </r>
    <phoneticPr fontId="1"/>
  </si>
  <si>
    <r>
      <rPr>
        <sz val="11"/>
        <color theme="1"/>
        <rFont val="ＭＳ Ｐ明朝"/>
        <family val="1"/>
        <charset val="128"/>
      </rPr>
      <t>ヒラメキ</t>
    </r>
  </si>
  <si>
    <r>
      <rPr>
        <sz val="11"/>
        <color theme="1"/>
        <rFont val="ＭＳ Ｐ明朝"/>
        <family val="1"/>
        <charset val="128"/>
      </rPr>
      <t>ピアニー</t>
    </r>
    <phoneticPr fontId="1"/>
  </si>
  <si>
    <r>
      <rPr>
        <sz val="11"/>
        <color theme="1"/>
        <rFont val="ＭＳ Ｐ明朝"/>
        <family val="1"/>
        <charset val="128"/>
      </rPr>
      <t>光ダメージ</t>
    </r>
    <rPh sb="0" eb="1">
      <t>ヒカリ</t>
    </rPh>
    <phoneticPr fontId="1"/>
  </si>
  <si>
    <r>
      <rPr>
        <sz val="11"/>
        <color theme="1"/>
        <rFont val="ＭＳ Ｐ明朝"/>
        <family val="1"/>
        <charset val="128"/>
      </rPr>
      <t>チトセ</t>
    </r>
    <phoneticPr fontId="1"/>
  </si>
  <si>
    <r>
      <rPr>
        <sz val="11"/>
        <color theme="1"/>
        <rFont val="ＭＳ Ｐ明朝"/>
        <family val="1"/>
        <charset val="128"/>
      </rPr>
      <t>イルテミア</t>
    </r>
    <phoneticPr fontId="1"/>
  </si>
  <si>
    <r>
      <rPr>
        <sz val="11"/>
        <color theme="1"/>
        <rFont val="ＭＳ Ｐ明朝"/>
        <family val="1"/>
        <charset val="128"/>
      </rPr>
      <t>フェリーチャ</t>
    </r>
    <phoneticPr fontId="1"/>
  </si>
  <si>
    <r>
      <rPr>
        <sz val="11"/>
        <color theme="1"/>
        <rFont val="ＭＳ Ｐ明朝"/>
        <family val="1"/>
        <charset val="128"/>
      </rPr>
      <t>シャノン</t>
    </r>
    <phoneticPr fontId="1"/>
  </si>
  <si>
    <r>
      <rPr>
        <sz val="11"/>
        <color theme="1"/>
        <rFont val="ＭＳ Ｐ明朝"/>
        <family val="1"/>
        <charset val="128"/>
      </rPr>
      <t>イエヤス</t>
    </r>
    <phoneticPr fontId="1"/>
  </si>
  <si>
    <r>
      <rPr>
        <sz val="11"/>
        <color theme="1"/>
        <rFont val="ＭＳ Ｐ明朝"/>
        <family val="1"/>
        <charset val="128"/>
      </rPr>
      <t>サザンカ</t>
    </r>
    <phoneticPr fontId="1"/>
  </si>
  <si>
    <r>
      <rPr>
        <sz val="11"/>
        <color theme="1"/>
        <rFont val="ＭＳ Ｐ明朝"/>
        <family val="1"/>
        <charset val="128"/>
      </rPr>
      <t>ボタン</t>
    </r>
    <phoneticPr fontId="1"/>
  </si>
  <si>
    <r>
      <rPr>
        <sz val="11"/>
        <color theme="1"/>
        <rFont val="ＭＳ Ｐ明朝"/>
        <family val="1"/>
        <charset val="128"/>
      </rPr>
      <t>Ⅴ</t>
    </r>
    <phoneticPr fontId="1"/>
  </si>
  <si>
    <r>
      <rPr>
        <sz val="11"/>
        <color theme="1"/>
        <rFont val="ＭＳ Ｐ明朝"/>
        <family val="1"/>
        <charset val="128"/>
      </rPr>
      <t>ルーエン</t>
    </r>
    <phoneticPr fontId="1"/>
  </si>
  <si>
    <r>
      <rPr>
        <sz val="11"/>
        <color theme="1"/>
        <rFont val="ＭＳ Ｐ明朝"/>
        <family val="1"/>
        <charset val="128"/>
      </rPr>
      <t>アマネ</t>
    </r>
    <phoneticPr fontId="1"/>
  </si>
  <si>
    <r>
      <rPr>
        <sz val="11"/>
        <color theme="1"/>
        <rFont val="ＭＳ Ｐ明朝"/>
        <family val="1"/>
        <charset val="128"/>
      </rPr>
      <t>ゴクウ</t>
    </r>
    <phoneticPr fontId="1"/>
  </si>
  <si>
    <r>
      <rPr>
        <sz val="11"/>
        <color theme="1"/>
        <rFont val="ＭＳ Ｐ明朝"/>
        <family val="1"/>
        <charset val="128"/>
      </rPr>
      <t>ナディーン</t>
    </r>
  </si>
  <si>
    <r>
      <rPr>
        <sz val="11"/>
        <color theme="1"/>
        <rFont val="ＭＳ Ｐ明朝"/>
        <family val="1"/>
        <charset val="128"/>
      </rPr>
      <t>ヴァレリオ</t>
    </r>
  </si>
  <si>
    <r>
      <rPr>
        <sz val="11"/>
        <color theme="1"/>
        <rFont val="ＭＳ Ｐ明朝"/>
        <family val="1"/>
        <charset val="128"/>
      </rPr>
      <t>ミツバ</t>
    </r>
  </si>
  <si>
    <r>
      <rPr>
        <sz val="11"/>
        <color theme="1"/>
        <rFont val="ＭＳ Ｐ明朝"/>
        <family val="1"/>
        <charset val="128"/>
      </rPr>
      <t>ラズリー</t>
    </r>
  </si>
  <si>
    <r>
      <rPr>
        <sz val="11"/>
        <color theme="1"/>
        <rFont val="ＭＳ Ｐ明朝"/>
        <family val="1"/>
        <charset val="128"/>
      </rPr>
      <t>ユリウス</t>
    </r>
  </si>
  <si>
    <r>
      <rPr>
        <sz val="11"/>
        <color theme="1"/>
        <rFont val="ＭＳ Ｐ明朝"/>
        <family val="1"/>
        <charset val="128"/>
      </rPr>
      <t>トライツ</t>
    </r>
  </si>
  <si>
    <r>
      <rPr>
        <sz val="11"/>
        <color theme="1"/>
        <rFont val="ＭＳ Ｐ明朝"/>
        <family val="1"/>
        <charset val="128"/>
      </rPr>
      <t>ハッカイ</t>
    </r>
  </si>
  <si>
    <r>
      <rPr>
        <sz val="11"/>
        <color theme="1"/>
        <rFont val="ＭＳ Ｐ明朝"/>
        <family val="1"/>
        <charset val="128"/>
      </rPr>
      <t>ネヴィン</t>
    </r>
  </si>
  <si>
    <r>
      <rPr>
        <sz val="11"/>
        <color theme="1"/>
        <rFont val="ＭＳ Ｐ明朝"/>
        <family val="1"/>
        <charset val="128"/>
      </rPr>
      <t>フォルテ</t>
    </r>
  </si>
  <si>
    <r>
      <rPr>
        <sz val="11"/>
        <color theme="1"/>
        <rFont val="ＭＳ Ｐ明朝"/>
        <family val="1"/>
        <charset val="128"/>
      </rPr>
      <t>グレース</t>
    </r>
  </si>
  <si>
    <r>
      <rPr>
        <sz val="11"/>
        <color theme="1"/>
        <rFont val="ＭＳ Ｐ明朝"/>
        <family val="1"/>
        <charset val="128"/>
      </rPr>
      <t>バーストダメージ</t>
    </r>
    <phoneticPr fontId="1"/>
  </si>
  <si>
    <t>キマイラ</t>
    <phoneticPr fontId="1"/>
  </si>
  <si>
    <t>刀</t>
  </si>
  <si>
    <t>短剣</t>
  </si>
  <si>
    <t>斧</t>
  </si>
  <si>
    <t>槍</t>
  </si>
  <si>
    <t>弓</t>
  </si>
  <si>
    <t>ロッド</t>
  </si>
  <si>
    <t>杖</t>
  </si>
  <si>
    <t>上限</t>
    <rPh sb="0" eb="2">
      <t>ジョウゲン</t>
    </rPh>
    <phoneticPr fontId="1"/>
  </si>
  <si>
    <t>所持</t>
    <rPh sb="0" eb="2">
      <t>ショジ</t>
    </rPh>
    <phoneticPr fontId="1"/>
  </si>
  <si>
    <t>精錬</t>
    <rPh sb="0" eb="2">
      <t>セイレン</t>
    </rPh>
    <phoneticPr fontId="1"/>
  </si>
  <si>
    <t>ソロドロップ量</t>
    <rPh sb="6" eb="7">
      <t>リョウ</t>
    </rPh>
    <phoneticPr fontId="1"/>
  </si>
  <si>
    <t>マルチドロップ量</t>
    <rPh sb="7" eb="8">
      <t>リョウ</t>
    </rPh>
    <phoneticPr fontId="1"/>
  </si>
  <si>
    <t>11~13</t>
    <phoneticPr fontId="1"/>
  </si>
  <si>
    <t>4+1</t>
    <phoneticPr fontId="1"/>
  </si>
  <si>
    <t>銃</t>
    <phoneticPr fontId="1"/>
  </si>
  <si>
    <t>石化</t>
    <rPh sb="0" eb="2">
      <t>セキカ</t>
    </rPh>
    <phoneticPr fontId="1"/>
  </si>
  <si>
    <t>吸魂</t>
    <rPh sb="0" eb="2">
      <t>キュウコン</t>
    </rPh>
    <phoneticPr fontId="1"/>
  </si>
  <si>
    <t>幽騎</t>
    <rPh sb="0" eb="2">
      <t>ユウキ</t>
    </rPh>
    <phoneticPr fontId="1"/>
  </si>
  <si>
    <t>刃</t>
    <rPh sb="0" eb="1">
      <t>ハ</t>
    </rPh>
    <phoneticPr fontId="1"/>
  </si>
  <si>
    <t>ゲージ</t>
    <phoneticPr fontId="1"/>
  </si>
  <si>
    <t>狂化</t>
    <rPh sb="0" eb="1">
      <t>キョウ</t>
    </rPh>
    <rPh sb="1" eb="2">
      <t>カ</t>
    </rPh>
    <phoneticPr fontId="1"/>
  </si>
  <si>
    <t>碧竜</t>
    <rPh sb="0" eb="1">
      <t>ヘキ</t>
    </rPh>
    <rPh sb="1" eb="2">
      <t>リュウ</t>
    </rPh>
    <phoneticPr fontId="1"/>
  </si>
  <si>
    <t>激怒</t>
    <rPh sb="0" eb="2">
      <t>ゲキド</t>
    </rPh>
    <phoneticPr fontId="1"/>
  </si>
  <si>
    <t>ガード</t>
    <phoneticPr fontId="1"/>
  </si>
  <si>
    <t>灼熱</t>
    <rPh sb="0" eb="2">
      <t>シャクネツ</t>
    </rPh>
    <phoneticPr fontId="1"/>
  </si>
  <si>
    <t>緋竜</t>
    <rPh sb="0" eb="1">
      <t>ヒ</t>
    </rPh>
    <rPh sb="1" eb="2">
      <t>リュウ</t>
    </rPh>
    <phoneticPr fontId="1"/>
  </si>
  <si>
    <t>青竜</t>
    <rPh sb="0" eb="1">
      <t>セイ</t>
    </rPh>
    <rPh sb="1" eb="2">
      <t>リュウ</t>
    </rPh>
    <phoneticPr fontId="1"/>
  </si>
  <si>
    <t>輝竜</t>
    <rPh sb="0" eb="1">
      <t>キ</t>
    </rPh>
    <rPh sb="1" eb="2">
      <t>リュウ</t>
    </rPh>
    <phoneticPr fontId="1"/>
  </si>
  <si>
    <t>闇竜</t>
    <rPh sb="0" eb="1">
      <t>ヤミ</t>
    </rPh>
    <rPh sb="1" eb="2">
      <t>リュウ</t>
    </rPh>
    <phoneticPr fontId="1"/>
  </si>
  <si>
    <t>7+3~5</t>
    <phoneticPr fontId="1"/>
  </si>
  <si>
    <t>激流</t>
    <rPh sb="0" eb="2">
      <t>ゲキリュウ</t>
    </rPh>
    <phoneticPr fontId="1"/>
  </si>
  <si>
    <t>幻</t>
    <rPh sb="0" eb="1">
      <t>マボロシ</t>
    </rPh>
    <phoneticPr fontId="1"/>
  </si>
  <si>
    <t>脱力</t>
    <rPh sb="0" eb="2">
      <t>ダツリョク</t>
    </rPh>
    <phoneticPr fontId="1"/>
  </si>
  <si>
    <t>天啓</t>
    <rPh sb="0" eb="2">
      <t>テンケイ</t>
    </rPh>
    <phoneticPr fontId="1"/>
  </si>
  <si>
    <t>作成</t>
    <rPh sb="0" eb="2">
      <t>サクセイ</t>
    </rPh>
    <phoneticPr fontId="1"/>
  </si>
  <si>
    <t>銀章</t>
    <rPh sb="0" eb="2">
      <t>ギンショウ</t>
    </rPh>
    <phoneticPr fontId="1"/>
  </si>
  <si>
    <t>星空</t>
    <rPh sb="0" eb="2">
      <t>ホシゾラ</t>
    </rPh>
    <phoneticPr fontId="1"/>
  </si>
  <si>
    <t>slot</t>
  </si>
  <si>
    <t>slot</t>
    <phoneticPr fontId="1"/>
  </si>
  <si>
    <t>bonus</t>
  </si>
  <si>
    <t>bonus</t>
    <phoneticPr fontId="1"/>
  </si>
  <si>
    <t>金章</t>
    <rPh sb="0" eb="2">
      <t>キンショウ</t>
    </rPh>
    <phoneticPr fontId="1"/>
  </si>
  <si>
    <t>スロット</t>
    <phoneticPr fontId="1"/>
  </si>
  <si>
    <t>ハート</t>
    <phoneticPr fontId="1"/>
  </si>
  <si>
    <t>オリ</t>
    <phoneticPr fontId="1"/>
  </si>
  <si>
    <t>壺</t>
    <rPh sb="0" eb="1">
      <t>ツボ</t>
    </rPh>
    <phoneticPr fontId="1"/>
  </si>
  <si>
    <t>ボイリング</t>
    <phoneticPr fontId="1"/>
  </si>
  <si>
    <t>スチール</t>
    <phoneticPr fontId="1"/>
  </si>
  <si>
    <t>フューリー</t>
    <phoneticPr fontId="1"/>
  </si>
  <si>
    <t>ワキヤン</t>
    <phoneticPr fontId="1"/>
  </si>
  <si>
    <t>オブシディアン</t>
    <phoneticPr fontId="1"/>
  </si>
  <si>
    <t>アネモス</t>
    <phoneticPr fontId="1"/>
  </si>
  <si>
    <t>シェオル</t>
    <phoneticPr fontId="1"/>
  </si>
  <si>
    <t>3~4+2~4</t>
    <phoneticPr fontId="1"/>
  </si>
  <si>
    <t>ワンダリング</t>
    <phoneticPr fontId="1"/>
  </si>
  <si>
    <t>フロスト</t>
    <phoneticPr fontId="1"/>
  </si>
  <si>
    <t>スカーレット</t>
    <phoneticPr fontId="1"/>
  </si>
  <si>
    <t>ニーズ</t>
    <phoneticPr fontId="1"/>
  </si>
  <si>
    <t>5~6+1~2</t>
    <phoneticPr fontId="1"/>
  </si>
  <si>
    <t>真ドラ</t>
    <rPh sb="0" eb="1">
      <t>シン</t>
    </rPh>
    <phoneticPr fontId="1"/>
  </si>
  <si>
    <t>無</t>
    <rPh sb="0" eb="1">
      <t>ム</t>
    </rPh>
    <phoneticPr fontId="1"/>
  </si>
  <si>
    <t>その他</t>
    <phoneticPr fontId="1"/>
  </si>
  <si>
    <t>5+4~5</t>
    <phoneticPr fontId="1"/>
  </si>
  <si>
    <t>赤核</t>
    <rPh sb="0" eb="1">
      <t>アカ</t>
    </rPh>
    <rPh sb="1" eb="2">
      <t>カク</t>
    </rPh>
    <phoneticPr fontId="1"/>
  </si>
  <si>
    <t>石版</t>
    <rPh sb="0" eb="2">
      <t>セキバン</t>
    </rPh>
    <phoneticPr fontId="1"/>
  </si>
  <si>
    <t>P50/4</t>
    <phoneticPr fontId="1"/>
  </si>
  <si>
    <t>P70/8</t>
    <phoneticPr fontId="1"/>
  </si>
  <si>
    <t>5~</t>
    <phoneticPr fontId="1"/>
  </si>
  <si>
    <t>P80/8</t>
    <phoneticPr fontId="1"/>
  </si>
  <si>
    <t>4~</t>
    <phoneticPr fontId="1"/>
  </si>
  <si>
    <t>1~</t>
    <phoneticPr fontId="1"/>
  </si>
  <si>
    <t>2~</t>
    <phoneticPr fontId="1"/>
  </si>
  <si>
    <t>3~</t>
    <phoneticPr fontId="1"/>
  </si>
  <si>
    <t>6~</t>
    <phoneticPr fontId="1"/>
  </si>
  <si>
    <t>~ボーナス</t>
    <phoneticPr fontId="1"/>
  </si>
  <si>
    <t>~コンプ</t>
    <phoneticPr fontId="1"/>
  </si>
  <si>
    <t>～コンプ</t>
    <phoneticPr fontId="1"/>
  </si>
  <si>
    <t>2~3</t>
    <phoneticPr fontId="1"/>
  </si>
  <si>
    <t>3~4+2</t>
    <phoneticPr fontId="1"/>
  </si>
  <si>
    <r>
      <t>~</t>
    </r>
    <r>
      <rPr>
        <sz val="11"/>
        <color theme="1"/>
        <rFont val="ＭＳ Ｐゴシック"/>
        <family val="3"/>
        <charset val="128"/>
      </rPr>
      <t>コンプ</t>
    </r>
    <phoneticPr fontId="1"/>
  </si>
  <si>
    <r>
      <t>1</t>
    </r>
    <r>
      <rPr>
        <sz val="11"/>
        <color theme="1"/>
        <rFont val="ＭＳ Ｐゴシック"/>
        <family val="2"/>
        <charset val="128"/>
      </rPr>
      <t>セット</t>
    </r>
    <phoneticPr fontId="1"/>
  </si>
  <si>
    <r>
      <rPr>
        <sz val="11"/>
        <color theme="1"/>
        <rFont val="ＭＳ Ｐゴシック"/>
        <family val="2"/>
        <charset val="128"/>
      </rPr>
      <t>必要セット</t>
    </r>
    <rPh sb="0" eb="2">
      <t>ヒツヨウ</t>
    </rPh>
    <phoneticPr fontId="1"/>
  </si>
  <si>
    <r>
      <t>~6</t>
    </r>
    <r>
      <rPr>
        <sz val="11"/>
        <color theme="1"/>
        <rFont val="ＭＳ Ｐゴシック"/>
        <family val="2"/>
        <charset val="128"/>
      </rPr>
      <t>・</t>
    </r>
    <r>
      <rPr>
        <sz val="11"/>
        <color theme="1"/>
        <rFont val="Times New Roman"/>
        <family val="1"/>
      </rPr>
      <t>(</t>
    </r>
    <r>
      <rPr>
        <sz val="11"/>
        <color theme="1"/>
        <rFont val="ＭＳ Ｐゴシック"/>
        <family val="2"/>
        <charset val="128"/>
      </rPr>
      <t>ボーナス</t>
    </r>
    <r>
      <rPr>
        <sz val="11"/>
        <color theme="1"/>
        <rFont val="Times New Roman"/>
        <family val="1"/>
      </rPr>
      <t>+)</t>
    </r>
    <r>
      <rPr>
        <sz val="11"/>
        <color theme="1"/>
        <rFont val="ＭＳ Ｐゴシック"/>
        <family val="2"/>
        <charset val="128"/>
      </rPr>
      <t>・アビリティ</t>
    </r>
    <phoneticPr fontId="1"/>
  </si>
  <si>
    <r>
      <rPr>
        <sz val="11"/>
        <color theme="1"/>
        <rFont val="ＭＳ Ｐゴシック"/>
        <family val="2"/>
        <charset val="128"/>
      </rPr>
      <t>コンプ</t>
    </r>
    <r>
      <rPr>
        <sz val="11"/>
        <color theme="1"/>
        <rFont val="Times New Roman"/>
        <family val="1"/>
      </rPr>
      <t>(+)</t>
    </r>
    <phoneticPr fontId="1"/>
  </si>
  <si>
    <r>
      <rPr>
        <sz val="11"/>
        <color theme="1"/>
        <rFont val="ＭＳ Ｐゴシック"/>
        <family val="2"/>
        <charset val="128"/>
      </rPr>
      <t>銅</t>
    </r>
    <rPh sb="0" eb="1">
      <t>ドウ</t>
    </rPh>
    <phoneticPr fontId="1"/>
  </si>
  <si>
    <r>
      <t>~6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b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a</t>
    </r>
    <phoneticPr fontId="1"/>
  </si>
  <si>
    <r>
      <rPr>
        <sz val="11"/>
        <color theme="1"/>
        <rFont val="ＭＳ Ｐゴシック"/>
        <family val="2"/>
        <charset val="128"/>
      </rPr>
      <t>火</t>
    </r>
    <rPh sb="0" eb="1">
      <t>ヒ</t>
    </rPh>
    <phoneticPr fontId="1"/>
  </si>
  <si>
    <r>
      <rPr>
        <sz val="11"/>
        <color theme="1"/>
        <rFont val="ＭＳ Ｐゴシック"/>
        <family val="2"/>
        <charset val="128"/>
      </rPr>
      <t>水</t>
    </r>
  </si>
  <si>
    <r>
      <rPr>
        <sz val="11"/>
        <color theme="1"/>
        <rFont val="ＭＳ Ｐゴシック"/>
        <family val="2"/>
        <charset val="128"/>
      </rPr>
      <t>風</t>
    </r>
  </si>
  <si>
    <r>
      <rPr>
        <sz val="11"/>
        <color theme="1"/>
        <rFont val="ＭＳ Ｐゴシック"/>
        <family val="2"/>
        <charset val="128"/>
      </rPr>
      <t>光</t>
    </r>
  </si>
  <si>
    <r>
      <rPr>
        <sz val="11"/>
        <color theme="1"/>
        <rFont val="ＭＳ Ｐゴシック"/>
        <family val="2"/>
        <charset val="128"/>
      </rPr>
      <t>闇</t>
    </r>
  </si>
  <si>
    <r>
      <rPr>
        <sz val="11"/>
        <color theme="1"/>
        <rFont val="ＭＳ Ｐゴシック"/>
        <family val="2"/>
        <charset val="128"/>
      </rPr>
      <t>火</t>
    </r>
  </si>
  <si>
    <r>
      <rPr>
        <sz val="11"/>
        <color theme="1"/>
        <rFont val="Times New Roman"/>
        <family val="2"/>
        <charset val="128"/>
      </rPr>
      <t>ボイル</t>
    </r>
  </si>
  <si>
    <r>
      <rPr>
        <sz val="11"/>
        <color theme="1"/>
        <rFont val="Times New Roman"/>
        <family val="2"/>
        <charset val="128"/>
      </rPr>
      <t>ブロウ</t>
    </r>
  </si>
  <si>
    <r>
      <rPr>
        <sz val="11"/>
        <color theme="1"/>
        <rFont val="ＭＳ 明朝"/>
        <family val="1"/>
        <charset val="128"/>
      </rPr>
      <t>ワンダ</t>
    </r>
    <phoneticPr fontId="1"/>
  </si>
  <si>
    <r>
      <rPr>
        <sz val="11"/>
        <color theme="1"/>
        <rFont val="ＭＳ 明朝"/>
        <family val="1"/>
        <charset val="128"/>
      </rPr>
      <t>スカーレット</t>
    </r>
    <phoneticPr fontId="1"/>
  </si>
  <si>
    <r>
      <rPr>
        <sz val="11"/>
        <color theme="1"/>
        <rFont val="ＭＳ 明朝"/>
        <family val="1"/>
        <charset val="128"/>
      </rPr>
      <t>マリン</t>
    </r>
    <phoneticPr fontId="1"/>
  </si>
  <si>
    <r>
      <rPr>
        <sz val="11"/>
        <color theme="1"/>
        <rFont val="Times New Roman"/>
        <family val="2"/>
        <charset val="128"/>
      </rPr>
      <t>シトラス</t>
    </r>
  </si>
  <si>
    <r>
      <rPr>
        <sz val="11"/>
        <color theme="1"/>
        <rFont val="Times New Roman"/>
        <family val="2"/>
        <charset val="128"/>
      </rPr>
      <t>アイリス</t>
    </r>
  </si>
  <si>
    <r>
      <rPr>
        <sz val="11"/>
        <color theme="1"/>
        <rFont val="Times New Roman"/>
        <family val="2"/>
        <charset val="128"/>
      </rPr>
      <t>フロスト</t>
    </r>
  </si>
  <si>
    <r>
      <rPr>
        <sz val="11"/>
        <color theme="1"/>
        <rFont val="Times New Roman"/>
        <family val="2"/>
        <charset val="128"/>
      </rPr>
      <t>ダスク</t>
    </r>
  </si>
  <si>
    <r>
      <rPr>
        <sz val="11"/>
        <color theme="1"/>
        <rFont val="ＭＳ 明朝"/>
        <family val="1"/>
        <charset val="128"/>
      </rPr>
      <t>スチール</t>
    </r>
    <phoneticPr fontId="1"/>
  </si>
  <si>
    <r>
      <rPr>
        <sz val="11"/>
        <color theme="1"/>
        <rFont val="Times New Roman"/>
        <family val="2"/>
        <charset val="128"/>
      </rPr>
      <t>アンバー</t>
    </r>
  </si>
  <si>
    <r>
      <rPr>
        <sz val="11"/>
        <color theme="1"/>
        <rFont val="ＭＳ 明朝"/>
        <family val="1"/>
        <charset val="128"/>
      </rPr>
      <t>オブシ</t>
    </r>
    <phoneticPr fontId="1"/>
  </si>
  <si>
    <r>
      <rPr>
        <sz val="11"/>
        <color theme="1"/>
        <rFont val="Times New Roman"/>
        <family val="2"/>
        <charset val="128"/>
      </rPr>
      <t>フローガ</t>
    </r>
  </si>
  <si>
    <r>
      <rPr>
        <sz val="11"/>
        <color theme="1"/>
        <rFont val="ＭＳ 明朝"/>
        <family val="1"/>
        <charset val="128"/>
      </rPr>
      <t>アネモス</t>
    </r>
    <phoneticPr fontId="1"/>
  </si>
  <si>
    <r>
      <rPr>
        <sz val="11"/>
        <color theme="1"/>
        <rFont val="Times New Roman"/>
        <family val="2"/>
        <charset val="128"/>
      </rPr>
      <t>スキア</t>
    </r>
  </si>
  <si>
    <r>
      <rPr>
        <sz val="11"/>
        <color theme="1"/>
        <rFont val="Times New Roman"/>
        <family val="2"/>
        <charset val="128"/>
      </rPr>
      <t>ゲヘナ</t>
    </r>
  </si>
  <si>
    <r>
      <rPr>
        <sz val="11"/>
        <color theme="1"/>
        <rFont val="Times New Roman"/>
        <family val="2"/>
        <charset val="128"/>
      </rPr>
      <t>アビス</t>
    </r>
  </si>
  <si>
    <r>
      <rPr>
        <sz val="11"/>
        <color theme="1"/>
        <rFont val="ＭＳ 明朝"/>
        <family val="1"/>
        <charset val="128"/>
      </rPr>
      <t>シェオル</t>
    </r>
    <phoneticPr fontId="1"/>
  </si>
  <si>
    <r>
      <rPr>
        <sz val="11"/>
        <color theme="1"/>
        <rFont val="Times New Roman"/>
        <family val="2"/>
        <charset val="128"/>
      </rPr>
      <t>レイジ</t>
    </r>
  </si>
  <si>
    <r>
      <rPr>
        <sz val="11"/>
        <color theme="1"/>
        <rFont val="Times New Roman"/>
        <family val="2"/>
        <charset val="128"/>
      </rPr>
      <t>エンヴィ</t>
    </r>
  </si>
  <si>
    <r>
      <rPr>
        <sz val="11"/>
        <color theme="1"/>
        <rFont val="Times New Roman"/>
        <family val="2"/>
        <charset val="128"/>
      </rPr>
      <t>プライド</t>
    </r>
  </si>
  <si>
    <r>
      <rPr>
        <sz val="11"/>
        <color theme="1"/>
        <rFont val="ＭＳ 明朝"/>
        <family val="1"/>
        <charset val="128"/>
      </rPr>
      <t>フューリー</t>
    </r>
    <phoneticPr fontId="1"/>
  </si>
  <si>
    <r>
      <rPr>
        <sz val="11"/>
        <color theme="1"/>
        <rFont val="Times New Roman"/>
        <family val="2"/>
        <charset val="128"/>
      </rPr>
      <t>ワキヤン</t>
    </r>
  </si>
  <si>
    <r>
      <rPr>
        <sz val="11"/>
        <color theme="1"/>
        <rFont val="Times New Roman"/>
        <family val="2"/>
        <charset val="128"/>
      </rPr>
      <t>ポセイドン</t>
    </r>
  </si>
  <si>
    <r>
      <rPr>
        <sz val="11"/>
        <color theme="1"/>
        <rFont val="Times New Roman"/>
        <family val="2"/>
        <charset val="128"/>
      </rPr>
      <t>ジャンヌ</t>
    </r>
  </si>
  <si>
    <r>
      <rPr>
        <sz val="11"/>
        <color theme="1"/>
        <rFont val="ＭＳ 明朝"/>
        <family val="1"/>
        <charset val="128"/>
      </rPr>
      <t>ニーズ</t>
    </r>
    <phoneticPr fontId="1"/>
  </si>
  <si>
    <r>
      <rPr>
        <sz val="11"/>
        <color theme="1"/>
        <rFont val="Times New Roman"/>
        <family val="2"/>
        <charset val="128"/>
      </rPr>
      <t>アグニ</t>
    </r>
  </si>
  <si>
    <r>
      <t>s</t>
    </r>
    <r>
      <rPr>
        <sz val="11"/>
        <color theme="1"/>
        <rFont val="ＭＳ Ｐゴシック"/>
        <family val="1"/>
        <charset val="128"/>
      </rPr>
      <t>・</t>
    </r>
    <r>
      <rPr>
        <sz val="11"/>
        <color theme="1"/>
        <rFont val="Times New Roman"/>
        <family val="1"/>
      </rPr>
      <t>b</t>
    </r>
    <phoneticPr fontId="1"/>
  </si>
  <si>
    <t>キャラ</t>
    <phoneticPr fontId="1"/>
  </si>
  <si>
    <r>
      <rPr>
        <sz val="11"/>
        <color theme="1"/>
        <rFont val="ＭＳ Ｐゴシック"/>
        <family val="1"/>
        <charset val="128"/>
      </rPr>
      <t>残り</t>
    </r>
    <r>
      <rPr>
        <sz val="11"/>
        <color theme="1"/>
        <rFont val="Times New Roman"/>
        <family val="1"/>
      </rPr>
      <t>C70</t>
    </r>
    <rPh sb="0" eb="1">
      <t>ノコ</t>
    </rPh>
    <phoneticPr fontId="1"/>
  </si>
  <si>
    <t>ルピ</t>
    <phoneticPr fontId="1"/>
  </si>
  <si>
    <t>相当</t>
    <rPh sb="0" eb="2">
      <t>ソウトウ</t>
    </rPh>
    <phoneticPr fontId="1"/>
  </si>
  <si>
    <r>
      <t>~</t>
    </r>
    <r>
      <rPr>
        <sz val="11"/>
        <color theme="1"/>
        <rFont val="ＭＳ Ｐゴシック"/>
        <family val="1"/>
        <charset val="128"/>
      </rPr>
      <t>ボーナス</t>
    </r>
    <phoneticPr fontId="1"/>
  </si>
  <si>
    <r>
      <t>~</t>
    </r>
    <r>
      <rPr>
        <sz val="11"/>
        <color theme="1"/>
        <rFont val="ＭＳ Ｐゴシック"/>
        <family val="2"/>
        <charset val="128"/>
      </rPr>
      <t>コンプ</t>
    </r>
    <phoneticPr fontId="1"/>
  </si>
  <si>
    <t>絆の守護者</t>
    <rPh sb="0" eb="1">
      <t>キズナ</t>
    </rPh>
    <rPh sb="2" eb="5">
      <t>シュゴシャ</t>
    </rPh>
    <phoneticPr fontId="1"/>
  </si>
  <si>
    <t>愛し子に未来を</t>
    <rPh sb="0" eb="1">
      <t>イト</t>
    </rPh>
    <rPh sb="2" eb="3">
      <t>ゴ</t>
    </rPh>
    <rPh sb="4" eb="6">
      <t>ミライ</t>
    </rPh>
    <phoneticPr fontId="1"/>
  </si>
  <si>
    <t>幸福な時間</t>
    <rPh sb="0" eb="2">
      <t>コウフク</t>
    </rPh>
    <rPh sb="3" eb="5">
      <t>ジカン</t>
    </rPh>
    <phoneticPr fontId="1"/>
  </si>
  <si>
    <t>竜の恩寵</t>
    <rPh sb="0" eb="1">
      <t>リュウ</t>
    </rPh>
    <rPh sb="2" eb="4">
      <t>オンチョウ</t>
    </rPh>
    <phoneticPr fontId="1"/>
  </si>
  <si>
    <t>気絶</t>
    <rPh sb="0" eb="2">
      <t>キゼツ</t>
    </rPh>
    <phoneticPr fontId="1"/>
  </si>
  <si>
    <t>デバフ時間</t>
    <rPh sb="3" eb="5">
      <t>ジカン</t>
    </rPh>
    <phoneticPr fontId="1"/>
  </si>
  <si>
    <t>配布</t>
    <rPh sb="0" eb="2">
      <t>ハイフ</t>
    </rPh>
    <phoneticPr fontId="1"/>
  </si>
  <si>
    <t>回収率</t>
    <rPh sb="0" eb="3">
      <t>カイシュウリツ</t>
    </rPh>
    <phoneticPr fontId="1"/>
  </si>
  <si>
    <r>
      <t>~</t>
    </r>
    <r>
      <rPr>
        <sz val="11"/>
        <color theme="1"/>
        <rFont val="ＭＳ Ｐゴシック"/>
        <family val="1"/>
        <charset val="128"/>
      </rPr>
      <t>コンプ</t>
    </r>
    <phoneticPr fontId="1"/>
  </si>
  <si>
    <t>ブラッド</t>
    <phoneticPr fontId="1"/>
  </si>
  <si>
    <t>オリハル</t>
    <phoneticPr fontId="1"/>
  </si>
  <si>
    <t>銃</t>
    <rPh sb="0" eb="1">
      <t>ジュウ</t>
    </rPh>
    <phoneticPr fontId="1"/>
  </si>
  <si>
    <t>～ボーナス</t>
    <phoneticPr fontId="1"/>
  </si>
  <si>
    <r>
      <t>~</t>
    </r>
    <r>
      <rPr>
        <sz val="11"/>
        <color theme="1"/>
        <rFont val="ＭＳ Ｐゴシック"/>
        <family val="1"/>
        <charset val="128"/>
      </rPr>
      <t>ボーナス</t>
    </r>
    <r>
      <rPr>
        <sz val="11"/>
        <color theme="1"/>
        <rFont val="Times New Roman"/>
        <family val="1"/>
      </rPr>
      <t>+</t>
    </r>
    <r>
      <rPr>
        <sz val="11"/>
        <color theme="1"/>
        <rFont val="ＭＳ Ｐ明朝"/>
        <family val="1"/>
        <charset val="128"/>
      </rPr>
      <t>施設</t>
    </r>
    <r>
      <rPr>
        <sz val="11"/>
        <color theme="1"/>
        <rFont val="Times New Roman"/>
        <family val="1"/>
      </rPr>
      <t>+</t>
    </r>
    <r>
      <rPr>
        <sz val="11"/>
        <color theme="1"/>
        <rFont val="ＭＳ Ｐ明朝"/>
        <family val="1"/>
        <charset val="128"/>
      </rPr>
      <t>真ドラ</t>
    </r>
    <rPh sb="6" eb="8">
      <t>シセツ</t>
    </rPh>
    <rPh sb="9" eb="10">
      <t>シン</t>
    </rPh>
    <phoneticPr fontId="1"/>
  </si>
  <si>
    <r>
      <t>~</t>
    </r>
    <r>
      <rPr>
        <sz val="11"/>
        <color theme="1"/>
        <rFont val="ＭＳ Ｐゴシック"/>
        <family val="1"/>
        <charset val="128"/>
      </rPr>
      <t>ボーナス</t>
    </r>
    <r>
      <rPr>
        <sz val="11"/>
        <color theme="1"/>
        <rFont val="Times New Roman"/>
        <family val="1"/>
      </rPr>
      <t>+</t>
    </r>
    <r>
      <rPr>
        <sz val="11"/>
        <color theme="1"/>
        <rFont val="ＭＳ Ｐ明朝"/>
        <family val="1"/>
        <charset val="128"/>
      </rPr>
      <t>施設</t>
    </r>
    <rPh sb="6" eb="8">
      <t>シセツ</t>
    </rPh>
    <phoneticPr fontId="1"/>
  </si>
  <si>
    <t>9~10</t>
    <phoneticPr fontId="1"/>
  </si>
  <si>
    <t>2~3+2~3</t>
    <phoneticPr fontId="1"/>
  </si>
  <si>
    <t>使用済</t>
    <rPh sb="0" eb="3">
      <t>シヨウズミ</t>
    </rPh>
    <phoneticPr fontId="1"/>
  </si>
  <si>
    <t>5+2~3</t>
    <phoneticPr fontId="1"/>
  </si>
  <si>
    <t>5+1~2</t>
    <phoneticPr fontId="1"/>
  </si>
  <si>
    <t>3~4</t>
    <phoneticPr fontId="1"/>
  </si>
  <si>
    <t>セカンドアニバーサリー</t>
    <phoneticPr fontId="1"/>
  </si>
  <si>
    <t>一致団結</t>
    <rPh sb="0" eb="4">
      <t>イッチダンケツ</t>
    </rPh>
    <phoneticPr fontId="1"/>
  </si>
  <si>
    <t>ハート</t>
  </si>
  <si>
    <t>オリ</t>
  </si>
  <si>
    <t>~4</t>
    <phoneticPr fontId="1"/>
  </si>
  <si>
    <t>~1</t>
    <phoneticPr fontId="1"/>
  </si>
  <si>
    <r>
      <t>~</t>
    </r>
    <r>
      <rPr>
        <sz val="11"/>
        <color theme="1"/>
        <rFont val="ＭＳ Ｐ明朝"/>
        <family val="2"/>
        <charset val="128"/>
      </rPr>
      <t>ボーナス</t>
    </r>
    <phoneticPr fontId="1"/>
  </si>
  <si>
    <r>
      <t>~</t>
    </r>
    <r>
      <rPr>
        <sz val="11"/>
        <color theme="1"/>
        <rFont val="ＭＳ Ｐ明朝"/>
        <family val="2"/>
        <charset val="128"/>
      </rPr>
      <t>コンプ</t>
    </r>
    <phoneticPr fontId="1"/>
  </si>
  <si>
    <t>0/~1</t>
    <phoneticPr fontId="1"/>
  </si>
  <si>
    <t>~1/~4</t>
    <phoneticPr fontId="1"/>
  </si>
  <si>
    <t>~5/~8</t>
    <phoneticPr fontId="1"/>
  </si>
  <si>
    <t>残り最大周回数</t>
    <rPh sb="0" eb="1">
      <t>ノコ</t>
    </rPh>
    <rPh sb="2" eb="4">
      <t>サイダイ</t>
    </rPh>
    <rPh sb="4" eb="5">
      <t>シュウ</t>
    </rPh>
    <phoneticPr fontId="1"/>
  </si>
  <si>
    <t>復活0・ソロ・乱数含め平均</t>
    <rPh sb="0" eb="2">
      <t>フッカツ</t>
    </rPh>
    <rPh sb="7" eb="9">
      <t>ランスウ</t>
    </rPh>
    <rPh sb="9" eb="10">
      <t>フク</t>
    </rPh>
    <rPh sb="11" eb="13">
      <t>ヘイキン</t>
    </rPh>
    <phoneticPr fontId="1"/>
  </si>
  <si>
    <t>0~1</t>
    <phoneticPr fontId="1"/>
  </si>
  <si>
    <r>
      <t>~5</t>
    </r>
    <r>
      <rPr>
        <sz val="11"/>
        <color theme="1"/>
        <rFont val="ＭＳ Ｐ明朝"/>
        <family val="1"/>
        <charset val="128"/>
      </rPr>
      <t>凸+ボーナス</t>
    </r>
    <r>
      <rPr>
        <sz val="11"/>
        <color theme="1"/>
        <rFont val="Times New Roman"/>
        <family val="1"/>
      </rPr>
      <t>+</t>
    </r>
    <r>
      <rPr>
        <sz val="11"/>
        <color theme="1"/>
        <rFont val="ＭＳ Ｐ明朝"/>
        <family val="1"/>
        <charset val="128"/>
      </rPr>
      <t>スロット</t>
    </r>
    <r>
      <rPr>
        <sz val="11"/>
        <color theme="1"/>
        <rFont val="Times New Roman"/>
        <family val="1"/>
      </rPr>
      <t>+</t>
    </r>
    <r>
      <rPr>
        <sz val="11"/>
        <color theme="1"/>
        <rFont val="ＭＳ Ｐ明朝"/>
        <family val="1"/>
        <charset val="128"/>
      </rPr>
      <t>施設</t>
    </r>
    <rPh sb="2" eb="3">
      <t>トツ</t>
    </rPh>
    <rPh sb="14" eb="16">
      <t>シセツ</t>
    </rPh>
    <phoneticPr fontId="1"/>
  </si>
  <si>
    <t>コンプ</t>
    <phoneticPr fontId="1"/>
  </si>
  <si>
    <t>4~5</t>
    <phoneticPr fontId="1"/>
  </si>
  <si>
    <t>セットカウント(sb以外)</t>
    <rPh sb="10" eb="12">
      <t>イガイ</t>
    </rPh>
    <phoneticPr fontId="1"/>
  </si>
  <si>
    <r>
      <t>~</t>
    </r>
    <r>
      <rPr>
        <sz val="11"/>
        <color theme="1"/>
        <rFont val="ＭＳ Ｐ明朝"/>
        <family val="1"/>
        <charset val="128"/>
      </rPr>
      <t>ボーナス</t>
    </r>
    <phoneticPr fontId="1"/>
  </si>
  <si>
    <t>A3</t>
    <phoneticPr fontId="1"/>
  </si>
  <si>
    <t>Lv90</t>
    <phoneticPr fontId="1"/>
  </si>
  <si>
    <t>S1</t>
    <phoneticPr fontId="1"/>
  </si>
  <si>
    <t>A1</t>
    <phoneticPr fontId="1"/>
  </si>
  <si>
    <t>Lv95</t>
    <phoneticPr fontId="1"/>
  </si>
  <si>
    <t>A2</t>
    <phoneticPr fontId="1"/>
  </si>
  <si>
    <t>S2</t>
    <phoneticPr fontId="1"/>
  </si>
  <si>
    <t>Lv100</t>
    <phoneticPr fontId="1"/>
  </si>
  <si>
    <t>Combo</t>
    <phoneticPr fontId="1"/>
  </si>
  <si>
    <t>?</t>
    <phoneticPr fontId="1"/>
  </si>
  <si>
    <t>石版使用量</t>
    <rPh sb="0" eb="2">
      <t>セキバン</t>
    </rPh>
    <rPh sb="2" eb="5">
      <t>シヨウリョウ</t>
    </rPh>
    <phoneticPr fontId="1"/>
  </si>
  <si>
    <t>限定：ハロウィン</t>
    <rPh sb="0" eb="2">
      <t>ゲンテイ</t>
    </rPh>
    <phoneticPr fontId="1"/>
  </si>
  <si>
    <t>ユニオン
クラウン：スキダメ
フラッグ：ブレイク特効</t>
    <phoneticPr fontId="1"/>
  </si>
  <si>
    <t>剣：攻撃
弓：スキブ
槍：バースト
ドラゴン：竜化中ダメ</t>
    <rPh sb="0" eb="1">
      <t>ケン</t>
    </rPh>
    <rPh sb="2" eb="4">
      <t>コウゲキ</t>
    </rPh>
    <rPh sb="5" eb="6">
      <t>ユミ</t>
    </rPh>
    <rPh sb="11" eb="12">
      <t>ヤリ</t>
    </rPh>
    <phoneticPr fontId="1"/>
  </si>
  <si>
    <t>H鳥：火傷
F馬：気絶
パイソン：麻痺
ヘビ：呪い
聖光輪：バフ時間</t>
    <rPh sb="1" eb="2">
      <t>トリ</t>
    </rPh>
    <rPh sb="3" eb="5">
      <t>ヤケド</t>
    </rPh>
    <rPh sb="7" eb="8">
      <t>ウマ</t>
    </rPh>
    <rPh sb="9" eb="11">
      <t>キゼツ</t>
    </rPh>
    <rPh sb="17" eb="19">
      <t>マヒ</t>
    </rPh>
    <rPh sb="23" eb="24">
      <t>ノロ</t>
    </rPh>
    <phoneticPr fontId="1"/>
  </si>
  <si>
    <t>シークレットナイトメア</t>
    <phoneticPr fontId="1"/>
  </si>
  <si>
    <t>パーフェクト・メルヘン</t>
    <phoneticPr fontId="1"/>
  </si>
  <si>
    <t>毒トリガー</t>
    <rPh sb="0" eb="1">
      <t>ドク</t>
    </rPh>
    <phoneticPr fontId="1"/>
  </si>
  <si>
    <t>2~4</t>
    <phoneticPr fontId="1"/>
  </si>
  <si>
    <t>オペラ座にようこそ！</t>
    <rPh sb="3" eb="4">
      <t>ザ</t>
    </rPh>
    <phoneticPr fontId="1"/>
  </si>
  <si>
    <t>暗黒</t>
    <rPh sb="0" eb="2">
      <t>アンコク</t>
    </rPh>
    <phoneticPr fontId="1"/>
  </si>
  <si>
    <r>
      <rPr>
        <sz val="11"/>
        <color theme="1"/>
        <rFont val="ＭＳ Ｐゴシック"/>
        <family val="3"/>
        <charset val="128"/>
      </rPr>
      <t>素材</t>
    </r>
    <r>
      <rPr>
        <sz val="11"/>
        <color theme="1"/>
        <rFont val="Times New Roman"/>
        <family val="1"/>
      </rPr>
      <t>+50%</t>
    </r>
    <phoneticPr fontId="1"/>
  </si>
  <si>
    <t>ボヘミアン・オペラ</t>
    <phoneticPr fontId="1"/>
  </si>
  <si>
    <r>
      <rPr>
        <sz val="11"/>
        <color theme="1"/>
        <rFont val="ＭＳ Ｐ明朝"/>
        <family val="1"/>
        <charset val="128"/>
      </rPr>
      <t>攻</t>
    </r>
    <r>
      <rPr>
        <sz val="11"/>
        <color theme="1"/>
        <rFont val="Times New Roman"/>
        <family val="1"/>
      </rPr>
      <t>-10%&amp;</t>
    </r>
    <r>
      <rPr>
        <sz val="11"/>
        <color theme="1"/>
        <rFont val="ＭＳ Ｐ明朝"/>
        <family val="1"/>
        <charset val="128"/>
      </rPr>
      <t>弱体・攻</t>
    </r>
    <rPh sb="0" eb="1">
      <t>コウ</t>
    </rPh>
    <rPh sb="6" eb="8">
      <t>ジャクタイ</t>
    </rPh>
    <rPh sb="9" eb="10">
      <t>コウ</t>
    </rPh>
    <phoneticPr fontId="1"/>
  </si>
  <si>
    <t>青薔薇怪盗，ここに参上！</t>
    <rPh sb="0" eb="1">
      <t>アオ</t>
    </rPh>
    <rPh sb="1" eb="3">
      <t>バラ</t>
    </rPh>
    <rPh sb="3" eb="5">
      <t>カイトウ</t>
    </rPh>
    <rPh sb="9" eb="11">
      <t>サンジョウ</t>
    </rPh>
    <phoneticPr fontId="1"/>
  </si>
  <si>
    <r>
      <t>~</t>
    </r>
    <r>
      <rPr>
        <sz val="11"/>
        <color theme="1"/>
        <rFont val="Times New Roman"/>
        <family val="2"/>
      </rPr>
      <t>5</t>
    </r>
    <r>
      <rPr>
        <sz val="11"/>
        <color theme="1"/>
        <rFont val="ＭＳ Ｐ明朝"/>
        <family val="2"/>
        <charset val="128"/>
      </rPr>
      <t>凸</t>
    </r>
    <rPh sb="2" eb="3">
      <t>トツ</t>
    </rPh>
    <phoneticPr fontId="1"/>
  </si>
  <si>
    <t>過ぎ去りても変わらぬは</t>
    <rPh sb="0" eb="1">
      <t>ス</t>
    </rPh>
    <rPh sb="2" eb="3">
      <t>サ</t>
    </rPh>
    <rPh sb="6" eb="7">
      <t>カ</t>
    </rPh>
    <phoneticPr fontId="1"/>
  </si>
  <si>
    <t>ビューティフルガンマン</t>
    <phoneticPr fontId="1"/>
  </si>
  <si>
    <t>毒</t>
    <rPh sb="0" eb="1">
      <t>ドク</t>
    </rPh>
    <phoneticPr fontId="1"/>
  </si>
  <si>
    <t>換算</t>
    <rPh sb="0" eb="2">
      <t>カンサン</t>
    </rPh>
    <phoneticPr fontId="1"/>
  </si>
  <si>
    <t>day</t>
    <phoneticPr fontId="1"/>
  </si>
  <si>
    <t>date</t>
    <phoneticPr fontId="1"/>
  </si>
  <si>
    <t>left</t>
    <phoneticPr fontId="1"/>
  </si>
  <si>
    <t>レイド</t>
    <phoneticPr fontId="1"/>
  </si>
  <si>
    <t>初</t>
    <rPh sb="0" eb="1">
      <t>ショ</t>
    </rPh>
    <phoneticPr fontId="1"/>
  </si>
  <si>
    <t>かけら</t>
    <phoneticPr fontId="1"/>
  </si>
  <si>
    <t>上～</t>
    <rPh sb="0" eb="1">
      <t>ジョウ</t>
    </rPh>
    <phoneticPr fontId="1"/>
  </si>
  <si>
    <t>戦貨</t>
    <rPh sb="0" eb="1">
      <t>セン</t>
    </rPh>
    <rPh sb="1" eb="2">
      <t>カ</t>
    </rPh>
    <phoneticPr fontId="1"/>
  </si>
  <si>
    <t>33~35</t>
    <phoneticPr fontId="1"/>
  </si>
  <si>
    <t>23~24</t>
    <phoneticPr fontId="1"/>
  </si>
  <si>
    <t>8~9</t>
    <phoneticPr fontId="1"/>
  </si>
  <si>
    <t>4~6</t>
    <phoneticPr fontId="1"/>
  </si>
  <si>
    <t>絶</t>
    <rPh sb="0" eb="1">
      <t>ゼツ</t>
    </rPh>
    <phoneticPr fontId="1"/>
  </si>
  <si>
    <t>8~12</t>
    <phoneticPr fontId="1"/>
  </si>
  <si>
    <t>44~46</t>
    <phoneticPr fontId="1"/>
  </si>
  <si>
    <t>15~16</t>
    <phoneticPr fontId="1"/>
  </si>
  <si>
    <r>
      <t>65</t>
    </r>
    <r>
      <rPr>
        <sz val="11"/>
        <color theme="1"/>
        <rFont val="ＭＳ Ｐゴシック"/>
        <family val="2"/>
        <charset val="128"/>
      </rPr>
      <t>～</t>
    </r>
    <r>
      <rPr>
        <sz val="11"/>
        <color theme="1"/>
        <rFont val="Times New Roman"/>
        <family val="1"/>
      </rPr>
      <t>68</t>
    </r>
    <phoneticPr fontId="1"/>
  </si>
  <si>
    <r>
      <t>23</t>
    </r>
    <r>
      <rPr>
        <sz val="11"/>
        <color theme="1"/>
        <rFont val="ＭＳ Ｐゴシック"/>
        <family val="2"/>
        <charset val="128"/>
      </rPr>
      <t>～</t>
    </r>
    <r>
      <rPr>
        <sz val="11"/>
        <color theme="1"/>
        <rFont val="Times New Roman"/>
        <family val="1"/>
      </rPr>
      <t>26</t>
    </r>
    <phoneticPr fontId="1"/>
  </si>
  <si>
    <r>
      <t>78</t>
    </r>
    <r>
      <rPr>
        <sz val="11"/>
        <color theme="1"/>
        <rFont val="ＭＳ Ｐゴシック"/>
        <family val="2"/>
        <charset val="128"/>
      </rPr>
      <t>～</t>
    </r>
    <r>
      <rPr>
        <sz val="11"/>
        <color theme="1"/>
        <rFont val="Times New Roman"/>
        <family val="1"/>
      </rPr>
      <t>80</t>
    </r>
    <phoneticPr fontId="1"/>
  </si>
  <si>
    <r>
      <t>23</t>
    </r>
    <r>
      <rPr>
        <sz val="11"/>
        <color theme="1"/>
        <rFont val="ＭＳ Ｐゴシック"/>
        <family val="2"/>
        <charset val="128"/>
      </rPr>
      <t>～</t>
    </r>
    <r>
      <rPr>
        <sz val="11"/>
        <color theme="1"/>
        <rFont val="Times New Roman"/>
        <family val="1"/>
      </rPr>
      <t>25</t>
    </r>
    <phoneticPr fontId="1"/>
  </si>
  <si>
    <r>
      <t>139</t>
    </r>
    <r>
      <rPr>
        <sz val="11"/>
        <color theme="1"/>
        <rFont val="ＭＳ Ｐゴシック"/>
        <family val="2"/>
        <charset val="128"/>
      </rPr>
      <t>～</t>
    </r>
    <r>
      <rPr>
        <sz val="11"/>
        <color theme="1"/>
        <rFont val="Times New Roman"/>
        <family val="1"/>
      </rPr>
      <t>141</t>
    </r>
    <phoneticPr fontId="1"/>
  </si>
  <si>
    <r>
      <t>50</t>
    </r>
    <r>
      <rPr>
        <sz val="11"/>
        <color theme="1"/>
        <rFont val="ＭＳ Ｐ明朝"/>
        <family val="1"/>
        <charset val="128"/>
      </rPr>
      <t>ヒット</t>
    </r>
    <phoneticPr fontId="1"/>
  </si>
  <si>
    <t>3~6</t>
  </si>
  <si>
    <t>精錬2</t>
    <rPh sb="0" eb="2">
      <t>セイレン</t>
    </rPh>
    <phoneticPr fontId="1"/>
  </si>
  <si>
    <t>精錬１</t>
    <rPh sb="0" eb="2">
      <t>セイレン</t>
    </rPh>
    <phoneticPr fontId="1"/>
  </si>
  <si>
    <t>絶</t>
    <rPh sb="0" eb="1">
      <t>ゼツ</t>
    </rPh>
    <phoneticPr fontId="1"/>
  </si>
  <si>
    <t>8+4~6</t>
    <phoneticPr fontId="1"/>
  </si>
  <si>
    <t>-</t>
    <phoneticPr fontId="1"/>
  </si>
  <si>
    <t>絶</t>
    <rPh sb="0" eb="1">
      <t>ゼツ</t>
    </rPh>
    <phoneticPr fontId="1"/>
  </si>
  <si>
    <t>~5/~9</t>
    <phoneticPr fontId="1"/>
  </si>
  <si>
    <t>~1/~2</t>
    <phoneticPr fontId="1"/>
  </si>
  <si>
    <t>5~6+2~3</t>
    <phoneticPr fontId="1"/>
  </si>
  <si>
    <t>その頃のランドソル</t>
    <rPh sb="2" eb="3">
      <t>コロ</t>
    </rPh>
    <phoneticPr fontId="1"/>
  </si>
  <si>
    <t>強撃</t>
    <rPh sb="0" eb="2">
      <t>キョウゲキ</t>
    </rPh>
    <phoneticPr fontId="1"/>
  </si>
  <si>
    <t>レイド</t>
    <phoneticPr fontId="1"/>
  </si>
  <si>
    <t>ペコリーヌの大冒険</t>
    <rPh sb="6" eb="9">
      <t>ダイボウケン</t>
    </rPh>
    <phoneticPr fontId="1"/>
  </si>
  <si>
    <t>33~40</t>
    <phoneticPr fontId="1"/>
  </si>
  <si>
    <t>3~7</t>
    <phoneticPr fontId="1"/>
  </si>
  <si>
    <r>
      <rPr>
        <sz val="11"/>
        <color theme="1"/>
        <rFont val="ＭＳ Ｐゴシック"/>
        <family val="3"/>
        <charset val="128"/>
      </rPr>
      <t>素材</t>
    </r>
    <r>
      <rPr>
        <sz val="11"/>
        <color theme="1"/>
        <rFont val="Times New Roman"/>
        <family val="1"/>
      </rPr>
      <t>+75%</t>
    </r>
    <phoneticPr fontId="1"/>
  </si>
  <si>
    <r>
      <rPr>
        <sz val="11"/>
        <color theme="1"/>
        <rFont val="ＭＳ Ｐ明朝"/>
        <family val="1"/>
        <charset val="128"/>
      </rPr>
      <t>機関銃</t>
    </r>
    <phoneticPr fontId="1"/>
  </si>
  <si>
    <r>
      <rPr>
        <sz val="11"/>
        <color theme="1"/>
        <rFont val="ＭＳ Ｐ明朝"/>
        <family val="1"/>
        <charset val="128"/>
      </rPr>
      <t>ノエル</t>
    </r>
    <phoneticPr fontId="1"/>
  </si>
  <si>
    <r>
      <rPr>
        <sz val="11"/>
        <color theme="1"/>
        <rFont val="ＭＳ Ｐ明朝"/>
        <family val="1"/>
        <charset val="128"/>
      </rPr>
      <t>ミツバ</t>
    </r>
    <phoneticPr fontId="1"/>
  </si>
  <si>
    <r>
      <rPr>
        <sz val="11"/>
        <color theme="1"/>
        <rFont val="ＭＳ Ｐ明朝"/>
        <family val="1"/>
        <charset val="128"/>
      </rPr>
      <t>ヨアキム</t>
    </r>
    <phoneticPr fontId="1"/>
  </si>
  <si>
    <r>
      <rPr>
        <sz val="11"/>
        <color theme="1"/>
        <rFont val="ＭＳ Ｐ明朝"/>
        <family val="1"/>
        <charset val="128"/>
      </rPr>
      <t>メーネ</t>
    </r>
    <phoneticPr fontId="1"/>
  </si>
  <si>
    <r>
      <rPr>
        <sz val="11"/>
        <color theme="1"/>
        <rFont val="ＭＳ Ｐ明朝"/>
        <family val="1"/>
        <charset val="128"/>
      </rPr>
      <t>レオニード</t>
    </r>
    <phoneticPr fontId="1"/>
  </si>
  <si>
    <r>
      <rPr>
        <sz val="11"/>
        <color theme="1"/>
        <rFont val="ＭＳ Ｐ明朝"/>
        <family val="1"/>
        <charset val="128"/>
      </rPr>
      <t>ペコリーヌ</t>
    </r>
    <phoneticPr fontId="1"/>
  </si>
  <si>
    <r>
      <rPr>
        <sz val="11"/>
        <color theme="1"/>
        <rFont val="ＭＳ Ｐ明朝"/>
        <family val="1"/>
        <charset val="128"/>
      </rPr>
      <t>イリア</t>
    </r>
    <phoneticPr fontId="1"/>
  </si>
  <si>
    <r>
      <rPr>
        <sz val="11"/>
        <color theme="1"/>
        <rFont val="ＭＳ Ｐ明朝"/>
        <family val="1"/>
        <charset val="128"/>
      </rPr>
      <t>モルティス</t>
    </r>
    <phoneticPr fontId="1"/>
  </si>
  <si>
    <r>
      <rPr>
        <sz val="11"/>
        <color theme="1"/>
        <rFont val="ＭＳ Ｐ明朝"/>
        <family val="1"/>
        <charset val="128"/>
      </rPr>
      <t>ラピス</t>
    </r>
    <phoneticPr fontId="1"/>
  </si>
  <si>
    <r>
      <rPr>
        <sz val="11"/>
        <color theme="1"/>
        <rFont val="ＭＳ Ｐ明朝"/>
        <family val="1"/>
        <charset val="128"/>
      </rPr>
      <t>アカーシャ</t>
    </r>
    <phoneticPr fontId="1"/>
  </si>
  <si>
    <r>
      <rPr>
        <sz val="11"/>
        <color theme="1"/>
        <rFont val="ＭＳ Ｐ明朝"/>
        <family val="1"/>
        <charset val="128"/>
      </rPr>
      <t>シェス</t>
    </r>
    <phoneticPr fontId="1"/>
  </si>
  <si>
    <r>
      <rPr>
        <sz val="11"/>
        <color theme="1"/>
        <rFont val="ＭＳ Ｐ明朝"/>
        <family val="1"/>
        <charset val="128"/>
      </rPr>
      <t>カーリナ</t>
    </r>
    <phoneticPr fontId="1"/>
  </si>
  <si>
    <r>
      <rPr>
        <sz val="11"/>
        <color theme="1"/>
        <rFont val="ＭＳ Ｐ明朝"/>
        <family val="1"/>
        <charset val="128"/>
      </rPr>
      <t>時期</t>
    </r>
    <rPh sb="0" eb="2">
      <t>ジキ</t>
    </rPh>
    <phoneticPr fontId="1"/>
  </si>
  <si>
    <r>
      <rPr>
        <sz val="11"/>
        <color theme="1"/>
        <rFont val="ＭＳ Ｐ明朝"/>
        <family val="1"/>
        <charset val="128"/>
      </rPr>
      <t>烈風トリガー</t>
    </r>
    <rPh sb="0" eb="2">
      <t>レップウ</t>
    </rPh>
    <phoneticPr fontId="1"/>
  </si>
  <si>
    <r>
      <rPr>
        <sz val="11"/>
        <color theme="1"/>
        <rFont val="ＭＳ Ｐ明朝"/>
        <family val="1"/>
        <charset val="128"/>
      </rPr>
      <t>毒付与率</t>
    </r>
    <rPh sb="0" eb="1">
      <t>ドク</t>
    </rPh>
    <rPh sb="1" eb="3">
      <t>フヨ</t>
    </rPh>
    <rPh sb="3" eb="4">
      <t>リツ</t>
    </rPh>
    <phoneticPr fontId="1"/>
  </si>
  <si>
    <r>
      <rPr>
        <sz val="11"/>
        <color theme="1"/>
        <rFont val="ＭＳ Ｐ明朝"/>
        <family val="1"/>
        <charset val="128"/>
      </rPr>
      <t>被ダメ</t>
    </r>
    <rPh sb="0" eb="1">
      <t>ヒ</t>
    </rPh>
    <phoneticPr fontId="1"/>
  </si>
  <si>
    <r>
      <rPr>
        <sz val="11"/>
        <color theme="1"/>
        <rFont val="ＭＳ Ｐ明朝"/>
        <family val="1"/>
        <charset val="128"/>
      </rPr>
      <t>耐風</t>
    </r>
    <rPh sb="0" eb="1">
      <t>タイ</t>
    </rPh>
    <rPh sb="1" eb="2">
      <t>フウ</t>
    </rPh>
    <phoneticPr fontId="1"/>
  </si>
  <si>
    <r>
      <rPr>
        <sz val="11"/>
        <color theme="1"/>
        <rFont val="ＭＳ Ｐ明朝"/>
        <family val="1"/>
        <charset val="128"/>
      </rPr>
      <t>機関銃</t>
    </r>
    <rPh sb="0" eb="3">
      <t>キカンジュウ</t>
    </rPh>
    <phoneticPr fontId="1"/>
  </si>
  <si>
    <r>
      <rPr>
        <sz val="11"/>
        <color theme="1"/>
        <rFont val="ＭＳ Ｐ明朝"/>
        <family val="1"/>
        <charset val="128"/>
      </rPr>
      <t>竜化ゲージ</t>
    </r>
    <rPh sb="0" eb="2">
      <t>リュウカ</t>
    </rPh>
    <phoneticPr fontId="1"/>
  </si>
  <si>
    <r>
      <rPr>
        <sz val="11"/>
        <color theme="1"/>
        <rFont val="ＭＳ Ｐ明朝"/>
        <family val="1"/>
        <charset val="128"/>
      </rPr>
      <t>耐火</t>
    </r>
    <rPh sb="0" eb="2">
      <t>タイカ</t>
    </rPh>
    <phoneticPr fontId="1"/>
  </si>
  <si>
    <r>
      <rPr>
        <sz val="11"/>
        <color theme="1"/>
        <rFont val="ＭＳ Ｐ明朝"/>
        <family val="1"/>
        <charset val="128"/>
      </rPr>
      <t>シールド</t>
    </r>
    <phoneticPr fontId="1"/>
  </si>
  <si>
    <r>
      <rPr>
        <sz val="11"/>
        <color theme="1"/>
        <rFont val="ＭＳ Ｐ明朝"/>
        <family val="1"/>
        <charset val="128"/>
      </rPr>
      <t>バフ上</t>
    </r>
    <rPh sb="2" eb="3">
      <t>ジョウ</t>
    </rPh>
    <phoneticPr fontId="1"/>
  </si>
  <si>
    <r>
      <rPr>
        <sz val="11"/>
        <color theme="1"/>
        <rFont val="ＭＳ Ｐ明朝"/>
        <family val="1"/>
        <charset val="128"/>
      </rPr>
      <t>リナーシュ</t>
    </r>
    <phoneticPr fontId="1"/>
  </si>
  <si>
    <t>水</t>
    <rPh sb="0" eb="1">
      <t>ミズ</t>
    </rPh>
    <phoneticPr fontId="1"/>
  </si>
  <si>
    <t>闇</t>
    <rPh sb="0" eb="1">
      <t>ヤミ</t>
    </rPh>
    <phoneticPr fontId="1"/>
  </si>
  <si>
    <t>杖</t>
    <rPh sb="0" eb="1">
      <t>ツエ</t>
    </rPh>
    <phoneticPr fontId="1"/>
  </si>
  <si>
    <t>斧</t>
    <rPh sb="0" eb="1">
      <t>オノ</t>
    </rPh>
    <phoneticPr fontId="1"/>
  </si>
  <si>
    <t>リリィ</t>
    <phoneticPr fontId="1"/>
  </si>
  <si>
    <t>星竜祭</t>
    <rPh sb="0" eb="3">
      <t>セイリュウサイ</t>
    </rPh>
    <phoneticPr fontId="1"/>
  </si>
  <si>
    <t>ヴィクター</t>
    <phoneticPr fontId="1"/>
  </si>
  <si>
    <t>回復</t>
    <rPh sb="0" eb="2">
      <t>カイフク</t>
    </rPh>
    <phoneticPr fontId="1"/>
  </si>
  <si>
    <r>
      <t>HP</t>
    </r>
    <r>
      <rPr>
        <sz val="11"/>
        <color theme="1"/>
        <rFont val="ＭＳ Ｐ明朝"/>
        <family val="1"/>
        <charset val="128"/>
      </rPr>
      <t>回復</t>
    </r>
    <rPh sb="2" eb="4">
      <t>カイフク</t>
    </rPh>
    <phoneticPr fontId="1"/>
  </si>
  <si>
    <t>攻撃</t>
    <rPh sb="0" eb="2">
      <t>コウゲキ</t>
    </rPh>
    <phoneticPr fontId="1"/>
  </si>
  <si>
    <t>防御</t>
    <rPh sb="0" eb="2">
      <t>ボウギョ</t>
    </rPh>
    <phoneticPr fontId="1"/>
  </si>
  <si>
    <t>バフ上</t>
    <rPh sb="2" eb="3">
      <t>ジョウ</t>
    </rPh>
    <phoneticPr fontId="1"/>
  </si>
  <si>
    <t>切り傷</t>
    <rPh sb="0" eb="1">
      <t>キ</t>
    </rPh>
    <rPh sb="2" eb="3">
      <t>キズ</t>
    </rPh>
    <phoneticPr fontId="1"/>
  </si>
  <si>
    <t>限定：星竜祭</t>
    <rPh sb="0" eb="2">
      <t>ゲンテイ</t>
    </rPh>
    <rPh sb="3" eb="6">
      <t>セイリュウサイ</t>
    </rPh>
    <phoneticPr fontId="1"/>
  </si>
  <si>
    <t>ドリーミング・ホリデイ</t>
    <phoneticPr fontId="1"/>
  </si>
  <si>
    <t>火</t>
    <rPh sb="0" eb="1">
      <t>ヒ</t>
    </rPh>
    <phoneticPr fontId="1"/>
  </si>
  <si>
    <t>セイメイ</t>
    <phoneticPr fontId="1"/>
  </si>
  <si>
    <t>お正月</t>
    <rPh sb="1" eb="3">
      <t>ショウガツ</t>
    </rPh>
    <phoneticPr fontId="1"/>
  </si>
  <si>
    <t>散弾銃</t>
    <rPh sb="0" eb="3">
      <t>サンダンジュウ</t>
    </rPh>
    <phoneticPr fontId="1"/>
  </si>
  <si>
    <t>ヨシツネ</t>
    <phoneticPr fontId="1"/>
  </si>
  <si>
    <t>回避</t>
    <rPh sb="0" eb="2">
      <t>カイヒ</t>
    </rPh>
    <phoneticPr fontId="1"/>
  </si>
  <si>
    <t>火</t>
    <rPh sb="0" eb="1">
      <t>ヒ</t>
    </rPh>
    <phoneticPr fontId="1"/>
  </si>
  <si>
    <t>杖</t>
    <rPh sb="0" eb="1">
      <t>ツエ</t>
    </rPh>
    <phoneticPr fontId="1"/>
  </si>
  <si>
    <t>クズハ</t>
    <phoneticPr fontId="1"/>
  </si>
  <si>
    <t>イベント</t>
    <phoneticPr fontId="1"/>
  </si>
  <si>
    <t>新春カワイイ流天下一決定戦</t>
    <rPh sb="0" eb="2">
      <t>シンシュン</t>
    </rPh>
    <rPh sb="6" eb="7">
      <t>リュウ</t>
    </rPh>
    <rPh sb="7" eb="10">
      <t>テンカイチ</t>
    </rPh>
    <rPh sb="10" eb="13">
      <t>ケッテイセン</t>
    </rPh>
    <phoneticPr fontId="1"/>
  </si>
  <si>
    <t>劫火</t>
    <rPh sb="0" eb="2">
      <t>ゴウカ</t>
    </rPh>
    <phoneticPr fontId="1"/>
  </si>
  <si>
    <t>限定：お正月</t>
    <rPh sb="0" eb="2">
      <t>ゲンテイ</t>
    </rPh>
    <rPh sb="4" eb="6">
      <t>ショウガツ</t>
    </rPh>
    <phoneticPr fontId="1"/>
  </si>
  <si>
    <t>アマテラス奉納舞</t>
    <rPh sb="5" eb="7">
      <t>ホウノウ</t>
    </rPh>
    <rPh sb="7" eb="8">
      <t>マイ</t>
    </rPh>
    <phoneticPr fontId="1"/>
  </si>
  <si>
    <t>配布：お正月</t>
    <rPh sb="0" eb="2">
      <t>ハイフ</t>
    </rPh>
    <rPh sb="4" eb="6">
      <t>ショウガツ</t>
    </rPh>
    <phoneticPr fontId="1"/>
  </si>
  <si>
    <t>ヒット延長</t>
    <rPh sb="3" eb="5">
      <t>エンチョウ</t>
    </rPh>
    <phoneticPr fontId="1"/>
  </si>
  <si>
    <r>
      <t>5</t>
    </r>
    <r>
      <rPr>
        <sz val="11"/>
        <color theme="1"/>
        <rFont val="ＭＳ Ｐ明朝"/>
        <family val="2"/>
        <charset val="128"/>
      </rPr>
      <t>凸</t>
    </r>
    <r>
      <rPr>
        <sz val="11"/>
        <color theme="1"/>
        <rFont val="Times New Roman"/>
        <family val="2"/>
        <charset val="128"/>
      </rPr>
      <t>+</t>
    </r>
    <r>
      <rPr>
        <sz val="11"/>
        <color theme="1"/>
        <rFont val="ＭＳ Ｐ明朝"/>
        <family val="2"/>
        <charset val="128"/>
      </rPr>
      <t>スロット</t>
    </r>
    <rPh sb="1" eb="2">
      <t>トツ</t>
    </rPh>
    <phoneticPr fontId="1"/>
  </si>
  <si>
    <r>
      <t>9</t>
    </r>
    <r>
      <rPr>
        <sz val="11"/>
        <color theme="1"/>
        <rFont val="ＭＳ Ｐ明朝"/>
        <family val="2"/>
        <charset val="128"/>
      </rPr>
      <t>凸</t>
    </r>
    <rPh sb="1" eb="2">
      <t>トツ</t>
    </rPh>
    <phoneticPr fontId="1"/>
  </si>
  <si>
    <r>
      <t>8</t>
    </r>
    <r>
      <rPr>
        <sz val="11"/>
        <color theme="1"/>
        <rFont val="ＭＳ Ｐ明朝"/>
        <family val="2"/>
        <charset val="128"/>
      </rPr>
      <t>凸</t>
    </r>
    <rPh sb="1" eb="2">
      <t>トツ</t>
    </rPh>
    <phoneticPr fontId="1"/>
  </si>
  <si>
    <t>耐水</t>
    <rPh sb="0" eb="2">
      <t>タイスイ</t>
    </rPh>
    <phoneticPr fontId="1"/>
  </si>
  <si>
    <t>耐火</t>
    <rPh sb="0" eb="2">
      <t>タイカ</t>
    </rPh>
    <phoneticPr fontId="1"/>
  </si>
  <si>
    <t>Ⅴ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</si>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</sst>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 x14ac:knownFonts="1">
    <font>
      <sz val="11"/>
      <color theme="1"/>
      <name val="Times New Roman"/>
      <family val="2"/>
      <charset val="128"/>
    </font>
    <font>
      <sz val="6"/>
      <name val="Times New Roman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明朝"/>
      <family val="2"/>
      <charset val="128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11"/>
      <color theme="1"/>
      <name val="ＭＳ 明朝"/>
      <family val="1"/>
      <charset val="128"/>
    </font>
    <font>
      <sz val="11"/>
      <color theme="1"/>
      <name val="Times New Roman"/>
      <family val="2"/>
    </font>
    <font>
      <sz val="11"/>
      <color theme="1"/>
      <name val="ＭＳ Ｐ明朝"/>
      <family val="1"/>
      <charset val="128"/>
    </font>
    <font>
      <sz val="11"/>
      <color theme="1" tint="0.499984740745262"/>
      <name val="Times New Roman"/>
      <family val="1"/>
    </font>
    <font>
      <sz val="11"/>
      <color theme="1"/>
      <name val="Times New Roman"/>
      <family val="1"/>
      <charset val="128"/>
    </font>
    <font>
      <sz val="11"/>
      <color theme="1"/>
      <name val="ＭＳ Ｐゴシック"/>
      <family val="1"/>
      <charset val="128"/>
    </font>
    <font>
      <sz val="11"/>
      <color theme="1"/>
      <name val="Times New Roman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FF"/>
        <bgColor indexed="64"/>
      </patternFill>
    </fill>
  </fills>
  <borders count="4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dashed">
        <color auto="1"/>
      </top>
      <bottom/>
      <diagonal/>
    </border>
    <border>
      <left style="thin">
        <color auto="1"/>
      </left>
      <right style="thick">
        <color auto="1"/>
      </right>
      <top/>
      <bottom style="dashed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0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Alignment="1">
      <alignment vertical="center" textRotation="255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255"/>
    </xf>
    <xf numFmtId="0" fontId="5" fillId="0" borderId="0" xfId="0" applyFont="1" applyAlignment="1">
      <alignment vertical="center" textRotation="255"/>
    </xf>
    <xf numFmtId="0" fontId="0" fillId="0" borderId="6" xfId="0" applyBorder="1">
      <alignment vertical="center"/>
    </xf>
    <xf numFmtId="0" fontId="0" fillId="2" borderId="8" xfId="0" applyFill="1" applyBorder="1">
      <alignment vertical="center"/>
    </xf>
    <xf numFmtId="0" fontId="0" fillId="3" borderId="8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5" xfId="0" applyBorder="1">
      <alignment vertical="center"/>
    </xf>
    <xf numFmtId="0" fontId="0" fillId="2" borderId="7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2" xfId="0" applyBorder="1">
      <alignment vertical="center"/>
    </xf>
    <xf numFmtId="0" fontId="3" fillId="0" borderId="5" xfId="0" applyFont="1" applyBorder="1">
      <alignment vertical="center"/>
    </xf>
    <xf numFmtId="0" fontId="0" fillId="2" borderId="10" xfId="0" applyFill="1" applyBorder="1">
      <alignment vertical="center"/>
    </xf>
    <xf numFmtId="0" fontId="0" fillId="3" borderId="10" xfId="0" applyFill="1" applyBorder="1">
      <alignment vertical="center"/>
    </xf>
    <xf numFmtId="0" fontId="0" fillId="4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6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37" xfId="0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2" borderId="34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4" xfId="0" applyFill="1" applyBorder="1">
      <alignment vertical="center"/>
    </xf>
    <xf numFmtId="0" fontId="0" fillId="4" borderId="30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34" xfId="0" applyFill="1" applyBorder="1">
      <alignment vertical="center"/>
    </xf>
    <xf numFmtId="0" fontId="0" fillId="5" borderId="30" xfId="0" applyFill="1" applyBorder="1">
      <alignment vertical="center"/>
    </xf>
    <xf numFmtId="0" fontId="0" fillId="5" borderId="31" xfId="0" applyFill="1" applyBorder="1">
      <alignment vertical="center"/>
    </xf>
    <xf numFmtId="0" fontId="0" fillId="5" borderId="34" xfId="0" applyFill="1" applyBorder="1">
      <alignment vertical="center"/>
    </xf>
    <xf numFmtId="0" fontId="0" fillId="6" borderId="30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44" xfId="0" applyFill="1" applyBorder="1">
      <alignment vertical="center"/>
    </xf>
    <xf numFmtId="0" fontId="0" fillId="6" borderId="45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textRotation="255"/>
    </xf>
    <xf numFmtId="0" fontId="8" fillId="0" borderId="0" xfId="0" applyFont="1" applyAlignment="1">
      <alignment vertical="center" textRotation="255"/>
    </xf>
    <xf numFmtId="0" fontId="8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textRotation="255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36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3" fillId="11" borderId="36" xfId="0" applyFon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textRotation="255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3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" fontId="0" fillId="0" borderId="0" xfId="0" applyNumberFormat="1">
      <alignment vertical="center"/>
    </xf>
    <xf numFmtId="0" fontId="4" fillId="0" borderId="11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255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textRotation="255" wrapText="1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4" fillId="0" borderId="4" xfId="0" applyFont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/>
    </xf>
  </cellXfs>
  <cellStyles count="1">
    <cellStyle name="標準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E4D2F2"/>
        </patternFill>
      </fill>
    </dxf>
  </dxfs>
  <tableStyles count="0" defaultTableStyle="TableStyleMedium2" defaultPivotStyle="PivotStyleLight16"/>
  <colors>
    <mruColors>
      <color rgb="FFE4D2F2"/>
      <color rgb="FFFFEBFF"/>
      <color rgb="FFDBB7FF"/>
      <color rgb="FFB381D9"/>
      <color rgb="FFEE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DFC8-ECAA-41D1-BAEF-A7BDED2B3597}">
  <dimension ref="B1:N232"/>
  <sheetViews>
    <sheetView zoomScale="80" zoomScaleNormal="80" workbookViewId="0">
      <pane ySplit="1" topLeftCell="A206" activePane="bottomLeft" state="frozen"/>
      <selection activeCell="G1" sqref="G1"/>
      <selection pane="bottomLeft" activeCell="K231" sqref="K231"/>
    </sheetView>
  </sheetViews>
  <sheetFormatPr defaultColWidth="8.88671875" defaultRowHeight="13.8" x14ac:dyDescent="0.25"/>
  <cols>
    <col min="1" max="1" width="8.88671875" style="2"/>
    <col min="2" max="3" width="3.77734375" style="305" customWidth="1"/>
    <col min="4" max="4" width="3.21875" style="305" customWidth="1"/>
    <col min="5" max="5" width="5.88671875" style="305" customWidth="1"/>
    <col min="6" max="6" width="15.44140625" style="2" bestFit="1" customWidth="1"/>
    <col min="7" max="7" width="4.109375" style="305" customWidth="1"/>
    <col min="8" max="8" width="3.77734375" style="305" customWidth="1"/>
    <col min="9" max="9" width="13.21875" style="2" bestFit="1" customWidth="1"/>
    <col min="10" max="10" width="5.5546875" style="305" customWidth="1"/>
    <col min="11" max="11" width="12.6640625" style="2" bestFit="1" customWidth="1"/>
    <col min="12" max="12" width="13.109375" style="2" bestFit="1" customWidth="1"/>
    <col min="13" max="13" width="4.109375" style="305" customWidth="1"/>
    <col min="14" max="14" width="12.6640625" style="2" bestFit="1" customWidth="1"/>
    <col min="15" max="16384" width="8.88671875" style="2"/>
  </cols>
  <sheetData>
    <row r="1" spans="2:14" ht="40.799999999999997" x14ac:dyDescent="0.25">
      <c r="B1" s="119" t="s">
        <v>1054</v>
      </c>
      <c r="C1" s="119" t="s">
        <v>107</v>
      </c>
      <c r="D1" s="119" t="s">
        <v>108</v>
      </c>
      <c r="E1" s="6" t="s">
        <v>695</v>
      </c>
      <c r="F1" s="6" t="s">
        <v>138</v>
      </c>
      <c r="G1" s="6" t="s">
        <v>9</v>
      </c>
      <c r="H1" s="6" t="s">
        <v>43</v>
      </c>
      <c r="I1" s="305" t="s">
        <v>122</v>
      </c>
      <c r="J1" s="118" t="s">
        <v>696</v>
      </c>
      <c r="K1" s="118" t="s">
        <v>697</v>
      </c>
      <c r="L1" s="118" t="s">
        <v>698</v>
      </c>
      <c r="M1" s="306" t="s">
        <v>699</v>
      </c>
      <c r="N1" s="6" t="s">
        <v>700</v>
      </c>
    </row>
    <row r="2" spans="2:14" x14ac:dyDescent="0.25">
      <c r="B2" s="305">
        <v>0</v>
      </c>
      <c r="C2" s="305">
        <v>3</v>
      </c>
      <c r="D2" s="305" t="s">
        <v>35</v>
      </c>
      <c r="E2" s="305" t="s">
        <v>34</v>
      </c>
      <c r="F2" s="2" t="s">
        <v>194</v>
      </c>
      <c r="G2" s="305">
        <v>40</v>
      </c>
      <c r="H2" s="305">
        <v>50</v>
      </c>
      <c r="I2" s="2" t="s">
        <v>93</v>
      </c>
      <c r="J2" s="305" t="s">
        <v>35</v>
      </c>
      <c r="K2" s="2" t="s">
        <v>684</v>
      </c>
      <c r="L2" s="2" t="s">
        <v>90</v>
      </c>
      <c r="M2" s="305">
        <v>6</v>
      </c>
    </row>
    <row r="3" spans="2:14" x14ac:dyDescent="0.25">
      <c r="B3" s="305">
        <v>0</v>
      </c>
      <c r="C3" s="305">
        <v>3</v>
      </c>
      <c r="D3" s="305" t="s">
        <v>36</v>
      </c>
      <c r="E3" s="305" t="s">
        <v>34</v>
      </c>
      <c r="F3" s="2" t="s">
        <v>213</v>
      </c>
      <c r="G3" s="305">
        <v>40</v>
      </c>
      <c r="H3" s="305">
        <v>50</v>
      </c>
      <c r="I3" s="2" t="s">
        <v>93</v>
      </c>
      <c r="J3" s="305" t="s">
        <v>36</v>
      </c>
      <c r="K3" s="2" t="s">
        <v>178</v>
      </c>
      <c r="L3" s="2" t="s">
        <v>90</v>
      </c>
      <c r="M3" s="305">
        <v>1</v>
      </c>
      <c r="N3" s="2" t="s">
        <v>701</v>
      </c>
    </row>
    <row r="4" spans="2:14" x14ac:dyDescent="0.25">
      <c r="B4" s="305">
        <v>0</v>
      </c>
      <c r="C4" s="305">
        <v>3</v>
      </c>
      <c r="D4" s="305" t="s">
        <v>38</v>
      </c>
      <c r="E4" s="305" t="s">
        <v>34</v>
      </c>
      <c r="F4" s="2" t="s">
        <v>170</v>
      </c>
      <c r="G4" s="305">
        <v>40</v>
      </c>
      <c r="H4" s="305">
        <v>50</v>
      </c>
      <c r="I4" s="2" t="s">
        <v>93</v>
      </c>
      <c r="J4" s="305" t="s">
        <v>38</v>
      </c>
      <c r="K4" s="2" t="s">
        <v>178</v>
      </c>
      <c r="L4" s="2" t="s">
        <v>90</v>
      </c>
      <c r="M4" s="305">
        <v>1</v>
      </c>
    </row>
    <row r="5" spans="2:14" x14ac:dyDescent="0.25">
      <c r="B5" s="305">
        <v>0</v>
      </c>
      <c r="C5" s="305">
        <v>3</v>
      </c>
      <c r="D5" s="305" t="s">
        <v>32</v>
      </c>
      <c r="E5" s="305" t="s">
        <v>133</v>
      </c>
      <c r="F5" s="2" t="s">
        <v>140</v>
      </c>
      <c r="G5" s="305">
        <v>40</v>
      </c>
      <c r="H5" s="305">
        <v>70</v>
      </c>
      <c r="I5" s="2" t="s">
        <v>90</v>
      </c>
      <c r="J5" s="305" t="s">
        <v>32</v>
      </c>
      <c r="K5" s="2" t="s">
        <v>683</v>
      </c>
      <c r="L5" s="2" t="s">
        <v>141</v>
      </c>
      <c r="M5" s="305">
        <v>3</v>
      </c>
      <c r="N5" s="2" t="s">
        <v>701</v>
      </c>
    </row>
    <row r="6" spans="2:14" x14ac:dyDescent="0.25">
      <c r="B6" s="305">
        <v>0</v>
      </c>
      <c r="C6" s="305">
        <v>3</v>
      </c>
      <c r="D6" s="305" t="s">
        <v>38</v>
      </c>
      <c r="E6" s="305" t="s">
        <v>133</v>
      </c>
      <c r="F6" s="2" t="s">
        <v>168</v>
      </c>
      <c r="G6" s="305">
        <v>40</v>
      </c>
      <c r="H6" s="305">
        <v>50</v>
      </c>
      <c r="I6" s="2" t="s">
        <v>90</v>
      </c>
      <c r="J6" s="305" t="s">
        <v>38</v>
      </c>
      <c r="K6" s="2" t="s">
        <v>680</v>
      </c>
      <c r="L6" s="2" t="s">
        <v>169</v>
      </c>
      <c r="M6" s="305">
        <v>3</v>
      </c>
      <c r="N6" s="2" t="s">
        <v>701</v>
      </c>
    </row>
    <row r="7" spans="2:14" x14ac:dyDescent="0.25">
      <c r="B7" s="305">
        <v>0</v>
      </c>
      <c r="C7" s="305">
        <v>3</v>
      </c>
      <c r="D7" s="305" t="s">
        <v>33</v>
      </c>
      <c r="E7" s="305" t="s">
        <v>133</v>
      </c>
      <c r="F7" s="2" t="s">
        <v>235</v>
      </c>
      <c r="G7" s="305">
        <v>40</v>
      </c>
      <c r="H7" s="305">
        <v>50</v>
      </c>
      <c r="I7" s="2" t="s">
        <v>90</v>
      </c>
      <c r="J7" s="305" t="s">
        <v>33</v>
      </c>
      <c r="K7" s="2" t="s">
        <v>42</v>
      </c>
      <c r="L7" s="2" t="s">
        <v>628</v>
      </c>
      <c r="M7" s="305">
        <v>5</v>
      </c>
    </row>
    <row r="8" spans="2:14" x14ac:dyDescent="0.25">
      <c r="B8" s="305">
        <v>0</v>
      </c>
      <c r="C8" s="305">
        <v>3</v>
      </c>
      <c r="D8" s="305" t="s">
        <v>36</v>
      </c>
      <c r="E8" s="305" t="s">
        <v>132</v>
      </c>
      <c r="F8" s="2" t="s">
        <v>210</v>
      </c>
      <c r="G8" s="305">
        <v>40</v>
      </c>
      <c r="H8" s="305">
        <v>50</v>
      </c>
      <c r="I8" s="2" t="s">
        <v>687</v>
      </c>
      <c r="J8" s="305" t="s">
        <v>36</v>
      </c>
      <c r="K8" s="2" t="s">
        <v>681</v>
      </c>
      <c r="L8" s="2" t="s">
        <v>90</v>
      </c>
      <c r="M8" s="305">
        <v>6</v>
      </c>
    </row>
    <row r="9" spans="2:14" x14ac:dyDescent="0.25">
      <c r="B9" s="305">
        <v>0</v>
      </c>
      <c r="C9" s="305">
        <v>3</v>
      </c>
      <c r="D9" s="305" t="s">
        <v>38</v>
      </c>
      <c r="E9" s="305" t="s">
        <v>132</v>
      </c>
      <c r="F9" s="2" t="s">
        <v>167</v>
      </c>
      <c r="G9" s="305">
        <v>40</v>
      </c>
      <c r="H9" s="305">
        <v>70</v>
      </c>
      <c r="I9" s="2" t="s">
        <v>687</v>
      </c>
      <c r="J9" s="305" t="s">
        <v>38</v>
      </c>
      <c r="K9" s="2" t="s">
        <v>178</v>
      </c>
      <c r="L9" s="2" t="s">
        <v>90</v>
      </c>
      <c r="M9" s="305">
        <v>1</v>
      </c>
      <c r="N9" s="2" t="s">
        <v>701</v>
      </c>
    </row>
    <row r="10" spans="2:14" x14ac:dyDescent="0.25">
      <c r="B10" s="305">
        <v>0</v>
      </c>
      <c r="C10" s="305">
        <v>3</v>
      </c>
      <c r="D10" s="305" t="s">
        <v>33</v>
      </c>
      <c r="E10" s="305" t="s">
        <v>132</v>
      </c>
      <c r="F10" s="2" t="s">
        <v>234</v>
      </c>
      <c r="G10" s="305">
        <v>40</v>
      </c>
      <c r="H10" s="305">
        <v>50</v>
      </c>
      <c r="I10" s="2" t="s">
        <v>687</v>
      </c>
      <c r="J10" s="305" t="s">
        <v>33</v>
      </c>
      <c r="K10" s="2" t="s">
        <v>178</v>
      </c>
      <c r="L10" s="2" t="s">
        <v>90</v>
      </c>
      <c r="M10" s="305">
        <v>1</v>
      </c>
    </row>
    <row r="11" spans="2:14" x14ac:dyDescent="0.25">
      <c r="B11" s="305">
        <v>0</v>
      </c>
      <c r="C11" s="305">
        <v>3</v>
      </c>
      <c r="D11" s="305" t="s">
        <v>35</v>
      </c>
      <c r="E11" s="305" t="s">
        <v>134</v>
      </c>
      <c r="F11" s="2" t="s">
        <v>193</v>
      </c>
      <c r="G11" s="305">
        <v>40</v>
      </c>
      <c r="H11" s="305">
        <v>50</v>
      </c>
      <c r="I11" s="2" t="s">
        <v>94</v>
      </c>
      <c r="J11" s="305" t="s">
        <v>35</v>
      </c>
      <c r="K11" s="2" t="s">
        <v>684</v>
      </c>
      <c r="L11" s="2" t="s">
        <v>192</v>
      </c>
      <c r="M11" s="305">
        <v>3</v>
      </c>
      <c r="N11" s="2" t="s">
        <v>701</v>
      </c>
    </row>
    <row r="12" spans="2:14" x14ac:dyDescent="0.25">
      <c r="B12" s="305">
        <v>0</v>
      </c>
      <c r="C12" s="305">
        <v>3</v>
      </c>
      <c r="D12" s="305" t="s">
        <v>36</v>
      </c>
      <c r="E12" s="305" t="s">
        <v>134</v>
      </c>
      <c r="F12" s="2" t="s">
        <v>211</v>
      </c>
      <c r="G12" s="305">
        <v>40</v>
      </c>
      <c r="H12" s="305">
        <v>50</v>
      </c>
      <c r="I12" s="2" t="s">
        <v>94</v>
      </c>
      <c r="J12" s="305" t="s">
        <v>36</v>
      </c>
      <c r="K12" s="2" t="s">
        <v>681</v>
      </c>
      <c r="L12" s="2" t="s">
        <v>212</v>
      </c>
      <c r="M12" s="305">
        <v>5</v>
      </c>
      <c r="N12" s="2" t="s">
        <v>701</v>
      </c>
    </row>
    <row r="13" spans="2:14" x14ac:dyDescent="0.25">
      <c r="B13" s="305">
        <v>0</v>
      </c>
      <c r="C13" s="305">
        <v>3</v>
      </c>
      <c r="D13" s="305" t="s">
        <v>33</v>
      </c>
      <c r="E13" s="305" t="s">
        <v>134</v>
      </c>
      <c r="F13" s="2" t="s">
        <v>236</v>
      </c>
      <c r="G13" s="305">
        <v>40</v>
      </c>
      <c r="H13" s="305">
        <v>70</v>
      </c>
      <c r="I13" s="2" t="s">
        <v>94</v>
      </c>
      <c r="J13" s="305" t="s">
        <v>33</v>
      </c>
      <c r="K13" s="2" t="s">
        <v>684</v>
      </c>
      <c r="L13" s="2" t="s">
        <v>130</v>
      </c>
      <c r="M13" s="305">
        <v>3</v>
      </c>
    </row>
    <row r="14" spans="2:14" x14ac:dyDescent="0.25">
      <c r="B14" s="305">
        <v>0</v>
      </c>
      <c r="C14" s="305">
        <v>3</v>
      </c>
      <c r="D14" s="305" t="s">
        <v>35</v>
      </c>
      <c r="E14" s="305" t="s">
        <v>137</v>
      </c>
      <c r="F14" s="2" t="s">
        <v>197</v>
      </c>
      <c r="G14" s="305">
        <v>47</v>
      </c>
      <c r="H14" s="305">
        <v>70</v>
      </c>
      <c r="I14" s="2" t="s">
        <v>715</v>
      </c>
      <c r="J14" s="305" t="s">
        <v>35</v>
      </c>
      <c r="K14" s="2" t="s">
        <v>684</v>
      </c>
      <c r="L14" s="2" t="s">
        <v>94</v>
      </c>
      <c r="M14" s="305">
        <v>8</v>
      </c>
      <c r="N14" s="2" t="s">
        <v>701</v>
      </c>
    </row>
    <row r="15" spans="2:14" x14ac:dyDescent="0.25">
      <c r="B15" s="305">
        <v>0</v>
      </c>
      <c r="C15" s="305">
        <v>3</v>
      </c>
      <c r="D15" s="305" t="s">
        <v>32</v>
      </c>
      <c r="E15" s="305" t="s">
        <v>137</v>
      </c>
      <c r="F15" s="2" t="s">
        <v>147</v>
      </c>
      <c r="G15" s="305">
        <v>47</v>
      </c>
      <c r="H15" s="305">
        <v>70</v>
      </c>
      <c r="I15" s="2" t="s">
        <v>715</v>
      </c>
      <c r="J15" s="305" t="s">
        <v>32</v>
      </c>
      <c r="K15" s="2" t="s">
        <v>683</v>
      </c>
      <c r="L15" s="2" t="s">
        <v>94</v>
      </c>
      <c r="M15" s="305">
        <v>8</v>
      </c>
      <c r="N15" s="2" t="s">
        <v>701</v>
      </c>
    </row>
    <row r="16" spans="2:14" x14ac:dyDescent="0.25">
      <c r="B16" s="305">
        <v>0</v>
      </c>
      <c r="C16" s="305">
        <v>3</v>
      </c>
      <c r="D16" s="305" t="s">
        <v>36</v>
      </c>
      <c r="E16" s="305" t="s">
        <v>137</v>
      </c>
      <c r="F16" s="2" t="s">
        <v>219</v>
      </c>
      <c r="G16" s="305">
        <v>47</v>
      </c>
      <c r="H16" s="305">
        <v>70</v>
      </c>
      <c r="I16" s="2" t="s">
        <v>715</v>
      </c>
      <c r="J16" s="305" t="s">
        <v>36</v>
      </c>
      <c r="K16" s="2" t="s">
        <v>42</v>
      </c>
      <c r="L16" s="2" t="s">
        <v>628</v>
      </c>
      <c r="M16" s="305">
        <v>6</v>
      </c>
    </row>
    <row r="17" spans="2:14" x14ac:dyDescent="0.25">
      <c r="B17" s="305">
        <v>0</v>
      </c>
      <c r="C17" s="305">
        <v>3</v>
      </c>
      <c r="D17" s="305" t="s">
        <v>36</v>
      </c>
      <c r="E17" s="305" t="s">
        <v>137</v>
      </c>
      <c r="F17" s="2" t="s">
        <v>218</v>
      </c>
      <c r="G17" s="305">
        <v>40</v>
      </c>
      <c r="H17" s="305">
        <v>50</v>
      </c>
      <c r="I17" s="2" t="s">
        <v>715</v>
      </c>
      <c r="J17" s="305" t="s">
        <v>36</v>
      </c>
      <c r="K17" s="2" t="s">
        <v>681</v>
      </c>
      <c r="L17" s="2" t="s">
        <v>94</v>
      </c>
      <c r="M17" s="305">
        <v>7</v>
      </c>
      <c r="N17" s="2" t="s">
        <v>701</v>
      </c>
    </row>
    <row r="18" spans="2:14" x14ac:dyDescent="0.25">
      <c r="B18" s="305">
        <v>0</v>
      </c>
      <c r="C18" s="305">
        <v>3</v>
      </c>
      <c r="D18" s="305" t="s">
        <v>38</v>
      </c>
      <c r="E18" s="305" t="s">
        <v>137</v>
      </c>
      <c r="F18" s="2" t="s">
        <v>173</v>
      </c>
      <c r="G18" s="305">
        <v>47</v>
      </c>
      <c r="H18" s="305">
        <v>70</v>
      </c>
      <c r="I18" s="2" t="s">
        <v>715</v>
      </c>
      <c r="J18" s="305" t="s">
        <v>38</v>
      </c>
      <c r="K18" s="2" t="s">
        <v>42</v>
      </c>
      <c r="L18" s="2" t="s">
        <v>628</v>
      </c>
      <c r="M18" s="305">
        <v>6</v>
      </c>
      <c r="N18" s="2" t="s">
        <v>701</v>
      </c>
    </row>
    <row r="19" spans="2:14" x14ac:dyDescent="0.25">
      <c r="B19" s="305">
        <v>0</v>
      </c>
      <c r="C19" s="305">
        <v>3</v>
      </c>
      <c r="D19" s="305" t="s">
        <v>33</v>
      </c>
      <c r="E19" s="305" t="s">
        <v>137</v>
      </c>
      <c r="F19" s="2" t="s">
        <v>241</v>
      </c>
      <c r="G19" s="305">
        <v>40</v>
      </c>
      <c r="H19" s="305">
        <v>50</v>
      </c>
      <c r="I19" s="2" t="s">
        <v>715</v>
      </c>
      <c r="J19" s="305" t="s">
        <v>33</v>
      </c>
      <c r="K19" s="2" t="s">
        <v>178</v>
      </c>
      <c r="L19" s="2" t="s">
        <v>90</v>
      </c>
      <c r="M19" s="305">
        <v>1</v>
      </c>
    </row>
    <row r="20" spans="2:14" x14ac:dyDescent="0.25">
      <c r="B20" s="305">
        <v>0</v>
      </c>
      <c r="C20" s="305">
        <v>3</v>
      </c>
      <c r="D20" s="305" t="s">
        <v>32</v>
      </c>
      <c r="E20" s="305" t="s">
        <v>135</v>
      </c>
      <c r="F20" s="2" t="s">
        <v>143</v>
      </c>
      <c r="G20" s="305">
        <v>40</v>
      </c>
      <c r="H20" s="305">
        <v>70</v>
      </c>
      <c r="I20" s="2" t="s">
        <v>23</v>
      </c>
      <c r="J20" s="305" t="s">
        <v>32</v>
      </c>
      <c r="K20" s="2" t="s">
        <v>682</v>
      </c>
      <c r="L20" s="2" t="s">
        <v>90</v>
      </c>
      <c r="M20" s="305">
        <v>10</v>
      </c>
    </row>
    <row r="21" spans="2:14" x14ac:dyDescent="0.25">
      <c r="B21" s="305">
        <v>0</v>
      </c>
      <c r="C21" s="305">
        <v>3</v>
      </c>
      <c r="D21" s="305" t="s">
        <v>36</v>
      </c>
      <c r="E21" s="305" t="s">
        <v>135</v>
      </c>
      <c r="F21" s="2" t="s">
        <v>214</v>
      </c>
      <c r="G21" s="305">
        <v>40</v>
      </c>
      <c r="H21" s="305">
        <v>50</v>
      </c>
      <c r="I21" s="2" t="s">
        <v>23</v>
      </c>
      <c r="J21" s="305" t="s">
        <v>36</v>
      </c>
      <c r="K21" s="2" t="s">
        <v>42</v>
      </c>
      <c r="L21" s="2" t="s">
        <v>93</v>
      </c>
      <c r="M21" s="305">
        <v>1</v>
      </c>
      <c r="N21" s="2" t="s">
        <v>701</v>
      </c>
    </row>
    <row r="22" spans="2:14" x14ac:dyDescent="0.25">
      <c r="B22" s="305">
        <v>0</v>
      </c>
      <c r="C22" s="305">
        <v>3</v>
      </c>
      <c r="D22" s="305" t="s">
        <v>35</v>
      </c>
      <c r="E22" s="305" t="s">
        <v>136</v>
      </c>
      <c r="F22" s="2" t="s">
        <v>195</v>
      </c>
      <c r="G22" s="305">
        <v>40</v>
      </c>
      <c r="H22" s="305">
        <v>50</v>
      </c>
      <c r="I22" s="2" t="s">
        <v>714</v>
      </c>
      <c r="J22" s="305" t="s">
        <v>35</v>
      </c>
      <c r="K22" s="2" t="s">
        <v>681</v>
      </c>
      <c r="L22" s="2" t="s">
        <v>192</v>
      </c>
      <c r="M22" s="305">
        <v>5</v>
      </c>
    </row>
    <row r="23" spans="2:14" x14ac:dyDescent="0.25">
      <c r="B23" s="305">
        <v>0</v>
      </c>
      <c r="C23" s="305">
        <v>3</v>
      </c>
      <c r="D23" s="305" t="s">
        <v>32</v>
      </c>
      <c r="E23" s="305" t="s">
        <v>136</v>
      </c>
      <c r="F23" s="2" t="s">
        <v>144</v>
      </c>
      <c r="G23" s="305">
        <v>40</v>
      </c>
      <c r="H23" s="305">
        <v>70</v>
      </c>
      <c r="I23" s="2" t="s">
        <v>714</v>
      </c>
      <c r="J23" s="305" t="s">
        <v>32</v>
      </c>
      <c r="K23" s="2" t="s">
        <v>42</v>
      </c>
      <c r="L23" s="2" t="s">
        <v>145</v>
      </c>
      <c r="M23" s="305">
        <v>20</v>
      </c>
      <c r="N23" s="2" t="s">
        <v>701</v>
      </c>
    </row>
    <row r="24" spans="2:14" x14ac:dyDescent="0.25">
      <c r="B24" s="305">
        <v>0</v>
      </c>
      <c r="C24" s="305">
        <v>3</v>
      </c>
      <c r="D24" s="305" t="s">
        <v>36</v>
      </c>
      <c r="E24" s="305" t="s">
        <v>136</v>
      </c>
      <c r="F24" s="2" t="s">
        <v>215</v>
      </c>
      <c r="G24" s="305">
        <v>40</v>
      </c>
      <c r="H24" s="305">
        <v>50</v>
      </c>
      <c r="I24" s="2" t="s">
        <v>714</v>
      </c>
      <c r="J24" s="305" t="s">
        <v>36</v>
      </c>
      <c r="K24" s="2" t="s">
        <v>42</v>
      </c>
      <c r="L24" s="2" t="s">
        <v>216</v>
      </c>
      <c r="M24" s="305">
        <v>20</v>
      </c>
    </row>
    <row r="25" spans="2:14" x14ac:dyDescent="0.25">
      <c r="B25" s="305">
        <v>0</v>
      </c>
      <c r="C25" s="305">
        <v>3</v>
      </c>
      <c r="D25" s="305" t="s">
        <v>38</v>
      </c>
      <c r="E25" s="305" t="s">
        <v>136</v>
      </c>
      <c r="F25" s="2" t="s">
        <v>172</v>
      </c>
      <c r="G25" s="305">
        <v>40</v>
      </c>
      <c r="H25" s="305">
        <v>50</v>
      </c>
      <c r="I25" s="2" t="s">
        <v>714</v>
      </c>
      <c r="J25" s="305" t="s">
        <v>38</v>
      </c>
      <c r="K25" s="2" t="s">
        <v>681</v>
      </c>
      <c r="L25" s="2" t="s">
        <v>169</v>
      </c>
      <c r="M25" s="305">
        <v>5</v>
      </c>
      <c r="N25" s="2" t="s">
        <v>701</v>
      </c>
    </row>
    <row r="26" spans="2:14" x14ac:dyDescent="0.25">
      <c r="B26" s="305">
        <v>0</v>
      </c>
      <c r="C26" s="305">
        <v>3</v>
      </c>
      <c r="D26" s="305" t="s">
        <v>35</v>
      </c>
      <c r="E26" s="305" t="s">
        <v>702</v>
      </c>
      <c r="F26" s="2" t="s">
        <v>196</v>
      </c>
      <c r="G26" s="305">
        <v>40</v>
      </c>
      <c r="H26" s="305">
        <v>50</v>
      </c>
      <c r="I26" s="2" t="s">
        <v>703</v>
      </c>
      <c r="J26" s="305" t="s">
        <v>35</v>
      </c>
      <c r="K26" s="2" t="s">
        <v>685</v>
      </c>
      <c r="L26" s="2" t="s">
        <v>192</v>
      </c>
      <c r="M26" s="305">
        <v>3</v>
      </c>
      <c r="N26" s="2" t="s">
        <v>701</v>
      </c>
    </row>
    <row r="27" spans="2:14" x14ac:dyDescent="0.25">
      <c r="B27" s="305">
        <v>0</v>
      </c>
      <c r="C27" s="305">
        <v>4</v>
      </c>
      <c r="D27" s="305" t="s">
        <v>35</v>
      </c>
      <c r="E27" s="305" t="s">
        <v>133</v>
      </c>
      <c r="F27" s="2" t="s">
        <v>199</v>
      </c>
      <c r="G27" s="305">
        <v>40</v>
      </c>
      <c r="H27" s="305">
        <v>50</v>
      </c>
      <c r="I27" s="2" t="s">
        <v>90</v>
      </c>
      <c r="J27" s="305" t="s">
        <v>35</v>
      </c>
      <c r="K27" s="2" t="s">
        <v>684</v>
      </c>
      <c r="L27" s="2" t="s">
        <v>192</v>
      </c>
      <c r="M27" s="305">
        <v>3</v>
      </c>
    </row>
    <row r="28" spans="2:14" x14ac:dyDescent="0.25">
      <c r="B28" s="305">
        <v>0</v>
      </c>
      <c r="C28" s="305">
        <v>4</v>
      </c>
      <c r="D28" s="305" t="s">
        <v>33</v>
      </c>
      <c r="E28" s="305" t="s">
        <v>132</v>
      </c>
      <c r="F28" s="2" t="s">
        <v>243</v>
      </c>
      <c r="G28" s="305">
        <v>40</v>
      </c>
      <c r="H28" s="305">
        <v>50</v>
      </c>
      <c r="I28" s="2" t="s">
        <v>687</v>
      </c>
      <c r="J28" s="305" t="s">
        <v>33</v>
      </c>
      <c r="K28" s="2" t="s">
        <v>682</v>
      </c>
      <c r="L28" s="2" t="s">
        <v>90</v>
      </c>
      <c r="M28" s="305">
        <v>10</v>
      </c>
    </row>
    <row r="29" spans="2:14" x14ac:dyDescent="0.25">
      <c r="B29" s="305">
        <v>0</v>
      </c>
      <c r="C29" s="305">
        <v>4</v>
      </c>
      <c r="D29" s="305" t="s">
        <v>33</v>
      </c>
      <c r="E29" s="305" t="s">
        <v>134</v>
      </c>
      <c r="F29" s="2" t="s">
        <v>245</v>
      </c>
      <c r="G29" s="305">
        <v>40</v>
      </c>
      <c r="H29" s="305">
        <v>50</v>
      </c>
      <c r="I29" s="2" t="s">
        <v>94</v>
      </c>
      <c r="J29" s="305" t="s">
        <v>33</v>
      </c>
      <c r="K29" s="2" t="s">
        <v>681</v>
      </c>
      <c r="L29" s="2" t="s">
        <v>130</v>
      </c>
      <c r="M29" s="305">
        <v>5</v>
      </c>
    </row>
    <row r="30" spans="2:14" x14ac:dyDescent="0.25">
      <c r="B30" s="305">
        <v>0</v>
      </c>
      <c r="C30" s="305">
        <v>4</v>
      </c>
      <c r="D30" s="305" t="s">
        <v>35</v>
      </c>
      <c r="E30" s="305" t="s">
        <v>135</v>
      </c>
      <c r="F30" s="2" t="s">
        <v>182</v>
      </c>
      <c r="G30" s="305">
        <v>40</v>
      </c>
      <c r="H30" s="305">
        <v>50</v>
      </c>
      <c r="I30" s="2" t="s">
        <v>23</v>
      </c>
      <c r="J30" s="305" t="s">
        <v>35</v>
      </c>
      <c r="K30" s="2" t="s">
        <v>685</v>
      </c>
      <c r="L30" s="2" t="s">
        <v>90</v>
      </c>
      <c r="M30" s="305">
        <v>5</v>
      </c>
    </row>
    <row r="31" spans="2:14" x14ac:dyDescent="0.25">
      <c r="B31" s="305">
        <v>0</v>
      </c>
      <c r="C31" s="305">
        <v>4</v>
      </c>
      <c r="D31" s="305" t="s">
        <v>36</v>
      </c>
      <c r="E31" s="305" t="s">
        <v>135</v>
      </c>
      <c r="F31" s="2" t="s">
        <v>224</v>
      </c>
      <c r="G31" s="305">
        <v>40</v>
      </c>
      <c r="H31" s="305">
        <v>50</v>
      </c>
      <c r="I31" s="2" t="s">
        <v>23</v>
      </c>
      <c r="J31" s="305" t="s">
        <v>36</v>
      </c>
      <c r="K31" s="2" t="s">
        <v>178</v>
      </c>
      <c r="L31" s="2" t="s">
        <v>90</v>
      </c>
      <c r="M31" s="305">
        <v>1</v>
      </c>
    </row>
    <row r="32" spans="2:14" x14ac:dyDescent="0.25">
      <c r="B32" s="305">
        <v>0</v>
      </c>
      <c r="C32" s="305">
        <v>4</v>
      </c>
      <c r="D32" s="305" t="s">
        <v>35</v>
      </c>
      <c r="E32" s="305" t="s">
        <v>136</v>
      </c>
      <c r="F32" s="2" t="s">
        <v>200</v>
      </c>
      <c r="G32" s="305">
        <v>40</v>
      </c>
      <c r="H32" s="305">
        <v>50</v>
      </c>
      <c r="I32" s="2" t="s">
        <v>714</v>
      </c>
      <c r="J32" s="305" t="s">
        <v>35</v>
      </c>
      <c r="K32" s="2" t="s">
        <v>42</v>
      </c>
      <c r="L32" s="2" t="s">
        <v>1056</v>
      </c>
      <c r="M32" s="305">
        <v>25</v>
      </c>
    </row>
    <row r="33" spans="2:14" x14ac:dyDescent="0.25">
      <c r="B33" s="305">
        <v>0</v>
      </c>
      <c r="C33" s="305">
        <v>4</v>
      </c>
      <c r="D33" s="305" t="s">
        <v>36</v>
      </c>
      <c r="E33" s="305" t="s">
        <v>136</v>
      </c>
      <c r="F33" s="2" t="s">
        <v>227</v>
      </c>
      <c r="G33" s="305">
        <v>40</v>
      </c>
      <c r="H33" s="305">
        <v>50</v>
      </c>
      <c r="I33" s="2" t="s">
        <v>714</v>
      </c>
      <c r="J33" s="305" t="s">
        <v>36</v>
      </c>
      <c r="K33" s="2" t="s">
        <v>681</v>
      </c>
      <c r="L33" s="2" t="s">
        <v>212</v>
      </c>
      <c r="M33" s="305">
        <v>5</v>
      </c>
    </row>
    <row r="34" spans="2:14" x14ac:dyDescent="0.25">
      <c r="B34" s="305">
        <v>0</v>
      </c>
      <c r="C34" s="305">
        <v>3</v>
      </c>
      <c r="D34" s="305" t="s">
        <v>35</v>
      </c>
      <c r="E34" s="305" t="s">
        <v>133</v>
      </c>
      <c r="F34" s="2" t="s">
        <v>191</v>
      </c>
      <c r="G34" s="305">
        <v>47</v>
      </c>
      <c r="H34" s="305">
        <v>70</v>
      </c>
      <c r="I34" s="2" t="s">
        <v>90</v>
      </c>
      <c r="J34" s="305" t="s">
        <v>35</v>
      </c>
      <c r="K34" s="2" t="s">
        <v>681</v>
      </c>
      <c r="L34" s="2" t="s">
        <v>192</v>
      </c>
      <c r="M34" s="305">
        <v>6</v>
      </c>
      <c r="N34" s="2" t="s">
        <v>701</v>
      </c>
    </row>
    <row r="35" spans="2:14" x14ac:dyDescent="0.25">
      <c r="B35" s="305">
        <v>0</v>
      </c>
      <c r="C35" s="305">
        <v>4</v>
      </c>
      <c r="D35" s="305" t="s">
        <v>32</v>
      </c>
      <c r="E35" s="305" t="s">
        <v>34</v>
      </c>
      <c r="F35" s="2" t="s">
        <v>148</v>
      </c>
      <c r="G35" s="305">
        <v>47</v>
      </c>
      <c r="H35" s="305">
        <v>70</v>
      </c>
      <c r="I35" s="2" t="s">
        <v>93</v>
      </c>
      <c r="J35" s="305" t="s">
        <v>32</v>
      </c>
      <c r="K35" s="2" t="s">
        <v>178</v>
      </c>
      <c r="L35" s="2" t="s">
        <v>90</v>
      </c>
      <c r="M35" s="305">
        <v>3</v>
      </c>
    </row>
    <row r="36" spans="2:14" x14ac:dyDescent="0.25">
      <c r="B36" s="305">
        <v>0</v>
      </c>
      <c r="C36" s="305">
        <v>4</v>
      </c>
      <c r="D36" s="305" t="s">
        <v>32</v>
      </c>
      <c r="E36" s="305" t="s">
        <v>132</v>
      </c>
      <c r="F36" s="2" t="s">
        <v>152</v>
      </c>
      <c r="G36" s="305">
        <v>47</v>
      </c>
      <c r="H36" s="305">
        <v>70</v>
      </c>
      <c r="I36" s="2" t="s">
        <v>687</v>
      </c>
      <c r="J36" s="305" t="s">
        <v>32</v>
      </c>
      <c r="K36" s="2" t="s">
        <v>681</v>
      </c>
      <c r="L36" s="2" t="s">
        <v>90</v>
      </c>
      <c r="M36" s="305">
        <v>8</v>
      </c>
    </row>
    <row r="37" spans="2:14" x14ac:dyDescent="0.25">
      <c r="B37" s="305">
        <v>0</v>
      </c>
      <c r="C37" s="305">
        <v>4</v>
      </c>
      <c r="D37" s="305" t="s">
        <v>38</v>
      </c>
      <c r="E37" s="305" t="s">
        <v>134</v>
      </c>
      <c r="F37" s="2" t="s">
        <v>181</v>
      </c>
      <c r="G37" s="305">
        <v>47</v>
      </c>
      <c r="H37" s="305">
        <v>70</v>
      </c>
      <c r="I37" s="2" t="s">
        <v>94</v>
      </c>
      <c r="J37" s="305" t="s">
        <v>38</v>
      </c>
      <c r="K37" s="2" t="s">
        <v>681</v>
      </c>
      <c r="L37" s="2" t="s">
        <v>169</v>
      </c>
      <c r="M37" s="305">
        <v>7</v>
      </c>
    </row>
    <row r="38" spans="2:14" x14ac:dyDescent="0.25">
      <c r="B38" s="305">
        <v>0</v>
      </c>
      <c r="C38" s="305">
        <v>4</v>
      </c>
      <c r="D38" s="305" t="s">
        <v>36</v>
      </c>
      <c r="E38" s="305" t="s">
        <v>136</v>
      </c>
      <c r="F38" s="2" t="s">
        <v>755</v>
      </c>
      <c r="G38" s="305">
        <v>47</v>
      </c>
      <c r="H38" s="305">
        <v>70</v>
      </c>
      <c r="I38" s="2" t="s">
        <v>714</v>
      </c>
      <c r="J38" s="305" t="s">
        <v>694</v>
      </c>
      <c r="K38" s="2" t="s">
        <v>42</v>
      </c>
      <c r="L38" s="2" t="s">
        <v>93</v>
      </c>
      <c r="M38" s="305">
        <v>2</v>
      </c>
      <c r="N38" s="2" t="s">
        <v>708</v>
      </c>
    </row>
    <row r="39" spans="2:14" x14ac:dyDescent="0.25">
      <c r="B39" s="305">
        <v>0</v>
      </c>
      <c r="C39" s="305">
        <v>4</v>
      </c>
      <c r="D39" s="305" t="s">
        <v>36</v>
      </c>
      <c r="E39" s="305" t="s">
        <v>702</v>
      </c>
      <c r="F39" s="2" t="s">
        <v>225</v>
      </c>
      <c r="G39" s="305">
        <v>47</v>
      </c>
      <c r="H39" s="305">
        <v>70</v>
      </c>
      <c r="I39" s="2" t="s">
        <v>703</v>
      </c>
      <c r="J39" s="305" t="s">
        <v>36</v>
      </c>
      <c r="K39" s="2" t="s">
        <v>688</v>
      </c>
      <c r="L39" s="2" t="s">
        <v>212</v>
      </c>
      <c r="M39" s="305">
        <v>3</v>
      </c>
    </row>
    <row r="40" spans="2:14" x14ac:dyDescent="0.25">
      <c r="B40" s="305">
        <v>0</v>
      </c>
      <c r="C40" s="305">
        <v>4</v>
      </c>
      <c r="D40" s="305" t="s">
        <v>33</v>
      </c>
      <c r="E40" s="305" t="s">
        <v>702</v>
      </c>
      <c r="F40" s="2" t="s">
        <v>247</v>
      </c>
      <c r="G40" s="305">
        <v>47</v>
      </c>
      <c r="H40" s="305">
        <v>70</v>
      </c>
      <c r="I40" s="2" t="s">
        <v>703</v>
      </c>
      <c r="J40" s="305" t="s">
        <v>33</v>
      </c>
      <c r="K40" s="2" t="s">
        <v>682</v>
      </c>
      <c r="L40" s="2" t="s">
        <v>130</v>
      </c>
      <c r="M40" s="305">
        <v>7</v>
      </c>
    </row>
    <row r="41" spans="2:14" x14ac:dyDescent="0.25">
      <c r="B41" s="305">
        <v>0</v>
      </c>
      <c r="C41" s="305">
        <v>5</v>
      </c>
      <c r="D41" s="305" t="s">
        <v>36</v>
      </c>
      <c r="E41" s="305" t="s">
        <v>34</v>
      </c>
      <c r="F41" s="2" t="s">
        <v>185</v>
      </c>
      <c r="G41" s="305">
        <v>47</v>
      </c>
      <c r="H41" s="305">
        <v>70</v>
      </c>
      <c r="I41" s="2" t="s">
        <v>93</v>
      </c>
      <c r="J41" s="305" t="s">
        <v>36</v>
      </c>
      <c r="K41" s="2" t="s">
        <v>688</v>
      </c>
      <c r="L41" s="2" t="s">
        <v>212</v>
      </c>
      <c r="M41" s="305">
        <v>3</v>
      </c>
    </row>
    <row r="42" spans="2:14" x14ac:dyDescent="0.25">
      <c r="B42" s="305">
        <v>0</v>
      </c>
      <c r="C42" s="305">
        <v>5</v>
      </c>
      <c r="D42" s="305" t="s">
        <v>32</v>
      </c>
      <c r="E42" s="305" t="s">
        <v>133</v>
      </c>
      <c r="F42" s="2" t="s">
        <v>158</v>
      </c>
      <c r="G42" s="305">
        <v>47</v>
      </c>
      <c r="H42" s="305">
        <v>70</v>
      </c>
      <c r="I42" s="2" t="s">
        <v>90</v>
      </c>
      <c r="J42" s="305" t="s">
        <v>32</v>
      </c>
      <c r="K42" s="2" t="s">
        <v>688</v>
      </c>
      <c r="L42" s="2" t="s">
        <v>141</v>
      </c>
      <c r="M42" s="305">
        <v>3</v>
      </c>
    </row>
    <row r="43" spans="2:14" x14ac:dyDescent="0.25">
      <c r="B43" s="305">
        <v>0</v>
      </c>
      <c r="C43" s="305">
        <v>5</v>
      </c>
      <c r="D43" s="305" t="s">
        <v>38</v>
      </c>
      <c r="E43" s="305" t="s">
        <v>132</v>
      </c>
      <c r="F43" s="2" t="s">
        <v>184</v>
      </c>
      <c r="G43" s="305">
        <v>70</v>
      </c>
      <c r="H43" s="305">
        <v>70</v>
      </c>
      <c r="I43" s="2" t="s">
        <v>687</v>
      </c>
      <c r="J43" s="305" t="s">
        <v>38</v>
      </c>
      <c r="K43" s="2" t="s">
        <v>681</v>
      </c>
      <c r="L43" s="2" t="s">
        <v>90</v>
      </c>
      <c r="M43" s="305">
        <v>13</v>
      </c>
    </row>
    <row r="44" spans="2:14" x14ac:dyDescent="0.25">
      <c r="B44" s="305">
        <v>0</v>
      </c>
      <c r="C44" s="305">
        <v>5</v>
      </c>
      <c r="D44" s="305" t="s">
        <v>32</v>
      </c>
      <c r="E44" s="305" t="s">
        <v>134</v>
      </c>
      <c r="F44" s="2" t="s">
        <v>159</v>
      </c>
      <c r="G44" s="305">
        <v>47</v>
      </c>
      <c r="H44" s="305">
        <v>70</v>
      </c>
      <c r="I44" s="2" t="s">
        <v>94</v>
      </c>
      <c r="J44" s="305" t="s">
        <v>32</v>
      </c>
      <c r="K44" s="2" t="s">
        <v>42</v>
      </c>
      <c r="L44" s="2" t="s">
        <v>160</v>
      </c>
      <c r="M44" s="305" t="s">
        <v>732</v>
      </c>
    </row>
    <row r="45" spans="2:14" x14ac:dyDescent="0.25">
      <c r="B45" s="305">
        <v>0</v>
      </c>
      <c r="C45" s="305">
        <v>5</v>
      </c>
      <c r="D45" s="305" t="s">
        <v>38</v>
      </c>
      <c r="E45" s="305" t="s">
        <v>135</v>
      </c>
      <c r="F45" s="2" t="s">
        <v>186</v>
      </c>
      <c r="G45" s="305">
        <v>47</v>
      </c>
      <c r="H45" s="305">
        <v>70</v>
      </c>
      <c r="I45" s="2" t="s">
        <v>23</v>
      </c>
      <c r="J45" s="305" t="s">
        <v>38</v>
      </c>
      <c r="K45" s="2" t="s">
        <v>42</v>
      </c>
      <c r="L45" s="2" t="s">
        <v>151</v>
      </c>
      <c r="M45" s="305" t="s">
        <v>732</v>
      </c>
    </row>
    <row r="46" spans="2:14" x14ac:dyDescent="0.25">
      <c r="B46" s="305">
        <v>0</v>
      </c>
      <c r="C46" s="305">
        <v>5</v>
      </c>
      <c r="D46" s="305" t="s">
        <v>35</v>
      </c>
      <c r="E46" s="305" t="s">
        <v>136</v>
      </c>
      <c r="F46" s="2" t="s">
        <v>206</v>
      </c>
      <c r="G46" s="305">
        <v>47</v>
      </c>
      <c r="H46" s="305">
        <v>70</v>
      </c>
      <c r="I46" s="2" t="s">
        <v>714</v>
      </c>
      <c r="J46" s="305" t="s">
        <v>35</v>
      </c>
      <c r="K46" s="2" t="s">
        <v>42</v>
      </c>
      <c r="L46" s="2" t="s">
        <v>93</v>
      </c>
      <c r="M46" s="305">
        <v>3</v>
      </c>
    </row>
    <row r="47" spans="2:14" x14ac:dyDescent="0.25">
      <c r="B47" s="305">
        <v>0</v>
      </c>
      <c r="C47" s="305">
        <v>5</v>
      </c>
      <c r="D47" s="305" t="s">
        <v>33</v>
      </c>
      <c r="E47" s="305" t="s">
        <v>136</v>
      </c>
      <c r="F47" s="2" t="s">
        <v>253</v>
      </c>
      <c r="G47" s="305">
        <v>47</v>
      </c>
      <c r="H47" s="305">
        <v>70</v>
      </c>
      <c r="I47" s="2" t="s">
        <v>714</v>
      </c>
      <c r="J47" s="305" t="s">
        <v>33</v>
      </c>
      <c r="K47" s="2" t="s">
        <v>684</v>
      </c>
      <c r="L47" s="2" t="s">
        <v>130</v>
      </c>
      <c r="M47" s="305">
        <v>5</v>
      </c>
    </row>
    <row r="48" spans="2:14" x14ac:dyDescent="0.25">
      <c r="B48" s="305">
        <v>0</v>
      </c>
      <c r="C48" s="305">
        <v>3</v>
      </c>
      <c r="D48" s="305" t="s">
        <v>38</v>
      </c>
      <c r="E48" s="305" t="s">
        <v>135</v>
      </c>
      <c r="F48" s="2" t="s">
        <v>171</v>
      </c>
      <c r="G48" s="305">
        <v>49</v>
      </c>
      <c r="H48" s="305">
        <v>50</v>
      </c>
      <c r="I48" s="2" t="s">
        <v>23</v>
      </c>
      <c r="J48" s="305" t="s">
        <v>38</v>
      </c>
      <c r="K48" s="2" t="s">
        <v>42</v>
      </c>
      <c r="L48" s="2" t="s">
        <v>92</v>
      </c>
      <c r="M48" s="305">
        <v>5</v>
      </c>
    </row>
    <row r="49" spans="2:14" x14ac:dyDescent="0.25">
      <c r="B49" s="305">
        <v>0</v>
      </c>
      <c r="C49" s="305">
        <v>4</v>
      </c>
      <c r="D49" s="305" t="s">
        <v>38</v>
      </c>
      <c r="E49" s="305" t="s">
        <v>137</v>
      </c>
      <c r="F49" s="2" t="s">
        <v>179</v>
      </c>
      <c r="G49" s="305">
        <v>49</v>
      </c>
      <c r="H49" s="305">
        <v>50</v>
      </c>
      <c r="I49" s="2" t="s">
        <v>715</v>
      </c>
      <c r="J49" s="305" t="s">
        <v>38</v>
      </c>
      <c r="K49" s="2" t="s">
        <v>681</v>
      </c>
      <c r="L49" s="2" t="s">
        <v>90</v>
      </c>
      <c r="M49" s="305">
        <v>10</v>
      </c>
    </row>
    <row r="50" spans="2:14" x14ac:dyDescent="0.25">
      <c r="B50" s="305">
        <v>0</v>
      </c>
      <c r="C50" s="305">
        <v>4</v>
      </c>
      <c r="D50" s="305" t="s">
        <v>32</v>
      </c>
      <c r="E50" s="305" t="s">
        <v>137</v>
      </c>
      <c r="F50" s="2" t="s">
        <v>150</v>
      </c>
      <c r="G50" s="305">
        <v>50</v>
      </c>
      <c r="H50" s="305">
        <v>50</v>
      </c>
      <c r="I50" s="2" t="s">
        <v>715</v>
      </c>
      <c r="J50" s="305" t="s">
        <v>32</v>
      </c>
      <c r="K50" s="2" t="s">
        <v>42</v>
      </c>
      <c r="L50" s="2" t="s">
        <v>151</v>
      </c>
      <c r="M50" s="305" t="s">
        <v>790</v>
      </c>
    </row>
    <row r="51" spans="2:14" x14ac:dyDescent="0.25">
      <c r="B51" s="305">
        <v>0</v>
      </c>
      <c r="C51" s="305">
        <v>3</v>
      </c>
      <c r="D51" s="305" t="s">
        <v>33</v>
      </c>
      <c r="E51" s="305" t="s">
        <v>34</v>
      </c>
      <c r="F51" s="2" t="s">
        <v>237</v>
      </c>
      <c r="G51" s="305">
        <v>70</v>
      </c>
      <c r="H51" s="305">
        <v>70</v>
      </c>
      <c r="I51" s="2" t="s">
        <v>93</v>
      </c>
      <c r="J51" s="305" t="s">
        <v>33</v>
      </c>
      <c r="K51" s="2" t="s">
        <v>684</v>
      </c>
      <c r="L51" s="2" t="s">
        <v>90</v>
      </c>
      <c r="M51" s="305">
        <v>8</v>
      </c>
      <c r="N51" s="2" t="s">
        <v>701</v>
      </c>
    </row>
    <row r="52" spans="2:14" x14ac:dyDescent="0.25">
      <c r="B52" s="305">
        <v>0</v>
      </c>
      <c r="C52" s="305">
        <v>3</v>
      </c>
      <c r="D52" s="305" t="s">
        <v>32</v>
      </c>
      <c r="E52" s="305" t="s">
        <v>134</v>
      </c>
      <c r="F52" s="2" t="s">
        <v>142</v>
      </c>
      <c r="G52" s="305">
        <v>70</v>
      </c>
      <c r="H52" s="305">
        <v>70</v>
      </c>
      <c r="I52" s="2" t="s">
        <v>94</v>
      </c>
      <c r="J52" s="305" t="s">
        <v>32</v>
      </c>
      <c r="K52" s="2" t="s">
        <v>681</v>
      </c>
      <c r="L52" s="2" t="s">
        <v>141</v>
      </c>
      <c r="M52" s="305">
        <v>7</v>
      </c>
    </row>
    <row r="53" spans="2:14" x14ac:dyDescent="0.25">
      <c r="B53" s="305">
        <v>0</v>
      </c>
      <c r="C53" s="305">
        <v>3</v>
      </c>
      <c r="D53" s="305" t="s">
        <v>32</v>
      </c>
      <c r="E53" s="305" t="s">
        <v>702</v>
      </c>
      <c r="F53" s="2" t="s">
        <v>146</v>
      </c>
      <c r="G53" s="305">
        <v>70</v>
      </c>
      <c r="H53" s="305">
        <v>70</v>
      </c>
      <c r="I53" s="2" t="s">
        <v>703</v>
      </c>
      <c r="J53" s="305" t="s">
        <v>32</v>
      </c>
      <c r="K53" s="2" t="s">
        <v>683</v>
      </c>
      <c r="L53" s="2" t="s">
        <v>141</v>
      </c>
      <c r="M53" s="305">
        <v>5</v>
      </c>
    </row>
    <row r="54" spans="2:14" x14ac:dyDescent="0.25">
      <c r="B54" s="305">
        <v>0</v>
      </c>
      <c r="C54" s="305">
        <v>3</v>
      </c>
      <c r="D54" s="305" t="s">
        <v>33</v>
      </c>
      <c r="E54" s="305" t="s">
        <v>702</v>
      </c>
      <c r="F54" s="2" t="s">
        <v>239</v>
      </c>
      <c r="G54" s="305">
        <v>70</v>
      </c>
      <c r="H54" s="305">
        <v>70</v>
      </c>
      <c r="I54" s="2" t="s">
        <v>703</v>
      </c>
      <c r="J54" s="305" t="s">
        <v>33</v>
      </c>
      <c r="K54" s="2" t="s">
        <v>688</v>
      </c>
      <c r="L54" s="2" t="s">
        <v>240</v>
      </c>
      <c r="M54" s="305">
        <v>3</v>
      </c>
      <c r="N54" s="2" t="s">
        <v>701</v>
      </c>
    </row>
    <row r="55" spans="2:14" x14ac:dyDescent="0.25">
      <c r="B55" s="305">
        <v>0</v>
      </c>
      <c r="C55" s="305">
        <v>4</v>
      </c>
      <c r="D55" s="305" t="s">
        <v>35</v>
      </c>
      <c r="E55" s="305" t="s">
        <v>34</v>
      </c>
      <c r="F55" s="2" t="s">
        <v>745</v>
      </c>
      <c r="G55" s="305">
        <v>70</v>
      </c>
      <c r="H55" s="305">
        <v>70</v>
      </c>
      <c r="I55" s="2" t="s">
        <v>93</v>
      </c>
      <c r="J55" s="305" t="s">
        <v>694</v>
      </c>
      <c r="K55" s="2" t="s">
        <v>178</v>
      </c>
      <c r="L55" s="2" t="s">
        <v>90</v>
      </c>
      <c r="M55" s="305">
        <v>3</v>
      </c>
      <c r="N55" s="2" t="s">
        <v>708</v>
      </c>
    </row>
    <row r="56" spans="2:14" x14ac:dyDescent="0.25">
      <c r="B56" s="305">
        <v>0</v>
      </c>
      <c r="C56" s="305">
        <v>4</v>
      </c>
      <c r="D56" s="305" t="s">
        <v>38</v>
      </c>
      <c r="E56" s="305" t="s">
        <v>34</v>
      </c>
      <c r="F56" s="2" t="s">
        <v>177</v>
      </c>
      <c r="G56" s="305">
        <v>70</v>
      </c>
      <c r="H56" s="305">
        <v>70</v>
      </c>
      <c r="I56" s="2" t="s">
        <v>93</v>
      </c>
      <c r="J56" s="305" t="s">
        <v>38</v>
      </c>
      <c r="K56" s="2" t="s">
        <v>178</v>
      </c>
      <c r="L56" s="2" t="s">
        <v>90</v>
      </c>
      <c r="M56" s="305">
        <v>5</v>
      </c>
    </row>
    <row r="57" spans="2:14" x14ac:dyDescent="0.25">
      <c r="B57" s="305">
        <v>0</v>
      </c>
      <c r="C57" s="305">
        <v>4</v>
      </c>
      <c r="D57" s="305" t="s">
        <v>32</v>
      </c>
      <c r="E57" s="305" t="s">
        <v>132</v>
      </c>
      <c r="F57" s="2" t="s">
        <v>774</v>
      </c>
      <c r="G57" s="305">
        <v>70</v>
      </c>
      <c r="H57" s="305">
        <v>70</v>
      </c>
      <c r="I57" s="2" t="s">
        <v>687</v>
      </c>
      <c r="J57" s="305" t="s">
        <v>694</v>
      </c>
      <c r="K57" s="2" t="s">
        <v>42</v>
      </c>
      <c r="L57" s="2" t="s">
        <v>687</v>
      </c>
      <c r="M57" s="305">
        <v>14</v>
      </c>
      <c r="N57" s="2" t="s">
        <v>708</v>
      </c>
    </row>
    <row r="58" spans="2:14" x14ac:dyDescent="0.25">
      <c r="B58" s="305">
        <v>0</v>
      </c>
      <c r="C58" s="305">
        <v>4</v>
      </c>
      <c r="D58" s="305" t="s">
        <v>33</v>
      </c>
      <c r="E58" s="305" t="s">
        <v>137</v>
      </c>
      <c r="F58" s="2" t="s">
        <v>739</v>
      </c>
      <c r="G58" s="305">
        <v>70</v>
      </c>
      <c r="H58" s="305">
        <v>70</v>
      </c>
      <c r="I58" s="2" t="s">
        <v>715</v>
      </c>
      <c r="J58" s="305" t="s">
        <v>694</v>
      </c>
      <c r="K58" s="2" t="s">
        <v>42</v>
      </c>
      <c r="L58" s="2" t="s">
        <v>151</v>
      </c>
      <c r="M58" s="305" t="s">
        <v>732</v>
      </c>
      <c r="N58" s="2" t="s">
        <v>708</v>
      </c>
    </row>
    <row r="59" spans="2:14" x14ac:dyDescent="0.25">
      <c r="B59" s="305">
        <v>0</v>
      </c>
      <c r="C59" s="305">
        <v>4</v>
      </c>
      <c r="D59" s="305" t="s">
        <v>38</v>
      </c>
      <c r="E59" s="305" t="s">
        <v>135</v>
      </c>
      <c r="F59" s="2" t="s">
        <v>753</v>
      </c>
      <c r="G59" s="305">
        <v>70</v>
      </c>
      <c r="H59" s="305">
        <v>70</v>
      </c>
      <c r="I59" s="2" t="s">
        <v>23</v>
      </c>
      <c r="J59" s="305" t="s">
        <v>694</v>
      </c>
      <c r="K59" s="2" t="s">
        <v>178</v>
      </c>
      <c r="L59" s="2" t="s">
        <v>90</v>
      </c>
      <c r="M59" s="305">
        <v>2</v>
      </c>
      <c r="N59" s="2" t="s">
        <v>708</v>
      </c>
    </row>
    <row r="60" spans="2:14" x14ac:dyDescent="0.25">
      <c r="B60" s="305">
        <v>0</v>
      </c>
      <c r="C60" s="305">
        <v>5</v>
      </c>
      <c r="D60" s="305" t="s">
        <v>36</v>
      </c>
      <c r="E60" s="305" t="s">
        <v>137</v>
      </c>
      <c r="F60" s="2" t="s">
        <v>232</v>
      </c>
      <c r="G60" s="305">
        <v>70</v>
      </c>
      <c r="H60" s="305">
        <v>70</v>
      </c>
      <c r="I60" s="2" t="s">
        <v>715</v>
      </c>
      <c r="J60" s="305" t="s">
        <v>36</v>
      </c>
      <c r="K60" s="2" t="s">
        <v>178</v>
      </c>
      <c r="L60" s="2" t="s">
        <v>90</v>
      </c>
      <c r="M60" s="305">
        <v>6</v>
      </c>
    </row>
    <row r="61" spans="2:14" x14ac:dyDescent="0.25">
      <c r="B61" s="305">
        <v>0</v>
      </c>
      <c r="C61" s="305">
        <v>5</v>
      </c>
      <c r="D61" s="305" t="s">
        <v>35</v>
      </c>
      <c r="E61" s="305" t="s">
        <v>702</v>
      </c>
      <c r="F61" s="2" t="s">
        <v>163</v>
      </c>
      <c r="G61" s="305" t="s">
        <v>42</v>
      </c>
      <c r="H61" s="305">
        <v>70</v>
      </c>
      <c r="I61" s="2" t="s">
        <v>703</v>
      </c>
      <c r="J61" s="305" t="s">
        <v>35</v>
      </c>
    </row>
    <row r="62" spans="2:14" x14ac:dyDescent="0.25">
      <c r="B62" s="305">
        <v>1</v>
      </c>
      <c r="C62" s="305">
        <v>3</v>
      </c>
      <c r="D62" s="305" t="s">
        <v>33</v>
      </c>
      <c r="E62" s="305" t="s">
        <v>135</v>
      </c>
      <c r="F62" s="2" t="s">
        <v>238</v>
      </c>
      <c r="G62" s="305">
        <v>40</v>
      </c>
      <c r="H62" s="305">
        <v>50</v>
      </c>
      <c r="I62" s="2" t="s">
        <v>23</v>
      </c>
      <c r="J62" s="305" t="s">
        <v>33</v>
      </c>
      <c r="K62" s="2" t="s">
        <v>684</v>
      </c>
      <c r="L62" s="2" t="s">
        <v>90</v>
      </c>
      <c r="M62" s="305">
        <v>6</v>
      </c>
      <c r="N62" s="2" t="s">
        <v>701</v>
      </c>
    </row>
    <row r="63" spans="2:14" x14ac:dyDescent="0.25">
      <c r="B63" s="305">
        <v>1</v>
      </c>
      <c r="C63" s="305">
        <v>4</v>
      </c>
      <c r="D63" s="305" t="s">
        <v>38</v>
      </c>
      <c r="E63" s="305" t="s">
        <v>134</v>
      </c>
      <c r="F63" s="2" t="s">
        <v>176</v>
      </c>
      <c r="G63" s="305">
        <v>40</v>
      </c>
      <c r="H63" s="305">
        <v>50</v>
      </c>
      <c r="I63" s="2" t="s">
        <v>94</v>
      </c>
      <c r="J63" s="305" t="s">
        <v>38</v>
      </c>
      <c r="K63" s="2" t="s">
        <v>681</v>
      </c>
      <c r="L63" s="2" t="s">
        <v>169</v>
      </c>
      <c r="M63" s="305">
        <v>5</v>
      </c>
    </row>
    <row r="64" spans="2:14" x14ac:dyDescent="0.25">
      <c r="B64" s="305">
        <v>1</v>
      </c>
      <c r="C64" s="305">
        <v>4</v>
      </c>
      <c r="D64" s="305" t="s">
        <v>38</v>
      </c>
      <c r="E64" s="305" t="s">
        <v>133</v>
      </c>
      <c r="F64" s="2" t="s">
        <v>742</v>
      </c>
      <c r="G64" s="305">
        <v>47</v>
      </c>
      <c r="H64" s="305">
        <v>70</v>
      </c>
      <c r="I64" s="2" t="s">
        <v>90</v>
      </c>
      <c r="J64" s="305" t="s">
        <v>38</v>
      </c>
      <c r="K64" s="2" t="s">
        <v>682</v>
      </c>
      <c r="L64" s="2" t="s">
        <v>169</v>
      </c>
      <c r="M64" s="305">
        <v>7</v>
      </c>
      <c r="N64" s="2" t="s">
        <v>710</v>
      </c>
    </row>
    <row r="65" spans="2:14" x14ac:dyDescent="0.25">
      <c r="B65" s="305">
        <v>1</v>
      </c>
      <c r="C65" s="305">
        <v>5</v>
      </c>
      <c r="D65" s="305" t="s">
        <v>38</v>
      </c>
      <c r="E65" s="305" t="s">
        <v>702</v>
      </c>
      <c r="F65" s="2" t="s">
        <v>188</v>
      </c>
      <c r="G65" s="305">
        <v>47</v>
      </c>
      <c r="H65" s="305">
        <v>70</v>
      </c>
      <c r="I65" s="2" t="s">
        <v>703</v>
      </c>
      <c r="J65" s="305" t="s">
        <v>38</v>
      </c>
      <c r="K65" s="2" t="s">
        <v>688</v>
      </c>
      <c r="L65" s="2" t="s">
        <v>169</v>
      </c>
      <c r="M65" s="305">
        <v>3</v>
      </c>
    </row>
    <row r="66" spans="2:14" x14ac:dyDescent="0.25">
      <c r="B66" s="305">
        <v>2</v>
      </c>
      <c r="C66" s="305">
        <v>3</v>
      </c>
      <c r="D66" s="305" t="s">
        <v>36</v>
      </c>
      <c r="E66" s="305" t="s">
        <v>133</v>
      </c>
      <c r="F66" s="2" t="s">
        <v>729</v>
      </c>
      <c r="G66" s="305">
        <v>40</v>
      </c>
      <c r="H66" s="305">
        <v>70</v>
      </c>
      <c r="I66" s="2" t="s">
        <v>90</v>
      </c>
      <c r="J66" s="305" t="s">
        <v>36</v>
      </c>
      <c r="K66" s="2" t="s">
        <v>686</v>
      </c>
      <c r="L66" s="2" t="s">
        <v>95</v>
      </c>
      <c r="M66" s="305" t="s">
        <v>724</v>
      </c>
      <c r="N66" s="2" t="s">
        <v>721</v>
      </c>
    </row>
    <row r="67" spans="2:14" x14ac:dyDescent="0.25">
      <c r="B67" s="305">
        <v>2</v>
      </c>
      <c r="C67" s="305">
        <v>5</v>
      </c>
      <c r="D67" s="305" t="s">
        <v>36</v>
      </c>
      <c r="E67" s="305" t="s">
        <v>135</v>
      </c>
      <c r="F67" s="2" t="s">
        <v>753</v>
      </c>
      <c r="G67" s="305">
        <v>47</v>
      </c>
      <c r="H67" s="305">
        <v>70</v>
      </c>
      <c r="I67" s="2" t="s">
        <v>23</v>
      </c>
      <c r="J67" s="305" t="s">
        <v>36</v>
      </c>
      <c r="K67" s="2" t="s">
        <v>681</v>
      </c>
      <c r="L67" s="2" t="s">
        <v>90</v>
      </c>
      <c r="M67" s="305">
        <v>8</v>
      </c>
      <c r="N67" s="2" t="s">
        <v>721</v>
      </c>
    </row>
    <row r="68" spans="2:14" x14ac:dyDescent="0.25">
      <c r="B68" s="305">
        <v>2</v>
      </c>
      <c r="C68" s="305">
        <v>4</v>
      </c>
      <c r="D68" s="305" t="s">
        <v>36</v>
      </c>
      <c r="E68" s="305" t="s">
        <v>137</v>
      </c>
      <c r="F68" s="2" t="s">
        <v>784</v>
      </c>
      <c r="G68" s="305">
        <v>70</v>
      </c>
      <c r="H68" s="305">
        <v>70</v>
      </c>
      <c r="I68" s="2" t="s">
        <v>715</v>
      </c>
      <c r="J68" s="305" t="s">
        <v>36</v>
      </c>
      <c r="K68" s="2" t="s">
        <v>689</v>
      </c>
      <c r="L68" s="2" t="s">
        <v>94</v>
      </c>
      <c r="M68" s="305">
        <v>12</v>
      </c>
      <c r="N68" s="2" t="s">
        <v>721</v>
      </c>
    </row>
    <row r="69" spans="2:14" x14ac:dyDescent="0.25">
      <c r="B69" s="305">
        <v>3</v>
      </c>
      <c r="C69" s="305">
        <v>3</v>
      </c>
      <c r="D69" s="305" t="s">
        <v>33</v>
      </c>
      <c r="E69" s="305" t="s">
        <v>134</v>
      </c>
      <c r="F69" s="2" t="s">
        <v>242</v>
      </c>
      <c r="G69" s="305">
        <v>40</v>
      </c>
      <c r="H69" s="305">
        <v>50</v>
      </c>
      <c r="I69" s="2" t="s">
        <v>94</v>
      </c>
      <c r="J69" s="305" t="s">
        <v>33</v>
      </c>
      <c r="K69" s="2" t="s">
        <v>684</v>
      </c>
      <c r="L69" s="2" t="s">
        <v>130</v>
      </c>
      <c r="M69" s="305">
        <v>3</v>
      </c>
      <c r="N69" s="2" t="s">
        <v>701</v>
      </c>
    </row>
    <row r="70" spans="2:14" x14ac:dyDescent="0.25">
      <c r="B70" s="305">
        <v>3</v>
      </c>
      <c r="C70" s="305">
        <v>4</v>
      </c>
      <c r="D70" s="305" t="s">
        <v>32</v>
      </c>
      <c r="E70" s="305" t="s">
        <v>134</v>
      </c>
      <c r="F70" s="2" t="s">
        <v>709</v>
      </c>
      <c r="G70" s="305">
        <v>40</v>
      </c>
      <c r="H70" s="305">
        <v>50</v>
      </c>
      <c r="I70" s="2" t="s">
        <v>94</v>
      </c>
      <c r="J70" s="305" t="s">
        <v>32</v>
      </c>
      <c r="K70" s="2" t="s">
        <v>681</v>
      </c>
      <c r="L70" s="2" t="s">
        <v>141</v>
      </c>
      <c r="M70" s="305">
        <v>5</v>
      </c>
      <c r="N70" s="2" t="s">
        <v>710</v>
      </c>
    </row>
    <row r="71" spans="2:14" x14ac:dyDescent="0.25">
      <c r="B71" s="305">
        <v>3</v>
      </c>
      <c r="C71" s="305">
        <v>4</v>
      </c>
      <c r="D71" s="305" t="s">
        <v>32</v>
      </c>
      <c r="E71" s="305" t="s">
        <v>702</v>
      </c>
      <c r="F71" s="2" t="s">
        <v>149</v>
      </c>
      <c r="G71" s="305">
        <v>47</v>
      </c>
      <c r="H71" s="305">
        <v>50</v>
      </c>
      <c r="I71" s="2" t="s">
        <v>703</v>
      </c>
      <c r="J71" s="305" t="s">
        <v>32</v>
      </c>
      <c r="K71" s="2" t="s">
        <v>688</v>
      </c>
      <c r="L71" s="2" t="s">
        <v>141</v>
      </c>
      <c r="M71" s="305">
        <v>3</v>
      </c>
    </row>
    <row r="72" spans="2:14" x14ac:dyDescent="0.25">
      <c r="B72" s="305">
        <v>3</v>
      </c>
      <c r="C72" s="305">
        <v>5</v>
      </c>
      <c r="D72" s="305" t="s">
        <v>32</v>
      </c>
      <c r="E72" s="305" t="s">
        <v>132</v>
      </c>
      <c r="F72" s="2" t="s">
        <v>157</v>
      </c>
      <c r="G72" s="305">
        <v>47</v>
      </c>
      <c r="H72" s="305">
        <v>70</v>
      </c>
      <c r="I72" s="2" t="s">
        <v>687</v>
      </c>
      <c r="J72" s="305" t="s">
        <v>32</v>
      </c>
      <c r="K72" s="2" t="s">
        <v>178</v>
      </c>
      <c r="L72" s="2" t="s">
        <v>90</v>
      </c>
      <c r="M72" s="305">
        <v>3</v>
      </c>
    </row>
    <row r="73" spans="2:14" x14ac:dyDescent="0.25">
      <c r="B73" s="305">
        <v>4</v>
      </c>
      <c r="C73" s="305">
        <v>3</v>
      </c>
      <c r="D73" s="305" t="s">
        <v>38</v>
      </c>
      <c r="E73" s="305" t="s">
        <v>34</v>
      </c>
      <c r="F73" s="2" t="s">
        <v>174</v>
      </c>
      <c r="G73" s="305">
        <v>40</v>
      </c>
      <c r="H73" s="305">
        <v>50</v>
      </c>
      <c r="I73" s="2" t="s">
        <v>93</v>
      </c>
      <c r="J73" s="305" t="s">
        <v>38</v>
      </c>
      <c r="K73" s="2" t="s">
        <v>38</v>
      </c>
      <c r="L73" s="2" t="s">
        <v>687</v>
      </c>
      <c r="M73" s="305">
        <v>10</v>
      </c>
    </row>
    <row r="74" spans="2:14" x14ac:dyDescent="0.25">
      <c r="B74" s="305">
        <v>4</v>
      </c>
      <c r="C74" s="305">
        <v>4</v>
      </c>
      <c r="D74" s="305" t="s">
        <v>35</v>
      </c>
      <c r="E74" s="305" t="s">
        <v>137</v>
      </c>
      <c r="F74" s="2" t="s">
        <v>202</v>
      </c>
      <c r="G74" s="305">
        <v>70</v>
      </c>
      <c r="H74" s="305">
        <v>70</v>
      </c>
      <c r="I74" s="2" t="s">
        <v>715</v>
      </c>
      <c r="J74" s="305" t="s">
        <v>35</v>
      </c>
      <c r="K74" s="2" t="s">
        <v>685</v>
      </c>
      <c r="L74" s="2" t="s">
        <v>94</v>
      </c>
      <c r="M74" s="305">
        <v>9</v>
      </c>
    </row>
    <row r="75" spans="2:14" x14ac:dyDescent="0.25">
      <c r="B75" s="305">
        <v>4</v>
      </c>
      <c r="C75" s="305">
        <v>5</v>
      </c>
      <c r="D75" s="305" t="s">
        <v>35</v>
      </c>
      <c r="E75" s="305" t="s">
        <v>136</v>
      </c>
      <c r="F75" s="2" t="s">
        <v>209</v>
      </c>
      <c r="G75" s="305">
        <v>70</v>
      </c>
      <c r="H75" s="305">
        <v>70</v>
      </c>
      <c r="I75" s="2" t="s">
        <v>714</v>
      </c>
      <c r="J75" s="305" t="s">
        <v>35</v>
      </c>
      <c r="K75" s="2" t="s">
        <v>684</v>
      </c>
      <c r="L75" s="2" t="s">
        <v>192</v>
      </c>
      <c r="M75" s="305">
        <v>8</v>
      </c>
    </row>
    <row r="76" spans="2:14" x14ac:dyDescent="0.25">
      <c r="B76" s="305">
        <v>5</v>
      </c>
      <c r="C76" s="305">
        <v>4</v>
      </c>
      <c r="D76" s="305" t="s">
        <v>35</v>
      </c>
      <c r="E76" s="305" t="s">
        <v>135</v>
      </c>
      <c r="F76" s="2" t="s">
        <v>203</v>
      </c>
      <c r="G76" s="305">
        <v>40</v>
      </c>
      <c r="H76" s="305">
        <v>50</v>
      </c>
      <c r="I76" s="2" t="s">
        <v>23</v>
      </c>
      <c r="J76" s="305" t="s">
        <v>35</v>
      </c>
      <c r="K76" s="2" t="s">
        <v>685</v>
      </c>
      <c r="L76" s="2" t="s">
        <v>90</v>
      </c>
      <c r="M76" s="305">
        <v>5</v>
      </c>
    </row>
    <row r="77" spans="2:14" x14ac:dyDescent="0.25">
      <c r="B77" s="305">
        <v>5</v>
      </c>
      <c r="C77" s="305">
        <v>4</v>
      </c>
      <c r="D77" s="305" t="s">
        <v>36</v>
      </c>
      <c r="E77" s="305" t="s">
        <v>136</v>
      </c>
      <c r="F77" s="2" t="s">
        <v>728</v>
      </c>
      <c r="G77" s="305">
        <v>40</v>
      </c>
      <c r="H77" s="305">
        <v>50</v>
      </c>
      <c r="I77" s="2" t="s">
        <v>714</v>
      </c>
      <c r="J77" s="305" t="s">
        <v>36</v>
      </c>
      <c r="K77" s="2" t="s">
        <v>162</v>
      </c>
      <c r="L77" s="2" t="s">
        <v>212</v>
      </c>
      <c r="M77" s="305">
        <v>3</v>
      </c>
      <c r="N77" s="2" t="s">
        <v>710</v>
      </c>
    </row>
    <row r="78" spans="2:14" x14ac:dyDescent="0.25">
      <c r="B78" s="305">
        <v>5</v>
      </c>
      <c r="C78" s="305">
        <v>4</v>
      </c>
      <c r="D78" s="305" t="s">
        <v>36</v>
      </c>
      <c r="E78" s="305" t="s">
        <v>137</v>
      </c>
      <c r="F78" s="2" t="s">
        <v>228</v>
      </c>
      <c r="G78" s="305">
        <v>49</v>
      </c>
      <c r="H78" s="305">
        <v>50</v>
      </c>
      <c r="I78" s="2" t="s">
        <v>715</v>
      </c>
      <c r="J78" s="305" t="s">
        <v>36</v>
      </c>
      <c r="K78" s="2" t="s">
        <v>162</v>
      </c>
      <c r="L78" s="2" t="s">
        <v>90</v>
      </c>
      <c r="M78" s="305">
        <v>9</v>
      </c>
    </row>
    <row r="79" spans="2:14" x14ac:dyDescent="0.25">
      <c r="B79" s="305">
        <v>5</v>
      </c>
      <c r="C79" s="305">
        <v>5</v>
      </c>
      <c r="D79" s="305" t="s">
        <v>36</v>
      </c>
      <c r="E79" s="305" t="s">
        <v>702</v>
      </c>
      <c r="F79" s="2" t="s">
        <v>231</v>
      </c>
      <c r="G79" s="305">
        <v>49</v>
      </c>
      <c r="H79" s="305">
        <v>70</v>
      </c>
      <c r="I79" s="2" t="s">
        <v>703</v>
      </c>
      <c r="J79" s="305" t="s">
        <v>36</v>
      </c>
      <c r="K79" s="2" t="s">
        <v>162</v>
      </c>
      <c r="L79" s="2" t="s">
        <v>780</v>
      </c>
      <c r="M79" s="305" t="s">
        <v>777</v>
      </c>
    </row>
    <row r="80" spans="2:14" x14ac:dyDescent="0.25">
      <c r="B80" s="305">
        <v>6</v>
      </c>
      <c r="C80" s="305">
        <v>4</v>
      </c>
      <c r="D80" s="305" t="s">
        <v>38</v>
      </c>
      <c r="E80" s="305" t="s">
        <v>702</v>
      </c>
      <c r="F80" s="2" t="s">
        <v>717</v>
      </c>
      <c r="G80" s="305">
        <v>40</v>
      </c>
      <c r="H80" s="305">
        <v>50</v>
      </c>
      <c r="I80" s="2" t="s">
        <v>703</v>
      </c>
      <c r="J80" s="305" t="s">
        <v>38</v>
      </c>
      <c r="K80" s="2" t="s">
        <v>680</v>
      </c>
      <c r="L80" s="2" t="s">
        <v>169</v>
      </c>
      <c r="M80" s="305">
        <v>3</v>
      </c>
      <c r="N80" s="2" t="s">
        <v>718</v>
      </c>
    </row>
    <row r="81" spans="2:14" x14ac:dyDescent="0.25">
      <c r="B81" s="305">
        <v>6</v>
      </c>
      <c r="C81" s="305">
        <v>4</v>
      </c>
      <c r="D81" s="305" t="s">
        <v>38</v>
      </c>
      <c r="E81" s="305" t="s">
        <v>136</v>
      </c>
      <c r="F81" s="2" t="s">
        <v>743</v>
      </c>
      <c r="G81" s="305">
        <v>47</v>
      </c>
      <c r="H81" s="305">
        <v>70</v>
      </c>
      <c r="I81" s="2" t="s">
        <v>714</v>
      </c>
      <c r="J81" s="305" t="s">
        <v>38</v>
      </c>
      <c r="K81" s="2" t="s">
        <v>680</v>
      </c>
      <c r="L81" s="2" t="s">
        <v>169</v>
      </c>
      <c r="M81" s="305">
        <v>5</v>
      </c>
      <c r="N81" s="2" t="s">
        <v>725</v>
      </c>
    </row>
    <row r="82" spans="2:14" x14ac:dyDescent="0.25">
      <c r="B82" s="305">
        <v>6</v>
      </c>
      <c r="C82" s="305">
        <v>5</v>
      </c>
      <c r="D82" s="305" t="s">
        <v>38</v>
      </c>
      <c r="E82" s="305" t="s">
        <v>134</v>
      </c>
      <c r="F82" s="2" t="s">
        <v>739</v>
      </c>
      <c r="G82" s="305">
        <v>49</v>
      </c>
      <c r="H82" s="305">
        <v>70</v>
      </c>
      <c r="I82" s="2" t="s">
        <v>94</v>
      </c>
      <c r="J82" s="305" t="s">
        <v>38</v>
      </c>
      <c r="K82" s="2" t="s">
        <v>42</v>
      </c>
      <c r="L82" s="2" t="s">
        <v>160</v>
      </c>
      <c r="M82" s="305" t="s">
        <v>777</v>
      </c>
      <c r="N82" s="2" t="s">
        <v>718</v>
      </c>
    </row>
    <row r="83" spans="2:14" x14ac:dyDescent="0.25">
      <c r="B83" s="305">
        <v>7</v>
      </c>
      <c r="C83" s="305">
        <v>4</v>
      </c>
      <c r="D83" s="305" t="s">
        <v>35</v>
      </c>
      <c r="E83" s="305" t="s">
        <v>133</v>
      </c>
      <c r="F83" s="2" t="s">
        <v>749</v>
      </c>
      <c r="G83" s="305">
        <v>47</v>
      </c>
      <c r="H83" s="305">
        <v>50</v>
      </c>
      <c r="I83" s="2" t="s">
        <v>90</v>
      </c>
      <c r="J83" s="305" t="s">
        <v>35</v>
      </c>
      <c r="K83" s="2" t="s">
        <v>688</v>
      </c>
      <c r="L83" s="2" t="s">
        <v>192</v>
      </c>
      <c r="M83" s="305">
        <v>3</v>
      </c>
      <c r="N83" s="2" t="s">
        <v>733</v>
      </c>
    </row>
    <row r="84" spans="2:14" x14ac:dyDescent="0.25">
      <c r="B84" s="305">
        <v>7</v>
      </c>
      <c r="C84" s="305">
        <v>4</v>
      </c>
      <c r="D84" s="305" t="s">
        <v>33</v>
      </c>
      <c r="E84" s="305" t="s">
        <v>34</v>
      </c>
      <c r="F84" s="2" t="s">
        <v>788</v>
      </c>
      <c r="G84" s="305">
        <v>49</v>
      </c>
      <c r="H84" s="305">
        <v>50</v>
      </c>
      <c r="I84" s="2" t="s">
        <v>93</v>
      </c>
      <c r="J84" s="305" t="s">
        <v>33</v>
      </c>
      <c r="K84" s="2" t="s">
        <v>42</v>
      </c>
      <c r="L84" s="2" t="s">
        <v>628</v>
      </c>
      <c r="M84" s="305">
        <v>9</v>
      </c>
      <c r="N84" s="2" t="s">
        <v>733</v>
      </c>
    </row>
    <row r="85" spans="2:14" x14ac:dyDescent="0.25">
      <c r="B85" s="305">
        <v>7</v>
      </c>
      <c r="C85" s="305">
        <v>4</v>
      </c>
      <c r="D85" s="305" t="s">
        <v>33</v>
      </c>
      <c r="E85" s="305" t="s">
        <v>135</v>
      </c>
      <c r="F85" s="2" t="s">
        <v>789</v>
      </c>
      <c r="G85" s="305">
        <v>49</v>
      </c>
      <c r="H85" s="305">
        <v>70</v>
      </c>
      <c r="I85" s="2" t="s">
        <v>23</v>
      </c>
      <c r="J85" s="305" t="s">
        <v>33</v>
      </c>
      <c r="K85" s="2" t="s">
        <v>42</v>
      </c>
      <c r="L85" s="2" t="s">
        <v>93</v>
      </c>
      <c r="M85" s="305">
        <v>5</v>
      </c>
      <c r="N85" s="2" t="s">
        <v>710</v>
      </c>
    </row>
    <row r="86" spans="2:14" x14ac:dyDescent="0.25">
      <c r="B86" s="305">
        <v>7</v>
      </c>
      <c r="C86" s="305">
        <v>5</v>
      </c>
      <c r="D86" s="305" t="s">
        <v>33</v>
      </c>
      <c r="E86" s="305" t="s">
        <v>133</v>
      </c>
      <c r="F86" s="2" t="s">
        <v>787</v>
      </c>
      <c r="G86" s="305">
        <v>49</v>
      </c>
      <c r="H86" s="305">
        <v>70</v>
      </c>
      <c r="I86" s="2" t="s">
        <v>90</v>
      </c>
      <c r="J86" s="305" t="s">
        <v>33</v>
      </c>
      <c r="K86" s="2" t="s">
        <v>42</v>
      </c>
      <c r="L86" s="2" t="s">
        <v>687</v>
      </c>
      <c r="M86" s="305">
        <v>20</v>
      </c>
      <c r="N86" s="2" t="s">
        <v>733</v>
      </c>
    </row>
    <row r="87" spans="2:14" x14ac:dyDescent="0.25">
      <c r="B87" s="305">
        <v>8</v>
      </c>
      <c r="C87" s="305">
        <v>5</v>
      </c>
      <c r="D87" s="305" t="s">
        <v>32</v>
      </c>
      <c r="E87" s="305" t="s">
        <v>136</v>
      </c>
      <c r="F87" s="2" t="s">
        <v>763</v>
      </c>
      <c r="G87" s="305">
        <v>49</v>
      </c>
      <c r="H87" s="305">
        <v>50</v>
      </c>
      <c r="I87" s="2" t="s">
        <v>714</v>
      </c>
      <c r="J87" s="305" t="s">
        <v>32</v>
      </c>
      <c r="K87" s="2" t="s">
        <v>690</v>
      </c>
      <c r="L87" s="2" t="s">
        <v>162</v>
      </c>
      <c r="M87" s="305" t="s">
        <v>777</v>
      </c>
      <c r="N87" s="2" t="s">
        <v>746</v>
      </c>
    </row>
    <row r="88" spans="2:14" x14ac:dyDescent="0.25">
      <c r="B88" s="305">
        <v>9</v>
      </c>
      <c r="C88" s="305">
        <v>3</v>
      </c>
      <c r="D88" s="305" t="s">
        <v>32</v>
      </c>
      <c r="E88" s="305" t="s">
        <v>132</v>
      </c>
      <c r="F88" s="2" t="s">
        <v>139</v>
      </c>
      <c r="G88" s="305">
        <v>40</v>
      </c>
      <c r="H88" s="305">
        <v>70</v>
      </c>
      <c r="I88" s="2" t="s">
        <v>687</v>
      </c>
      <c r="J88" s="305" t="s">
        <v>32</v>
      </c>
      <c r="K88" s="2" t="s">
        <v>42</v>
      </c>
      <c r="L88" s="2" t="s">
        <v>628</v>
      </c>
      <c r="M88" s="305">
        <v>5</v>
      </c>
    </row>
    <row r="89" spans="2:14" x14ac:dyDescent="0.25">
      <c r="B89" s="305">
        <v>9</v>
      </c>
      <c r="C89" s="305">
        <v>4</v>
      </c>
      <c r="D89" s="305" t="s">
        <v>36</v>
      </c>
      <c r="E89" s="305" t="s">
        <v>134</v>
      </c>
      <c r="F89" s="2" t="s">
        <v>222</v>
      </c>
      <c r="G89" s="305">
        <v>47</v>
      </c>
      <c r="H89" s="305">
        <v>50</v>
      </c>
      <c r="I89" s="2" t="s">
        <v>94</v>
      </c>
      <c r="J89" s="305" t="s">
        <v>36</v>
      </c>
      <c r="K89" s="2" t="s">
        <v>42</v>
      </c>
      <c r="L89" s="2" t="s">
        <v>160</v>
      </c>
      <c r="M89" s="305" t="s">
        <v>732</v>
      </c>
    </row>
    <row r="90" spans="2:14" x14ac:dyDescent="0.25">
      <c r="B90" s="305">
        <v>9</v>
      </c>
      <c r="C90" s="305">
        <v>5</v>
      </c>
      <c r="D90" s="305" t="s">
        <v>36</v>
      </c>
      <c r="E90" s="305" t="s">
        <v>135</v>
      </c>
      <c r="F90" s="2" t="s">
        <v>233</v>
      </c>
      <c r="G90" s="305">
        <v>47</v>
      </c>
      <c r="H90" s="305">
        <v>50</v>
      </c>
      <c r="I90" s="2" t="s">
        <v>23</v>
      </c>
      <c r="J90" s="305" t="s">
        <v>36</v>
      </c>
      <c r="K90" s="2" t="s">
        <v>162</v>
      </c>
      <c r="L90" s="2" t="s">
        <v>90</v>
      </c>
      <c r="M90" s="305">
        <v>7</v>
      </c>
    </row>
    <row r="91" spans="2:14" x14ac:dyDescent="0.25">
      <c r="B91" s="305">
        <v>10</v>
      </c>
      <c r="C91" s="305">
        <v>3</v>
      </c>
      <c r="D91" s="305" t="s">
        <v>36</v>
      </c>
      <c r="E91" s="305" t="s">
        <v>702</v>
      </c>
      <c r="F91" s="2" t="s">
        <v>217</v>
      </c>
      <c r="G91" s="305">
        <v>40</v>
      </c>
      <c r="H91" s="305">
        <v>50</v>
      </c>
      <c r="I91" s="2" t="s">
        <v>703</v>
      </c>
      <c r="J91" s="305" t="s">
        <v>36</v>
      </c>
      <c r="K91" s="2" t="s">
        <v>681</v>
      </c>
      <c r="L91" s="2" t="s">
        <v>212</v>
      </c>
      <c r="M91" s="305">
        <v>5</v>
      </c>
    </row>
    <row r="92" spans="2:14" x14ac:dyDescent="0.25">
      <c r="B92" s="305">
        <v>10</v>
      </c>
      <c r="C92" s="305">
        <v>4</v>
      </c>
      <c r="D92" s="305" t="s">
        <v>35</v>
      </c>
      <c r="E92" s="305" t="s">
        <v>132</v>
      </c>
      <c r="F92" s="2" t="s">
        <v>198</v>
      </c>
      <c r="G92" s="305">
        <v>40</v>
      </c>
      <c r="H92" s="305">
        <v>50</v>
      </c>
      <c r="I92" s="2" t="s">
        <v>687</v>
      </c>
      <c r="J92" s="305" t="s">
        <v>35</v>
      </c>
      <c r="K92" s="2" t="s">
        <v>681</v>
      </c>
      <c r="L92" s="2" t="s">
        <v>90</v>
      </c>
      <c r="M92" s="305">
        <v>6</v>
      </c>
    </row>
    <row r="93" spans="2:14" x14ac:dyDescent="0.25">
      <c r="B93" s="305">
        <v>10</v>
      </c>
      <c r="C93" s="305">
        <v>4</v>
      </c>
      <c r="D93" s="305" t="s">
        <v>35</v>
      </c>
      <c r="E93" s="305" t="s">
        <v>134</v>
      </c>
      <c r="F93" s="2" t="s">
        <v>750</v>
      </c>
      <c r="G93" s="305">
        <v>47</v>
      </c>
      <c r="H93" s="305">
        <v>70</v>
      </c>
      <c r="I93" s="2" t="s">
        <v>94</v>
      </c>
      <c r="J93" s="305" t="s">
        <v>35</v>
      </c>
      <c r="K93" s="2" t="s">
        <v>684</v>
      </c>
      <c r="L93" s="2" t="s">
        <v>192</v>
      </c>
      <c r="M93" s="305">
        <v>5</v>
      </c>
      <c r="N93" s="2" t="s">
        <v>710</v>
      </c>
    </row>
    <row r="94" spans="2:14" x14ac:dyDescent="0.25">
      <c r="B94" s="305">
        <v>10</v>
      </c>
      <c r="C94" s="305">
        <v>5</v>
      </c>
      <c r="D94" s="305" t="s">
        <v>35</v>
      </c>
      <c r="E94" s="305" t="s">
        <v>34</v>
      </c>
      <c r="F94" s="2" t="s">
        <v>205</v>
      </c>
      <c r="G94" s="305">
        <v>47</v>
      </c>
      <c r="H94" s="305">
        <v>70</v>
      </c>
      <c r="I94" s="2" t="s">
        <v>93</v>
      </c>
      <c r="J94" s="305" t="s">
        <v>35</v>
      </c>
      <c r="K94" s="2" t="s">
        <v>681</v>
      </c>
      <c r="L94" s="2" t="s">
        <v>90</v>
      </c>
      <c r="M94" s="305">
        <v>10</v>
      </c>
    </row>
    <row r="95" spans="2:14" x14ac:dyDescent="0.25">
      <c r="B95" s="305">
        <v>11</v>
      </c>
      <c r="C95" s="305">
        <v>3</v>
      </c>
      <c r="D95" s="305" t="s">
        <v>32</v>
      </c>
      <c r="E95" s="305" t="s">
        <v>132</v>
      </c>
      <c r="F95" s="2" t="s">
        <v>712</v>
      </c>
      <c r="G95" s="305">
        <v>40</v>
      </c>
      <c r="H95" s="305">
        <v>70</v>
      </c>
      <c r="I95" s="2" t="s">
        <v>687</v>
      </c>
      <c r="J95" s="305" t="s">
        <v>32</v>
      </c>
      <c r="K95" s="2" t="s">
        <v>683</v>
      </c>
      <c r="L95" s="2" t="s">
        <v>90</v>
      </c>
      <c r="M95" s="305">
        <v>8</v>
      </c>
      <c r="N95" s="2" t="s">
        <v>713</v>
      </c>
    </row>
    <row r="96" spans="2:14" x14ac:dyDescent="0.25">
      <c r="B96" s="305">
        <v>11</v>
      </c>
      <c r="C96" s="305">
        <v>4</v>
      </c>
      <c r="D96" s="305" t="s">
        <v>32</v>
      </c>
      <c r="E96" s="305" t="s">
        <v>136</v>
      </c>
      <c r="F96" s="2" t="s">
        <v>735</v>
      </c>
      <c r="G96" s="305">
        <v>47</v>
      </c>
      <c r="H96" s="305">
        <v>50</v>
      </c>
      <c r="I96" s="2" t="s">
        <v>714</v>
      </c>
      <c r="J96" s="305" t="s">
        <v>32</v>
      </c>
      <c r="K96" s="2" t="s">
        <v>683</v>
      </c>
      <c r="L96" s="2" t="s">
        <v>141</v>
      </c>
      <c r="M96" s="305">
        <v>5</v>
      </c>
      <c r="N96" s="2" t="s">
        <v>713</v>
      </c>
    </row>
    <row r="97" spans="2:14" x14ac:dyDescent="0.25">
      <c r="B97" s="305">
        <v>11</v>
      </c>
      <c r="C97" s="305">
        <v>5</v>
      </c>
      <c r="D97" s="305" t="s">
        <v>32</v>
      </c>
      <c r="E97" s="305" t="s">
        <v>137</v>
      </c>
      <c r="F97" s="2" t="s">
        <v>766</v>
      </c>
      <c r="G97" s="305">
        <v>70</v>
      </c>
      <c r="H97" s="305">
        <v>70</v>
      </c>
      <c r="I97" s="2" t="s">
        <v>715</v>
      </c>
      <c r="J97" s="305" t="s">
        <v>32</v>
      </c>
      <c r="K97" s="2" t="s">
        <v>682</v>
      </c>
      <c r="L97" s="2" t="s">
        <v>90</v>
      </c>
      <c r="M97" s="305">
        <v>15</v>
      </c>
      <c r="N97" s="2" t="s">
        <v>713</v>
      </c>
    </row>
    <row r="98" spans="2:14" x14ac:dyDescent="0.25">
      <c r="B98" s="305">
        <v>12</v>
      </c>
      <c r="C98" s="305">
        <v>3</v>
      </c>
      <c r="D98" s="305" t="s">
        <v>38</v>
      </c>
      <c r="E98" s="305" t="s">
        <v>135</v>
      </c>
      <c r="F98" s="2" t="s">
        <v>175</v>
      </c>
      <c r="G98" s="305">
        <v>40</v>
      </c>
      <c r="H98" s="305">
        <v>50</v>
      </c>
      <c r="I98" s="2" t="s">
        <v>23</v>
      </c>
      <c r="J98" s="305" t="s">
        <v>38</v>
      </c>
      <c r="K98" s="2" t="s">
        <v>680</v>
      </c>
      <c r="L98" s="2" t="s">
        <v>90</v>
      </c>
      <c r="M98" s="305">
        <v>6</v>
      </c>
    </row>
    <row r="99" spans="2:14" x14ac:dyDescent="0.25">
      <c r="B99" s="305">
        <v>12</v>
      </c>
      <c r="C99" s="305">
        <v>4</v>
      </c>
      <c r="D99" s="305" t="s">
        <v>36</v>
      </c>
      <c r="E99" s="305" t="s">
        <v>132</v>
      </c>
      <c r="F99" s="2" t="s">
        <v>720</v>
      </c>
      <c r="G99" s="305">
        <v>40</v>
      </c>
      <c r="H99" s="305">
        <v>50</v>
      </c>
      <c r="I99" s="2" t="s">
        <v>687</v>
      </c>
      <c r="J99" s="305" t="s">
        <v>36</v>
      </c>
      <c r="K99" s="2" t="s">
        <v>178</v>
      </c>
      <c r="L99" s="2" t="s">
        <v>90</v>
      </c>
      <c r="M99" s="305">
        <v>1</v>
      </c>
    </row>
    <row r="100" spans="2:14" x14ac:dyDescent="0.25">
      <c r="B100" s="305">
        <v>12</v>
      </c>
      <c r="C100" s="305">
        <v>5</v>
      </c>
      <c r="D100" s="305" t="s">
        <v>36</v>
      </c>
      <c r="E100" s="305" t="s">
        <v>132</v>
      </c>
      <c r="F100" s="2" t="s">
        <v>229</v>
      </c>
      <c r="G100" s="305">
        <v>47</v>
      </c>
      <c r="H100" s="305">
        <v>70</v>
      </c>
      <c r="I100" s="2" t="s">
        <v>687</v>
      </c>
      <c r="J100" s="305" t="s">
        <v>36</v>
      </c>
      <c r="K100" s="2" t="s">
        <v>689</v>
      </c>
      <c r="L100" s="2" t="s">
        <v>94</v>
      </c>
      <c r="M100" s="305">
        <v>9</v>
      </c>
    </row>
    <row r="101" spans="2:14" x14ac:dyDescent="0.25">
      <c r="B101" s="305">
        <v>12</v>
      </c>
      <c r="C101" s="305">
        <v>4</v>
      </c>
      <c r="D101" s="305" t="s">
        <v>36</v>
      </c>
      <c r="E101" s="305" t="s">
        <v>137</v>
      </c>
      <c r="F101" s="2" t="s">
        <v>785</v>
      </c>
      <c r="G101" s="305">
        <v>49</v>
      </c>
      <c r="H101" s="305">
        <v>50</v>
      </c>
      <c r="I101" s="2" t="s">
        <v>715</v>
      </c>
      <c r="J101" s="305" t="s">
        <v>36</v>
      </c>
      <c r="K101" s="2" t="s">
        <v>42</v>
      </c>
      <c r="L101" s="2" t="s">
        <v>93</v>
      </c>
      <c r="M101" s="305">
        <v>5</v>
      </c>
      <c r="N101" s="2" t="s">
        <v>710</v>
      </c>
    </row>
    <row r="102" spans="2:14" x14ac:dyDescent="0.25">
      <c r="B102" s="305">
        <v>13</v>
      </c>
      <c r="C102" s="305">
        <v>5</v>
      </c>
      <c r="D102" s="305" t="s">
        <v>33</v>
      </c>
      <c r="E102" s="305" t="s">
        <v>34</v>
      </c>
      <c r="F102" s="2" t="s">
        <v>251</v>
      </c>
      <c r="G102" s="305">
        <v>47</v>
      </c>
      <c r="H102" s="305">
        <v>70</v>
      </c>
      <c r="I102" s="2" t="s">
        <v>93</v>
      </c>
      <c r="J102" s="305" t="s">
        <v>33</v>
      </c>
      <c r="K102" s="2" t="s">
        <v>682</v>
      </c>
      <c r="L102" s="2" t="s">
        <v>90</v>
      </c>
      <c r="M102" s="305">
        <v>12</v>
      </c>
    </row>
    <row r="103" spans="2:14" x14ac:dyDescent="0.25">
      <c r="B103" s="305">
        <v>13</v>
      </c>
      <c r="C103" s="305">
        <v>5</v>
      </c>
      <c r="D103" s="305" t="s">
        <v>33</v>
      </c>
      <c r="E103" s="305" t="s">
        <v>137</v>
      </c>
      <c r="F103" s="2" t="s">
        <v>254</v>
      </c>
      <c r="G103" s="305">
        <v>70</v>
      </c>
      <c r="H103" s="305">
        <v>70</v>
      </c>
      <c r="I103" s="2" t="s">
        <v>715</v>
      </c>
      <c r="J103" s="305" t="s">
        <v>33</v>
      </c>
      <c r="K103" s="2" t="s">
        <v>684</v>
      </c>
      <c r="L103" s="2" t="s">
        <v>90</v>
      </c>
      <c r="M103" s="305">
        <v>13</v>
      </c>
    </row>
    <row r="104" spans="2:14" x14ac:dyDescent="0.25">
      <c r="B104" s="305">
        <v>14</v>
      </c>
      <c r="C104" s="305">
        <v>5</v>
      </c>
      <c r="D104" s="305" t="s">
        <v>35</v>
      </c>
      <c r="E104" s="305" t="s">
        <v>132</v>
      </c>
      <c r="F104" s="2" t="s">
        <v>745</v>
      </c>
      <c r="G104" s="305">
        <v>47</v>
      </c>
      <c r="H104" s="305">
        <v>50</v>
      </c>
      <c r="I104" s="2" t="s">
        <v>687</v>
      </c>
      <c r="J104" s="305" t="s">
        <v>35</v>
      </c>
      <c r="K104" s="2" t="s">
        <v>685</v>
      </c>
      <c r="L104" s="2" t="s">
        <v>94</v>
      </c>
      <c r="M104" s="305">
        <v>7</v>
      </c>
      <c r="N104" s="2" t="s">
        <v>746</v>
      </c>
    </row>
    <row r="105" spans="2:14" x14ac:dyDescent="0.25">
      <c r="B105" s="305">
        <v>15</v>
      </c>
      <c r="C105" s="305">
        <v>5</v>
      </c>
      <c r="D105" s="305" t="s">
        <v>38</v>
      </c>
      <c r="E105" s="305" t="s">
        <v>136</v>
      </c>
      <c r="F105" s="2" t="s">
        <v>187</v>
      </c>
      <c r="G105" s="305">
        <v>47</v>
      </c>
      <c r="H105" s="305">
        <v>70</v>
      </c>
      <c r="I105" s="2" t="s">
        <v>714</v>
      </c>
      <c r="J105" s="305" t="s">
        <v>38</v>
      </c>
      <c r="K105" s="2" t="s">
        <v>681</v>
      </c>
      <c r="L105" s="2" t="s">
        <v>169</v>
      </c>
      <c r="M105" s="305">
        <v>7</v>
      </c>
    </row>
    <row r="106" spans="2:14" x14ac:dyDescent="0.25">
      <c r="B106" s="305">
        <v>15</v>
      </c>
      <c r="C106" s="305">
        <v>4</v>
      </c>
      <c r="D106" s="305" t="s">
        <v>36</v>
      </c>
      <c r="E106" s="305" t="s">
        <v>134</v>
      </c>
      <c r="F106" s="2" t="s">
        <v>226</v>
      </c>
      <c r="G106" s="305">
        <v>49</v>
      </c>
      <c r="H106" s="305">
        <v>50</v>
      </c>
      <c r="I106" s="2" t="s">
        <v>94</v>
      </c>
      <c r="J106" s="305" t="s">
        <v>36</v>
      </c>
      <c r="K106" s="2" t="s">
        <v>689</v>
      </c>
      <c r="L106" s="2" t="s">
        <v>212</v>
      </c>
      <c r="M106" s="305">
        <v>7</v>
      </c>
    </row>
    <row r="107" spans="2:14" x14ac:dyDescent="0.25">
      <c r="B107" s="305">
        <v>16</v>
      </c>
      <c r="C107" s="305">
        <v>4</v>
      </c>
      <c r="D107" s="305" t="s">
        <v>32</v>
      </c>
      <c r="E107" s="305" t="s">
        <v>34</v>
      </c>
      <c r="F107" s="2" t="s">
        <v>154</v>
      </c>
      <c r="G107" s="305">
        <v>40</v>
      </c>
      <c r="H107" s="305">
        <v>50</v>
      </c>
      <c r="I107" s="2" t="s">
        <v>93</v>
      </c>
      <c r="J107" s="305" t="s">
        <v>32</v>
      </c>
      <c r="K107" s="2" t="s">
        <v>682</v>
      </c>
      <c r="L107" s="2" t="s">
        <v>90</v>
      </c>
      <c r="M107" s="305">
        <v>10</v>
      </c>
    </row>
    <row r="108" spans="2:14" x14ac:dyDescent="0.25">
      <c r="B108" s="305">
        <v>16</v>
      </c>
      <c r="C108" s="305">
        <v>5</v>
      </c>
      <c r="D108" s="305" t="s">
        <v>35</v>
      </c>
      <c r="E108" s="305" t="s">
        <v>135</v>
      </c>
      <c r="F108" s="2" t="s">
        <v>747</v>
      </c>
      <c r="G108" s="305">
        <v>47</v>
      </c>
      <c r="H108" s="305">
        <v>70</v>
      </c>
      <c r="I108" s="2" t="s">
        <v>23</v>
      </c>
      <c r="J108" s="305" t="s">
        <v>35</v>
      </c>
      <c r="K108" s="2" t="s">
        <v>684</v>
      </c>
      <c r="L108" s="2" t="s">
        <v>90</v>
      </c>
      <c r="M108" s="305">
        <v>8</v>
      </c>
    </row>
    <row r="109" spans="2:14" x14ac:dyDescent="0.25">
      <c r="B109" s="305">
        <v>16</v>
      </c>
      <c r="C109" s="305">
        <v>4</v>
      </c>
      <c r="D109" s="305" t="s">
        <v>33</v>
      </c>
      <c r="E109" s="305" t="s">
        <v>134</v>
      </c>
      <c r="F109" s="2" t="s">
        <v>786</v>
      </c>
      <c r="G109" s="305">
        <v>49</v>
      </c>
      <c r="H109" s="305">
        <v>50</v>
      </c>
      <c r="I109" s="2" t="s">
        <v>94</v>
      </c>
      <c r="J109" s="305" t="s">
        <v>33</v>
      </c>
      <c r="K109" s="2" t="s">
        <v>684</v>
      </c>
      <c r="L109" s="2" t="s">
        <v>130</v>
      </c>
      <c r="M109" s="305">
        <v>7</v>
      </c>
      <c r="N109" s="2" t="s">
        <v>708</v>
      </c>
    </row>
    <row r="110" spans="2:14" x14ac:dyDescent="0.25">
      <c r="B110" s="305">
        <v>17</v>
      </c>
      <c r="C110" s="305">
        <v>5</v>
      </c>
      <c r="D110" s="305" t="s">
        <v>32</v>
      </c>
      <c r="E110" s="305" t="s">
        <v>132</v>
      </c>
      <c r="F110" s="2" t="s">
        <v>736</v>
      </c>
      <c r="G110" s="305">
        <v>47</v>
      </c>
      <c r="H110" s="305">
        <v>70</v>
      </c>
      <c r="I110" s="2" t="s">
        <v>687</v>
      </c>
      <c r="J110" s="305" t="s">
        <v>32</v>
      </c>
      <c r="K110" s="2" t="s">
        <v>681</v>
      </c>
      <c r="L110" s="2" t="s">
        <v>90</v>
      </c>
      <c r="M110" s="305">
        <v>8</v>
      </c>
      <c r="N110" s="2" t="s">
        <v>631</v>
      </c>
    </row>
    <row r="111" spans="2:14" x14ac:dyDescent="0.25">
      <c r="B111" s="305">
        <v>17</v>
      </c>
      <c r="C111" s="305">
        <v>5</v>
      </c>
      <c r="D111" s="305" t="s">
        <v>36</v>
      </c>
      <c r="E111" s="305" t="s">
        <v>132</v>
      </c>
      <c r="F111" s="2" t="s">
        <v>751</v>
      </c>
      <c r="G111" s="305">
        <v>47</v>
      </c>
      <c r="H111" s="305">
        <v>70</v>
      </c>
      <c r="I111" s="2" t="s">
        <v>687</v>
      </c>
      <c r="J111" s="305" t="s">
        <v>36</v>
      </c>
      <c r="K111" s="2" t="s">
        <v>178</v>
      </c>
      <c r="L111" s="2" t="s">
        <v>90</v>
      </c>
      <c r="M111" s="305">
        <v>3</v>
      </c>
      <c r="N111" s="2" t="s">
        <v>710</v>
      </c>
    </row>
    <row r="112" spans="2:14" x14ac:dyDescent="0.25">
      <c r="B112" s="305">
        <v>17</v>
      </c>
      <c r="C112" s="305">
        <v>5</v>
      </c>
      <c r="D112" s="305" t="s">
        <v>38</v>
      </c>
      <c r="E112" s="305" t="s">
        <v>135</v>
      </c>
      <c r="F112" s="2" t="s">
        <v>740</v>
      </c>
      <c r="G112" s="305">
        <v>47</v>
      </c>
      <c r="H112" s="305">
        <v>70</v>
      </c>
      <c r="I112" s="2" t="s">
        <v>23</v>
      </c>
      <c r="J112" s="305" t="s">
        <v>38</v>
      </c>
      <c r="K112" s="2" t="s">
        <v>680</v>
      </c>
      <c r="L112" s="2" t="s">
        <v>90</v>
      </c>
      <c r="M112" s="305">
        <v>8</v>
      </c>
      <c r="N112" s="2" t="s">
        <v>631</v>
      </c>
    </row>
    <row r="113" spans="2:14" x14ac:dyDescent="0.25">
      <c r="B113" s="305">
        <v>17</v>
      </c>
      <c r="C113" s="305">
        <v>5</v>
      </c>
      <c r="D113" s="305" t="s">
        <v>33</v>
      </c>
      <c r="E113" s="305" t="s">
        <v>702</v>
      </c>
      <c r="F113" s="2" t="s">
        <v>757</v>
      </c>
      <c r="G113" s="305">
        <v>47</v>
      </c>
      <c r="H113" s="305">
        <v>70</v>
      </c>
      <c r="I113" s="2" t="s">
        <v>703</v>
      </c>
      <c r="J113" s="305" t="s">
        <v>33</v>
      </c>
      <c r="K113" s="2" t="s">
        <v>682</v>
      </c>
      <c r="L113" s="2" t="s">
        <v>130</v>
      </c>
      <c r="M113" s="305">
        <v>7</v>
      </c>
      <c r="N113" s="2" t="s">
        <v>631</v>
      </c>
    </row>
    <row r="114" spans="2:14" x14ac:dyDescent="0.25">
      <c r="B114" s="305">
        <v>18</v>
      </c>
      <c r="C114" s="305">
        <v>4</v>
      </c>
      <c r="D114" s="305" t="s">
        <v>33</v>
      </c>
      <c r="E114" s="305" t="s">
        <v>136</v>
      </c>
      <c r="F114" s="2" t="s">
        <v>246</v>
      </c>
      <c r="G114" s="305">
        <v>40</v>
      </c>
      <c r="H114" s="305">
        <v>50</v>
      </c>
      <c r="I114" s="2" t="s">
        <v>714</v>
      </c>
      <c r="J114" s="305" t="s">
        <v>33</v>
      </c>
      <c r="K114" s="2" t="s">
        <v>681</v>
      </c>
      <c r="L114" s="2" t="s">
        <v>240</v>
      </c>
      <c r="M114" s="305">
        <v>5</v>
      </c>
    </row>
    <row r="115" spans="2:14" x14ac:dyDescent="0.25">
      <c r="B115" s="305">
        <v>18</v>
      </c>
      <c r="C115" s="305">
        <v>5</v>
      </c>
      <c r="D115" s="305" t="s">
        <v>36</v>
      </c>
      <c r="E115" s="305" t="s">
        <v>133</v>
      </c>
      <c r="F115" s="2" t="s">
        <v>167</v>
      </c>
      <c r="G115" s="305">
        <v>47</v>
      </c>
      <c r="H115" s="305">
        <v>50</v>
      </c>
      <c r="I115" s="2" t="s">
        <v>90</v>
      </c>
      <c r="J115" s="305" t="s">
        <v>36</v>
      </c>
      <c r="K115" s="2" t="s">
        <v>162</v>
      </c>
      <c r="L115" s="2" t="s">
        <v>212</v>
      </c>
      <c r="M115" s="305">
        <v>5</v>
      </c>
    </row>
    <row r="116" spans="2:14" x14ac:dyDescent="0.25">
      <c r="B116" s="305">
        <v>18</v>
      </c>
      <c r="C116" s="305">
        <v>4</v>
      </c>
      <c r="D116" s="305" t="s">
        <v>36</v>
      </c>
      <c r="E116" s="305" t="s">
        <v>133</v>
      </c>
      <c r="F116" s="2" t="s">
        <v>220</v>
      </c>
      <c r="G116" s="305">
        <v>49</v>
      </c>
      <c r="H116" s="305">
        <v>50</v>
      </c>
      <c r="I116" s="2" t="s">
        <v>90</v>
      </c>
      <c r="J116" s="305" t="s">
        <v>36</v>
      </c>
      <c r="K116" s="2" t="s">
        <v>689</v>
      </c>
      <c r="L116" s="2" t="s">
        <v>221</v>
      </c>
      <c r="M116" s="305">
        <v>7</v>
      </c>
    </row>
    <row r="117" spans="2:14" x14ac:dyDescent="0.25">
      <c r="B117" s="305">
        <v>19</v>
      </c>
      <c r="C117" s="305">
        <v>5</v>
      </c>
      <c r="D117" s="305" t="s">
        <v>32</v>
      </c>
      <c r="E117" s="305" t="s">
        <v>135</v>
      </c>
      <c r="F117" s="2" t="s">
        <v>761</v>
      </c>
      <c r="G117" s="305">
        <v>49</v>
      </c>
      <c r="H117" s="305">
        <v>50</v>
      </c>
      <c r="I117" s="2" t="s">
        <v>23</v>
      </c>
      <c r="J117" s="305" t="s">
        <v>32</v>
      </c>
      <c r="K117" s="2" t="s">
        <v>42</v>
      </c>
      <c r="L117" s="2" t="s">
        <v>151</v>
      </c>
      <c r="M117" s="305" t="s">
        <v>777</v>
      </c>
      <c r="N117" s="2" t="s">
        <v>746</v>
      </c>
    </row>
    <row r="118" spans="2:14" x14ac:dyDescent="0.25">
      <c r="B118" s="305">
        <v>20</v>
      </c>
      <c r="C118" s="305">
        <v>4</v>
      </c>
      <c r="D118" s="305" t="s">
        <v>32</v>
      </c>
      <c r="E118" s="305" t="s">
        <v>135</v>
      </c>
      <c r="F118" s="2" t="s">
        <v>711</v>
      </c>
      <c r="G118" s="305">
        <v>40</v>
      </c>
      <c r="H118" s="305">
        <v>50</v>
      </c>
      <c r="I118" s="2" t="s">
        <v>23</v>
      </c>
      <c r="J118" s="305" t="s">
        <v>32</v>
      </c>
      <c r="K118" s="2" t="s">
        <v>178</v>
      </c>
      <c r="L118" s="2" t="s">
        <v>90</v>
      </c>
      <c r="M118" s="305">
        <v>1</v>
      </c>
      <c r="N118" s="2" t="s">
        <v>710</v>
      </c>
    </row>
    <row r="119" spans="2:14" x14ac:dyDescent="0.25">
      <c r="B119" s="305">
        <v>20</v>
      </c>
      <c r="C119" s="305">
        <v>4</v>
      </c>
      <c r="D119" s="305" t="s">
        <v>32</v>
      </c>
      <c r="E119" s="305" t="s">
        <v>132</v>
      </c>
      <c r="F119" s="2" t="s">
        <v>156</v>
      </c>
      <c r="G119" s="305">
        <v>47</v>
      </c>
      <c r="H119" s="305">
        <v>70</v>
      </c>
      <c r="I119" s="2" t="s">
        <v>687</v>
      </c>
      <c r="J119" s="305" t="s">
        <v>32</v>
      </c>
      <c r="K119" s="2" t="s">
        <v>681</v>
      </c>
      <c r="L119" s="2" t="s">
        <v>94</v>
      </c>
      <c r="M119" s="305">
        <v>9</v>
      </c>
    </row>
    <row r="120" spans="2:14" x14ac:dyDescent="0.25">
      <c r="B120" s="305">
        <v>20</v>
      </c>
      <c r="C120" s="305">
        <v>5</v>
      </c>
      <c r="D120" s="305" t="s">
        <v>32</v>
      </c>
      <c r="E120" s="305" t="s">
        <v>702</v>
      </c>
      <c r="F120" s="2" t="s">
        <v>163</v>
      </c>
      <c r="G120" s="305">
        <v>47</v>
      </c>
      <c r="H120" s="305">
        <v>50</v>
      </c>
      <c r="I120" s="2" t="s">
        <v>703</v>
      </c>
      <c r="J120" s="305" t="s">
        <v>32</v>
      </c>
      <c r="K120" s="2" t="s">
        <v>688</v>
      </c>
      <c r="L120" s="2" t="s">
        <v>141</v>
      </c>
      <c r="M120" s="305">
        <v>3</v>
      </c>
    </row>
    <row r="121" spans="2:14" x14ac:dyDescent="0.25">
      <c r="B121" s="305">
        <v>20</v>
      </c>
      <c r="C121" s="305">
        <v>4</v>
      </c>
      <c r="D121" s="305" t="s">
        <v>38</v>
      </c>
      <c r="E121" s="305" t="s">
        <v>137</v>
      </c>
      <c r="F121" s="2" t="s">
        <v>182</v>
      </c>
      <c r="G121" s="305">
        <v>49</v>
      </c>
      <c r="H121" s="305">
        <v>50</v>
      </c>
      <c r="I121" s="2" t="s">
        <v>715</v>
      </c>
      <c r="J121" s="305" t="s">
        <v>38</v>
      </c>
      <c r="K121" s="2" t="s">
        <v>42</v>
      </c>
      <c r="L121" s="2" t="s">
        <v>687</v>
      </c>
      <c r="M121" s="305">
        <v>18</v>
      </c>
    </row>
    <row r="122" spans="2:14" x14ac:dyDescent="0.25">
      <c r="B122" s="305">
        <v>21</v>
      </c>
      <c r="C122" s="305">
        <v>5</v>
      </c>
      <c r="D122" s="305" t="s">
        <v>35</v>
      </c>
      <c r="E122" s="305" t="s">
        <v>132</v>
      </c>
      <c r="F122" s="2" t="s">
        <v>208</v>
      </c>
      <c r="G122" s="305">
        <v>47</v>
      </c>
      <c r="H122" s="305">
        <v>50</v>
      </c>
      <c r="I122" s="2" t="s">
        <v>687</v>
      </c>
      <c r="J122" s="305" t="s">
        <v>35</v>
      </c>
      <c r="K122" s="2" t="s">
        <v>178</v>
      </c>
      <c r="L122" s="2" t="s">
        <v>90</v>
      </c>
      <c r="M122" s="305">
        <v>3</v>
      </c>
    </row>
    <row r="123" spans="2:14" x14ac:dyDescent="0.25">
      <c r="B123" s="305">
        <v>21</v>
      </c>
      <c r="C123" s="305">
        <v>5</v>
      </c>
      <c r="D123" s="305" t="s">
        <v>35</v>
      </c>
      <c r="E123" s="305" t="s">
        <v>134</v>
      </c>
      <c r="F123" s="2" t="s">
        <v>140</v>
      </c>
      <c r="G123" s="305">
        <v>47</v>
      </c>
      <c r="H123" s="305">
        <v>50</v>
      </c>
      <c r="I123" s="2" t="s">
        <v>94</v>
      </c>
      <c r="J123" s="305" t="s">
        <v>35</v>
      </c>
      <c r="K123" s="2" t="s">
        <v>681</v>
      </c>
      <c r="L123" s="2" t="s">
        <v>192</v>
      </c>
      <c r="M123" s="305">
        <v>3</v>
      </c>
    </row>
    <row r="124" spans="2:14" x14ac:dyDescent="0.25">
      <c r="B124" s="305">
        <v>21</v>
      </c>
      <c r="C124" s="305">
        <v>4</v>
      </c>
      <c r="D124" s="305" t="s">
        <v>35</v>
      </c>
      <c r="E124" s="305" t="s">
        <v>137</v>
      </c>
      <c r="F124" s="2" t="s">
        <v>146</v>
      </c>
      <c r="G124" s="305">
        <v>49</v>
      </c>
      <c r="H124" s="305">
        <v>50</v>
      </c>
      <c r="I124" s="2" t="s">
        <v>715</v>
      </c>
      <c r="J124" s="305" t="s">
        <v>35</v>
      </c>
      <c r="K124" s="2" t="s">
        <v>178</v>
      </c>
      <c r="L124" s="2" t="s">
        <v>94</v>
      </c>
      <c r="M124" s="305">
        <v>7</v>
      </c>
    </row>
    <row r="125" spans="2:14" x14ac:dyDescent="0.25">
      <c r="B125" s="305">
        <v>22</v>
      </c>
      <c r="C125" s="305">
        <v>5</v>
      </c>
      <c r="D125" s="305" t="s">
        <v>33</v>
      </c>
      <c r="E125" s="305" t="s">
        <v>133</v>
      </c>
      <c r="F125" s="2" t="s">
        <v>255</v>
      </c>
      <c r="G125" s="305">
        <v>47</v>
      </c>
      <c r="H125" s="305">
        <v>50</v>
      </c>
      <c r="I125" s="2" t="s">
        <v>90</v>
      </c>
      <c r="J125" s="305" t="s">
        <v>33</v>
      </c>
      <c r="K125" s="2" t="s">
        <v>682</v>
      </c>
      <c r="L125" s="2" t="s">
        <v>130</v>
      </c>
      <c r="M125" s="305">
        <v>7</v>
      </c>
    </row>
    <row r="126" spans="2:14" x14ac:dyDescent="0.25">
      <c r="B126" s="305">
        <v>22</v>
      </c>
      <c r="C126" s="305">
        <v>5</v>
      </c>
      <c r="D126" s="305" t="s">
        <v>33</v>
      </c>
      <c r="E126" s="305" t="s">
        <v>132</v>
      </c>
      <c r="F126" s="2" t="s">
        <v>249</v>
      </c>
      <c r="G126" s="305">
        <v>49</v>
      </c>
      <c r="H126" s="305">
        <v>50</v>
      </c>
      <c r="I126" s="2" t="s">
        <v>687</v>
      </c>
      <c r="J126" s="305" t="s">
        <v>33</v>
      </c>
      <c r="K126" s="2" t="s">
        <v>178</v>
      </c>
      <c r="L126" s="2" t="s">
        <v>90</v>
      </c>
      <c r="M126" s="305">
        <v>6</v>
      </c>
    </row>
    <row r="127" spans="2:14" x14ac:dyDescent="0.25">
      <c r="B127" s="305">
        <v>23</v>
      </c>
      <c r="C127" s="305">
        <v>5</v>
      </c>
      <c r="D127" s="305" t="s">
        <v>32</v>
      </c>
      <c r="E127" s="305" t="s">
        <v>34</v>
      </c>
      <c r="F127" s="2" t="s">
        <v>161</v>
      </c>
      <c r="G127" s="305">
        <v>47</v>
      </c>
      <c r="H127" s="305">
        <v>50</v>
      </c>
      <c r="I127" s="2" t="s">
        <v>93</v>
      </c>
      <c r="J127" s="305" t="s">
        <v>32</v>
      </c>
      <c r="K127" s="2" t="s">
        <v>178</v>
      </c>
      <c r="L127" s="2" t="s">
        <v>90</v>
      </c>
      <c r="M127" s="305">
        <v>3</v>
      </c>
    </row>
    <row r="128" spans="2:14" x14ac:dyDescent="0.25">
      <c r="B128" s="305">
        <v>23</v>
      </c>
      <c r="C128" s="305">
        <v>5</v>
      </c>
      <c r="D128" s="305" t="s">
        <v>32</v>
      </c>
      <c r="E128" s="305" t="s">
        <v>133</v>
      </c>
      <c r="F128" s="2" t="s">
        <v>164</v>
      </c>
      <c r="G128" s="305">
        <v>47</v>
      </c>
      <c r="H128" s="305">
        <v>50</v>
      </c>
      <c r="I128" s="2" t="s">
        <v>90</v>
      </c>
      <c r="J128" s="305" t="s">
        <v>32</v>
      </c>
      <c r="K128" s="2" t="s">
        <v>683</v>
      </c>
      <c r="L128" s="2" t="s">
        <v>141</v>
      </c>
      <c r="M128" s="305">
        <v>5</v>
      </c>
    </row>
    <row r="129" spans="2:14" x14ac:dyDescent="0.25">
      <c r="B129" s="305">
        <v>23</v>
      </c>
      <c r="C129" s="305">
        <v>4</v>
      </c>
      <c r="D129" s="305" t="s">
        <v>38</v>
      </c>
      <c r="E129" s="305" t="s">
        <v>134</v>
      </c>
      <c r="F129" s="2" t="s">
        <v>183</v>
      </c>
      <c r="G129" s="305">
        <v>49</v>
      </c>
      <c r="H129" s="305">
        <v>70</v>
      </c>
      <c r="I129" s="2" t="s">
        <v>94</v>
      </c>
      <c r="J129" s="305" t="s">
        <v>38</v>
      </c>
      <c r="L129" s="2" t="s">
        <v>92</v>
      </c>
      <c r="M129" s="305">
        <v>9</v>
      </c>
    </row>
    <row r="130" spans="2:14" x14ac:dyDescent="0.25">
      <c r="B130" s="305">
        <v>24</v>
      </c>
      <c r="C130" s="305">
        <v>5</v>
      </c>
      <c r="D130" s="305" t="s">
        <v>33</v>
      </c>
      <c r="E130" s="305" t="s">
        <v>702</v>
      </c>
      <c r="F130" s="2" t="s">
        <v>739</v>
      </c>
      <c r="G130" s="305">
        <v>49</v>
      </c>
      <c r="H130" s="305">
        <v>50</v>
      </c>
      <c r="I130" s="2" t="s">
        <v>703</v>
      </c>
      <c r="J130" s="305" t="s">
        <v>33</v>
      </c>
      <c r="K130" s="2" t="s">
        <v>688</v>
      </c>
      <c r="L130" s="2" t="s">
        <v>130</v>
      </c>
      <c r="M130" s="305">
        <v>6</v>
      </c>
      <c r="N130" s="2" t="s">
        <v>746</v>
      </c>
    </row>
    <row r="131" spans="2:14" x14ac:dyDescent="0.25">
      <c r="B131" s="305">
        <v>25</v>
      </c>
      <c r="C131" s="305">
        <v>4</v>
      </c>
      <c r="D131" s="305" t="s">
        <v>38</v>
      </c>
      <c r="E131" s="305" t="s">
        <v>133</v>
      </c>
      <c r="F131" s="2" t="s">
        <v>180</v>
      </c>
      <c r="G131" s="305">
        <v>40</v>
      </c>
      <c r="H131" s="305">
        <v>50</v>
      </c>
      <c r="I131" s="2" t="s">
        <v>90</v>
      </c>
      <c r="J131" s="305" t="s">
        <v>38</v>
      </c>
      <c r="K131" s="2" t="s">
        <v>42</v>
      </c>
      <c r="L131" s="2" t="s">
        <v>628</v>
      </c>
      <c r="M131" s="305">
        <v>5</v>
      </c>
    </row>
    <row r="132" spans="2:14" x14ac:dyDescent="0.25">
      <c r="B132" s="305">
        <v>25</v>
      </c>
      <c r="C132" s="305">
        <v>4</v>
      </c>
      <c r="D132" s="305" t="s">
        <v>38</v>
      </c>
      <c r="E132" s="305" t="s">
        <v>702</v>
      </c>
      <c r="F132" s="2" t="s">
        <v>719</v>
      </c>
      <c r="G132" s="305">
        <v>49</v>
      </c>
      <c r="H132" s="305">
        <v>50</v>
      </c>
      <c r="I132" s="2" t="s">
        <v>703</v>
      </c>
      <c r="J132" s="305" t="s">
        <v>38</v>
      </c>
      <c r="K132" s="2" t="s">
        <v>42</v>
      </c>
      <c r="L132" s="2" t="s">
        <v>92</v>
      </c>
      <c r="M132" s="305">
        <v>9</v>
      </c>
      <c r="N132" s="2" t="s">
        <v>710</v>
      </c>
    </row>
    <row r="133" spans="2:14" x14ac:dyDescent="0.25">
      <c r="B133" s="305">
        <v>25</v>
      </c>
      <c r="C133" s="305">
        <v>5</v>
      </c>
      <c r="D133" s="305" t="s">
        <v>38</v>
      </c>
      <c r="E133" s="305" t="s">
        <v>34</v>
      </c>
      <c r="F133" s="2" t="s">
        <v>185</v>
      </c>
      <c r="G133" s="305">
        <v>49</v>
      </c>
      <c r="H133" s="305">
        <v>70</v>
      </c>
      <c r="I133" s="2" t="s">
        <v>93</v>
      </c>
      <c r="J133" s="305" t="s">
        <v>38</v>
      </c>
      <c r="K133" s="2" t="s">
        <v>178</v>
      </c>
      <c r="L133" s="2" t="s">
        <v>90</v>
      </c>
      <c r="M133" s="305">
        <v>6</v>
      </c>
    </row>
    <row r="134" spans="2:14" x14ac:dyDescent="0.25">
      <c r="B134" s="305">
        <v>25</v>
      </c>
      <c r="C134" s="305">
        <v>5</v>
      </c>
      <c r="D134" s="305" t="s">
        <v>38</v>
      </c>
      <c r="E134" s="305" t="s">
        <v>132</v>
      </c>
      <c r="F134" s="2" t="s">
        <v>190</v>
      </c>
      <c r="G134" s="305">
        <v>70</v>
      </c>
      <c r="H134" s="305">
        <v>70</v>
      </c>
      <c r="I134" s="2" t="s">
        <v>687</v>
      </c>
      <c r="J134" s="305" t="s">
        <v>38</v>
      </c>
      <c r="K134" s="2" t="s">
        <v>42</v>
      </c>
      <c r="L134" s="2" t="s">
        <v>151</v>
      </c>
      <c r="M134" s="305" t="s">
        <v>777</v>
      </c>
    </row>
    <row r="135" spans="2:14" x14ac:dyDescent="0.25">
      <c r="B135" s="305">
        <v>26</v>
      </c>
      <c r="C135" s="305">
        <v>4</v>
      </c>
      <c r="D135" s="305" t="s">
        <v>36</v>
      </c>
      <c r="E135" s="305" t="s">
        <v>34</v>
      </c>
      <c r="F135" s="2" t="s">
        <v>223</v>
      </c>
      <c r="G135" s="305">
        <v>40</v>
      </c>
      <c r="H135" s="305">
        <v>50</v>
      </c>
      <c r="I135" s="2" t="s">
        <v>93</v>
      </c>
      <c r="J135" s="305" t="s">
        <v>36</v>
      </c>
      <c r="K135" s="2" t="s">
        <v>162</v>
      </c>
      <c r="L135" s="2" t="s">
        <v>90</v>
      </c>
      <c r="M135" s="305">
        <v>5</v>
      </c>
    </row>
    <row r="136" spans="2:14" x14ac:dyDescent="0.25">
      <c r="B136" s="305">
        <v>26</v>
      </c>
      <c r="C136" s="305">
        <v>5</v>
      </c>
      <c r="D136" s="305" t="s">
        <v>33</v>
      </c>
      <c r="E136" s="305" t="s">
        <v>137</v>
      </c>
      <c r="F136" s="2" t="s">
        <v>150</v>
      </c>
      <c r="G136" s="305">
        <v>50</v>
      </c>
      <c r="H136" s="305">
        <v>50</v>
      </c>
      <c r="I136" s="2" t="s">
        <v>715</v>
      </c>
      <c r="J136" s="305" t="s">
        <v>33</v>
      </c>
      <c r="K136" s="2" t="s">
        <v>178</v>
      </c>
      <c r="L136" s="2" t="s">
        <v>90</v>
      </c>
      <c r="M136" s="305">
        <v>6</v>
      </c>
    </row>
    <row r="137" spans="2:14" x14ac:dyDescent="0.25">
      <c r="B137" s="305">
        <v>26</v>
      </c>
      <c r="C137" s="305">
        <v>5</v>
      </c>
      <c r="D137" s="305" t="s">
        <v>36</v>
      </c>
      <c r="E137" s="305" t="s">
        <v>136</v>
      </c>
      <c r="F137" s="2" t="s">
        <v>230</v>
      </c>
      <c r="G137" s="305">
        <v>70</v>
      </c>
      <c r="H137" s="305">
        <v>70</v>
      </c>
      <c r="I137" s="2" t="s">
        <v>714</v>
      </c>
      <c r="J137" s="305" t="s">
        <v>36</v>
      </c>
      <c r="K137" s="2" t="s">
        <v>681</v>
      </c>
      <c r="L137" s="2" t="s">
        <v>212</v>
      </c>
      <c r="M137" s="305">
        <v>10</v>
      </c>
    </row>
    <row r="138" spans="2:14" x14ac:dyDescent="0.25">
      <c r="B138" s="305">
        <v>27</v>
      </c>
      <c r="C138" s="305">
        <v>4</v>
      </c>
      <c r="D138" s="305" t="s">
        <v>35</v>
      </c>
      <c r="E138" s="305" t="s">
        <v>702</v>
      </c>
      <c r="F138" s="2" t="s">
        <v>201</v>
      </c>
      <c r="G138" s="305">
        <v>49</v>
      </c>
      <c r="H138" s="305">
        <v>50</v>
      </c>
      <c r="I138" s="2" t="s">
        <v>703</v>
      </c>
      <c r="J138" s="305" t="s">
        <v>35</v>
      </c>
      <c r="K138" s="2" t="s">
        <v>685</v>
      </c>
      <c r="L138" s="2" t="s">
        <v>192</v>
      </c>
      <c r="M138" s="305">
        <v>7</v>
      </c>
    </row>
    <row r="139" spans="2:14" x14ac:dyDescent="0.25">
      <c r="B139" s="305">
        <v>27</v>
      </c>
      <c r="C139" s="305">
        <v>5</v>
      </c>
      <c r="D139" s="305" t="s">
        <v>35</v>
      </c>
      <c r="E139" s="305" t="s">
        <v>133</v>
      </c>
      <c r="F139" s="2" t="s">
        <v>204</v>
      </c>
      <c r="G139" s="305">
        <v>49</v>
      </c>
      <c r="H139" s="305">
        <v>50</v>
      </c>
      <c r="I139" s="2" t="s">
        <v>90</v>
      </c>
      <c r="J139" s="305" t="s">
        <v>35</v>
      </c>
      <c r="K139" s="2" t="s">
        <v>42</v>
      </c>
      <c r="L139" s="2" t="s">
        <v>93</v>
      </c>
      <c r="M139" s="305">
        <v>6</v>
      </c>
    </row>
    <row r="140" spans="2:14" x14ac:dyDescent="0.25">
      <c r="B140" s="305">
        <v>28</v>
      </c>
      <c r="C140" s="305">
        <v>5</v>
      </c>
      <c r="D140" s="305" t="s">
        <v>32</v>
      </c>
      <c r="E140" s="305" t="s">
        <v>132</v>
      </c>
      <c r="F140" s="2" t="s">
        <v>166</v>
      </c>
      <c r="G140" s="305">
        <v>47</v>
      </c>
      <c r="H140" s="305">
        <v>50</v>
      </c>
      <c r="I140" s="2" t="s">
        <v>687</v>
      </c>
      <c r="J140" s="305" t="s">
        <v>32</v>
      </c>
      <c r="K140" s="2" t="s">
        <v>682</v>
      </c>
      <c r="L140" s="2" t="s">
        <v>95</v>
      </c>
      <c r="M140" s="305" t="s">
        <v>732</v>
      </c>
    </row>
    <row r="141" spans="2:14" x14ac:dyDescent="0.25">
      <c r="B141" s="305">
        <v>28</v>
      </c>
      <c r="C141" s="305">
        <v>4</v>
      </c>
      <c r="D141" s="305" t="s">
        <v>32</v>
      </c>
      <c r="E141" s="305" t="s">
        <v>135</v>
      </c>
      <c r="F141" s="2" t="s">
        <v>155</v>
      </c>
      <c r="G141" s="305">
        <v>49</v>
      </c>
      <c r="H141" s="305">
        <v>50</v>
      </c>
      <c r="I141" s="2" t="s">
        <v>23</v>
      </c>
      <c r="J141" s="305" t="s">
        <v>32</v>
      </c>
      <c r="K141" s="2" t="s">
        <v>682</v>
      </c>
      <c r="L141" s="2" t="s">
        <v>90</v>
      </c>
      <c r="M141" s="305">
        <v>14</v>
      </c>
    </row>
    <row r="142" spans="2:14" x14ac:dyDescent="0.25">
      <c r="B142" s="305">
        <v>29</v>
      </c>
      <c r="C142" s="305">
        <v>5</v>
      </c>
      <c r="D142" s="305" t="s">
        <v>36</v>
      </c>
      <c r="E142" s="305" t="s">
        <v>132</v>
      </c>
      <c r="F142" s="2" t="s">
        <v>774</v>
      </c>
      <c r="G142" s="305">
        <v>49</v>
      </c>
      <c r="H142" s="305">
        <v>50</v>
      </c>
      <c r="I142" s="2" t="s">
        <v>775</v>
      </c>
      <c r="J142" s="305" t="s">
        <v>36</v>
      </c>
      <c r="K142" s="2" t="s">
        <v>692</v>
      </c>
      <c r="L142" s="2" t="s">
        <v>95</v>
      </c>
      <c r="M142" s="305" t="s">
        <v>777</v>
      </c>
      <c r="N142" s="2" t="s">
        <v>746</v>
      </c>
    </row>
    <row r="143" spans="2:14" x14ac:dyDescent="0.25">
      <c r="B143" s="305">
        <v>30</v>
      </c>
      <c r="C143" s="305">
        <v>4</v>
      </c>
      <c r="D143" s="305" t="s">
        <v>33</v>
      </c>
      <c r="E143" s="305" t="s">
        <v>132</v>
      </c>
      <c r="F143" s="2" t="s">
        <v>730</v>
      </c>
      <c r="G143" s="305">
        <v>40</v>
      </c>
      <c r="H143" s="305">
        <v>50</v>
      </c>
      <c r="I143" s="2" t="s">
        <v>687</v>
      </c>
      <c r="J143" s="305" t="s">
        <v>33</v>
      </c>
      <c r="K143" s="2" t="s">
        <v>42</v>
      </c>
      <c r="L143" s="2" t="s">
        <v>687</v>
      </c>
      <c r="M143" s="305">
        <v>10</v>
      </c>
      <c r="N143" s="2" t="s">
        <v>710</v>
      </c>
    </row>
    <row r="144" spans="2:14" x14ac:dyDescent="0.25">
      <c r="B144" s="305">
        <v>31</v>
      </c>
      <c r="C144" s="305">
        <v>5</v>
      </c>
      <c r="D144" s="305" t="s">
        <v>33</v>
      </c>
      <c r="E144" s="305" t="s">
        <v>134</v>
      </c>
      <c r="F144" s="2" t="s">
        <v>250</v>
      </c>
      <c r="G144" s="305">
        <v>47</v>
      </c>
      <c r="H144" s="305">
        <v>70</v>
      </c>
      <c r="I144" s="2" t="s">
        <v>94</v>
      </c>
      <c r="J144" s="305" t="s">
        <v>33</v>
      </c>
      <c r="K144" s="2" t="s">
        <v>42</v>
      </c>
      <c r="L144" s="2" t="s">
        <v>131</v>
      </c>
      <c r="M144" s="305">
        <v>40</v>
      </c>
    </row>
    <row r="145" spans="2:14" x14ac:dyDescent="0.25">
      <c r="B145" s="305">
        <v>31</v>
      </c>
      <c r="C145" s="305">
        <v>5</v>
      </c>
      <c r="D145" s="305" t="s">
        <v>33</v>
      </c>
      <c r="E145" s="305" t="s">
        <v>702</v>
      </c>
      <c r="F145" s="2" t="s">
        <v>256</v>
      </c>
      <c r="G145" s="305">
        <v>47</v>
      </c>
      <c r="H145" s="305">
        <v>70</v>
      </c>
      <c r="I145" s="2" t="s">
        <v>703</v>
      </c>
      <c r="J145" s="305" t="s">
        <v>33</v>
      </c>
      <c r="K145" s="2" t="s">
        <v>684</v>
      </c>
      <c r="L145" s="2" t="s">
        <v>130</v>
      </c>
      <c r="M145" s="305">
        <v>5</v>
      </c>
    </row>
    <row r="146" spans="2:14" x14ac:dyDescent="0.25">
      <c r="B146" s="305">
        <v>31</v>
      </c>
      <c r="C146" s="305">
        <v>4</v>
      </c>
      <c r="D146" s="305" t="s">
        <v>33</v>
      </c>
      <c r="E146" s="305" t="s">
        <v>135</v>
      </c>
      <c r="F146" s="2" t="s">
        <v>248</v>
      </c>
      <c r="G146" s="305">
        <v>70</v>
      </c>
      <c r="H146" s="305">
        <v>70</v>
      </c>
      <c r="I146" s="2" t="s">
        <v>23</v>
      </c>
      <c r="J146" s="305" t="s">
        <v>33</v>
      </c>
      <c r="K146" s="2" t="s">
        <v>178</v>
      </c>
      <c r="L146" s="2" t="s">
        <v>90</v>
      </c>
      <c r="M146" s="305">
        <v>5</v>
      </c>
    </row>
    <row r="147" spans="2:14" x14ac:dyDescent="0.25">
      <c r="B147" s="305">
        <v>32</v>
      </c>
      <c r="C147" s="305">
        <v>4</v>
      </c>
      <c r="D147" s="305" t="s">
        <v>38</v>
      </c>
      <c r="E147" s="305" t="s">
        <v>132</v>
      </c>
      <c r="F147" s="2" t="s">
        <v>720</v>
      </c>
      <c r="G147" s="305">
        <v>47</v>
      </c>
      <c r="H147" s="305">
        <v>70</v>
      </c>
      <c r="I147" s="2" t="s">
        <v>687</v>
      </c>
      <c r="J147" s="305" t="s">
        <v>38</v>
      </c>
      <c r="K147" s="2" t="s">
        <v>680</v>
      </c>
      <c r="L147" s="2" t="s">
        <v>90</v>
      </c>
      <c r="M147" s="305">
        <v>8</v>
      </c>
      <c r="N147" s="2" t="s">
        <v>721</v>
      </c>
    </row>
    <row r="148" spans="2:14" x14ac:dyDescent="0.25">
      <c r="B148" s="305">
        <v>32</v>
      </c>
      <c r="C148" s="305">
        <v>5</v>
      </c>
      <c r="D148" s="305" t="s">
        <v>32</v>
      </c>
      <c r="E148" s="305" t="s">
        <v>34</v>
      </c>
      <c r="F148" s="2" t="s">
        <v>761</v>
      </c>
      <c r="G148" s="305">
        <v>49</v>
      </c>
      <c r="H148" s="305">
        <v>50</v>
      </c>
      <c r="I148" s="2" t="s">
        <v>762</v>
      </c>
      <c r="J148" s="305" t="s">
        <v>32</v>
      </c>
      <c r="K148" s="2" t="s">
        <v>42</v>
      </c>
      <c r="L148" s="2" t="s">
        <v>687</v>
      </c>
      <c r="M148" s="305">
        <v>20</v>
      </c>
      <c r="N148" s="2" t="s">
        <v>721</v>
      </c>
    </row>
    <row r="149" spans="2:14" x14ac:dyDescent="0.25">
      <c r="B149" s="305">
        <v>32</v>
      </c>
      <c r="C149" s="305">
        <v>4</v>
      </c>
      <c r="D149" s="305" t="s">
        <v>32</v>
      </c>
      <c r="E149" s="305" t="s">
        <v>137</v>
      </c>
      <c r="F149" s="2" t="s">
        <v>791</v>
      </c>
      <c r="G149" s="305">
        <v>50</v>
      </c>
      <c r="H149" s="305">
        <v>50</v>
      </c>
      <c r="I149" s="2" t="s">
        <v>715</v>
      </c>
      <c r="J149" s="305" t="s">
        <v>32</v>
      </c>
      <c r="K149" s="2" t="s">
        <v>178</v>
      </c>
      <c r="L149" s="2" t="s">
        <v>90</v>
      </c>
      <c r="M149" s="305">
        <v>5</v>
      </c>
      <c r="N149" s="2" t="s">
        <v>721</v>
      </c>
    </row>
    <row r="150" spans="2:14" x14ac:dyDescent="0.25">
      <c r="B150" s="305">
        <v>33</v>
      </c>
      <c r="C150" s="305">
        <v>5</v>
      </c>
      <c r="D150" s="305" t="s">
        <v>33</v>
      </c>
      <c r="E150" s="305" t="s">
        <v>135</v>
      </c>
      <c r="F150" s="2" t="s">
        <v>252</v>
      </c>
      <c r="G150" s="305">
        <v>47</v>
      </c>
      <c r="H150" s="305">
        <v>70</v>
      </c>
      <c r="I150" s="2" t="s">
        <v>23</v>
      </c>
      <c r="J150" s="305" t="s">
        <v>33</v>
      </c>
      <c r="K150" s="2" t="s">
        <v>42</v>
      </c>
      <c r="L150" s="2" t="s">
        <v>687</v>
      </c>
      <c r="M150" s="305">
        <v>14</v>
      </c>
    </row>
    <row r="151" spans="2:14" x14ac:dyDescent="0.25">
      <c r="B151" s="305">
        <v>34</v>
      </c>
      <c r="C151" s="305">
        <v>5</v>
      </c>
      <c r="D151" s="305" t="s">
        <v>35</v>
      </c>
      <c r="E151" s="305" t="s">
        <v>137</v>
      </c>
      <c r="F151" s="2" t="s">
        <v>207</v>
      </c>
      <c r="G151" s="305">
        <v>49</v>
      </c>
      <c r="H151" s="305">
        <v>50</v>
      </c>
      <c r="I151" s="2" t="s">
        <v>715</v>
      </c>
      <c r="J151" s="305" t="s">
        <v>35</v>
      </c>
      <c r="K151" s="2" t="s">
        <v>681</v>
      </c>
      <c r="L151" s="2" t="s">
        <v>94</v>
      </c>
      <c r="M151" s="305">
        <v>13</v>
      </c>
    </row>
    <row r="152" spans="2:14" x14ac:dyDescent="0.25">
      <c r="B152" s="305">
        <v>35</v>
      </c>
      <c r="C152" s="305">
        <v>4</v>
      </c>
      <c r="D152" s="305" t="s">
        <v>32</v>
      </c>
      <c r="E152" s="305" t="s">
        <v>134</v>
      </c>
      <c r="F152" s="2" t="s">
        <v>153</v>
      </c>
      <c r="G152" s="305">
        <v>47</v>
      </c>
      <c r="H152" s="305">
        <v>70</v>
      </c>
      <c r="I152" s="2" t="s">
        <v>94</v>
      </c>
      <c r="J152" s="305" t="s">
        <v>32</v>
      </c>
      <c r="K152" s="2" t="s">
        <v>42</v>
      </c>
      <c r="L152" s="2" t="s">
        <v>687</v>
      </c>
      <c r="M152" s="305">
        <v>14</v>
      </c>
    </row>
    <row r="153" spans="2:14" x14ac:dyDescent="0.25">
      <c r="B153" s="305">
        <v>35</v>
      </c>
      <c r="C153" s="305">
        <v>5</v>
      </c>
      <c r="D153" s="305" t="s">
        <v>32</v>
      </c>
      <c r="E153" s="305" t="s">
        <v>136</v>
      </c>
      <c r="F153" s="2" t="s">
        <v>165</v>
      </c>
      <c r="G153" s="305">
        <v>47</v>
      </c>
      <c r="H153" s="305">
        <v>50</v>
      </c>
      <c r="I153" s="2" t="s">
        <v>714</v>
      </c>
      <c r="J153" s="305" t="s">
        <v>32</v>
      </c>
      <c r="K153" s="2" t="s">
        <v>682</v>
      </c>
      <c r="L153" s="2" t="s">
        <v>734</v>
      </c>
      <c r="M153" s="305" t="s">
        <v>732</v>
      </c>
    </row>
    <row r="154" spans="2:14" x14ac:dyDescent="0.25">
      <c r="B154" s="305">
        <v>36</v>
      </c>
      <c r="C154" s="305">
        <v>5</v>
      </c>
      <c r="D154" s="305" t="s">
        <v>38</v>
      </c>
      <c r="E154" s="305" t="s">
        <v>34</v>
      </c>
      <c r="F154" s="2" t="s">
        <v>753</v>
      </c>
      <c r="G154" s="305">
        <v>49</v>
      </c>
      <c r="H154" s="305">
        <v>50</v>
      </c>
      <c r="I154" s="2" t="s">
        <v>93</v>
      </c>
      <c r="J154" s="305" t="s">
        <v>38</v>
      </c>
      <c r="K154" s="2" t="s">
        <v>42</v>
      </c>
      <c r="L154" s="2" t="s">
        <v>160</v>
      </c>
      <c r="M154" s="305" t="s">
        <v>777</v>
      </c>
      <c r="N154" s="2" t="s">
        <v>746</v>
      </c>
    </row>
    <row r="155" spans="2:14" x14ac:dyDescent="0.25">
      <c r="B155" s="305">
        <v>37</v>
      </c>
      <c r="C155" s="305">
        <v>5</v>
      </c>
      <c r="D155" s="305" t="s">
        <v>32</v>
      </c>
      <c r="E155" s="305" t="s">
        <v>702</v>
      </c>
      <c r="F155" s="2" t="s">
        <v>764</v>
      </c>
      <c r="G155" s="305">
        <v>49</v>
      </c>
      <c r="H155" s="305">
        <v>50</v>
      </c>
      <c r="I155" s="2" t="s">
        <v>765</v>
      </c>
      <c r="J155" s="305" t="s">
        <v>32</v>
      </c>
      <c r="K155" s="2" t="s">
        <v>688</v>
      </c>
      <c r="L155" s="2" t="s">
        <v>141</v>
      </c>
      <c r="M155" s="305">
        <v>6</v>
      </c>
      <c r="N155" s="2" t="s">
        <v>764</v>
      </c>
    </row>
    <row r="156" spans="2:14" x14ac:dyDescent="0.25">
      <c r="B156" s="305">
        <v>38</v>
      </c>
      <c r="C156" s="305">
        <v>4</v>
      </c>
      <c r="D156" s="305" t="s">
        <v>33</v>
      </c>
      <c r="E156" s="305" t="s">
        <v>133</v>
      </c>
      <c r="F156" s="2" t="s">
        <v>244</v>
      </c>
      <c r="G156" s="305">
        <v>40</v>
      </c>
      <c r="H156" s="305">
        <v>50</v>
      </c>
      <c r="I156" s="2" t="s">
        <v>90</v>
      </c>
      <c r="J156" s="305" t="s">
        <v>33</v>
      </c>
      <c r="K156" s="2" t="s">
        <v>688</v>
      </c>
      <c r="L156" s="2" t="s">
        <v>130</v>
      </c>
      <c r="M156" s="305">
        <v>1</v>
      </c>
    </row>
    <row r="157" spans="2:14" x14ac:dyDescent="0.25">
      <c r="B157" s="305">
        <v>38</v>
      </c>
      <c r="C157" s="305">
        <v>5</v>
      </c>
      <c r="D157" s="305" t="s">
        <v>38</v>
      </c>
      <c r="E157" s="305" t="s">
        <v>137</v>
      </c>
      <c r="F157" s="2" t="s">
        <v>189</v>
      </c>
      <c r="G157" s="305">
        <v>50</v>
      </c>
      <c r="H157" s="305">
        <v>50</v>
      </c>
      <c r="I157" s="2" t="s">
        <v>715</v>
      </c>
      <c r="J157" s="305" t="s">
        <v>38</v>
      </c>
      <c r="K157" s="2" t="s">
        <v>686</v>
      </c>
      <c r="L157" s="2" t="s">
        <v>95</v>
      </c>
      <c r="M157" s="305" t="s">
        <v>777</v>
      </c>
    </row>
    <row r="158" spans="2:14" x14ac:dyDescent="0.25">
      <c r="B158" s="305">
        <v>39</v>
      </c>
      <c r="C158" s="305">
        <v>4</v>
      </c>
      <c r="D158" s="305" t="s">
        <v>35</v>
      </c>
      <c r="E158" s="305" t="s">
        <v>702</v>
      </c>
      <c r="F158" s="2" t="s">
        <v>723</v>
      </c>
      <c r="G158" s="305">
        <v>47</v>
      </c>
      <c r="H158" s="305">
        <v>70</v>
      </c>
      <c r="I158" s="2" t="s">
        <v>703</v>
      </c>
      <c r="J158" s="305" t="s">
        <v>35</v>
      </c>
      <c r="K158" s="2" t="s">
        <v>42</v>
      </c>
      <c r="L158" s="2" t="s">
        <v>151</v>
      </c>
      <c r="M158" s="305" t="s">
        <v>724</v>
      </c>
      <c r="N158" s="2" t="s">
        <v>725</v>
      </c>
    </row>
    <row r="159" spans="2:14" x14ac:dyDescent="0.25">
      <c r="B159" s="305">
        <v>39</v>
      </c>
      <c r="C159" s="305">
        <v>5</v>
      </c>
      <c r="D159" s="305" t="s">
        <v>36</v>
      </c>
      <c r="E159" s="305" t="s">
        <v>34</v>
      </c>
      <c r="F159" s="2" t="s">
        <v>752</v>
      </c>
      <c r="G159" s="305">
        <v>47</v>
      </c>
      <c r="H159" s="305">
        <v>50</v>
      </c>
      <c r="I159" s="2" t="s">
        <v>93</v>
      </c>
      <c r="J159" s="305" t="s">
        <v>36</v>
      </c>
      <c r="K159" s="2" t="s">
        <v>689</v>
      </c>
      <c r="L159" s="2" t="s">
        <v>90</v>
      </c>
      <c r="M159" s="305">
        <v>8</v>
      </c>
      <c r="N159" s="2" t="s">
        <v>725</v>
      </c>
    </row>
    <row r="160" spans="2:14" x14ac:dyDescent="0.25">
      <c r="B160" s="305">
        <v>40</v>
      </c>
      <c r="C160" s="305">
        <v>4</v>
      </c>
      <c r="D160" s="305" t="s">
        <v>32</v>
      </c>
      <c r="E160" s="305" t="s">
        <v>133</v>
      </c>
      <c r="F160" s="2" t="s">
        <v>707</v>
      </c>
      <c r="G160" s="305">
        <v>40</v>
      </c>
      <c r="H160" s="305">
        <v>50</v>
      </c>
      <c r="I160" s="2" t="s">
        <v>90</v>
      </c>
      <c r="J160" s="305" t="s">
        <v>32</v>
      </c>
      <c r="K160" s="2" t="s">
        <v>682</v>
      </c>
      <c r="L160" s="2" t="s">
        <v>141</v>
      </c>
      <c r="M160" s="305">
        <v>5</v>
      </c>
      <c r="N160" s="2" t="s">
        <v>708</v>
      </c>
    </row>
    <row r="161" spans="2:14" x14ac:dyDescent="0.25">
      <c r="B161" s="305">
        <v>41</v>
      </c>
      <c r="C161" s="305">
        <v>4</v>
      </c>
      <c r="D161" s="305" t="s">
        <v>36</v>
      </c>
      <c r="E161" s="305" t="s">
        <v>133</v>
      </c>
      <c r="F161" s="2" t="s">
        <v>726</v>
      </c>
      <c r="G161" s="305">
        <v>40</v>
      </c>
      <c r="H161" s="305">
        <v>50</v>
      </c>
      <c r="I161" s="2" t="s">
        <v>90</v>
      </c>
      <c r="J161" s="305" t="s">
        <v>36</v>
      </c>
      <c r="K161" s="2" t="s">
        <v>42</v>
      </c>
      <c r="L161" s="2" t="s">
        <v>93</v>
      </c>
      <c r="M161" s="305">
        <v>1</v>
      </c>
      <c r="N161" s="2" t="s">
        <v>710</v>
      </c>
    </row>
    <row r="162" spans="2:14" x14ac:dyDescent="0.25">
      <c r="B162" s="305">
        <v>41</v>
      </c>
      <c r="C162" s="305">
        <v>4</v>
      </c>
      <c r="D162" s="305" t="s">
        <v>36</v>
      </c>
      <c r="E162" s="305" t="s">
        <v>702</v>
      </c>
      <c r="F162" s="2" t="s">
        <v>783</v>
      </c>
      <c r="G162" s="305">
        <v>49</v>
      </c>
      <c r="H162" s="305">
        <v>50</v>
      </c>
      <c r="I162" s="2" t="s">
        <v>703</v>
      </c>
      <c r="J162" s="305" t="s">
        <v>36</v>
      </c>
      <c r="K162" s="2" t="s">
        <v>42</v>
      </c>
      <c r="L162" s="2" t="s">
        <v>93</v>
      </c>
      <c r="M162" s="305">
        <v>5</v>
      </c>
      <c r="N162" s="2" t="s">
        <v>733</v>
      </c>
    </row>
    <row r="163" spans="2:14" x14ac:dyDescent="0.25">
      <c r="B163" s="305">
        <v>41</v>
      </c>
      <c r="C163" s="305">
        <v>5</v>
      </c>
      <c r="D163" s="305" t="s">
        <v>32</v>
      </c>
      <c r="E163" s="305" t="s">
        <v>133</v>
      </c>
      <c r="F163" s="2" t="s">
        <v>731</v>
      </c>
      <c r="G163" s="305">
        <v>49</v>
      </c>
      <c r="H163" s="305">
        <v>50</v>
      </c>
      <c r="I163" s="2" t="s">
        <v>90</v>
      </c>
      <c r="J163" s="305" t="s">
        <v>32</v>
      </c>
      <c r="K163" s="2" t="s">
        <v>42</v>
      </c>
      <c r="L163" s="2" t="s">
        <v>160</v>
      </c>
      <c r="M163" s="305" t="s">
        <v>777</v>
      </c>
      <c r="N163" s="2" t="s">
        <v>733</v>
      </c>
    </row>
    <row r="164" spans="2:14" x14ac:dyDescent="0.25">
      <c r="B164" s="305">
        <v>41</v>
      </c>
      <c r="C164" s="305">
        <v>5</v>
      </c>
      <c r="D164" s="305" t="s">
        <v>36</v>
      </c>
      <c r="E164" s="305" t="s">
        <v>134</v>
      </c>
      <c r="F164" s="2" t="s">
        <v>776</v>
      </c>
      <c r="G164" s="305">
        <v>49</v>
      </c>
      <c r="H164" s="305">
        <v>50</v>
      </c>
      <c r="I164" s="2" t="s">
        <v>94</v>
      </c>
      <c r="J164" s="305" t="s">
        <v>36</v>
      </c>
      <c r="K164" s="2" t="s">
        <v>42</v>
      </c>
      <c r="L164" s="2" t="s">
        <v>160</v>
      </c>
      <c r="M164" s="305" t="s">
        <v>777</v>
      </c>
      <c r="N164" s="2" t="s">
        <v>733</v>
      </c>
    </row>
    <row r="165" spans="2:14" x14ac:dyDescent="0.25">
      <c r="B165" s="305">
        <v>42</v>
      </c>
      <c r="C165" s="305">
        <v>4</v>
      </c>
      <c r="D165" s="305" t="s">
        <v>35</v>
      </c>
      <c r="E165" s="305" t="s">
        <v>136</v>
      </c>
      <c r="F165" s="2" t="s">
        <v>722</v>
      </c>
      <c r="G165" s="305">
        <v>40</v>
      </c>
      <c r="H165" s="305">
        <v>50</v>
      </c>
      <c r="I165" s="2" t="s">
        <v>714</v>
      </c>
      <c r="J165" s="305" t="s">
        <v>35</v>
      </c>
      <c r="K165" s="2" t="s">
        <v>684</v>
      </c>
      <c r="L165" s="2" t="s">
        <v>192</v>
      </c>
      <c r="M165" s="305">
        <v>3</v>
      </c>
    </row>
    <row r="166" spans="2:14" x14ac:dyDescent="0.25">
      <c r="B166" s="305">
        <v>42</v>
      </c>
      <c r="C166" s="305">
        <v>5</v>
      </c>
      <c r="D166" s="305" t="s">
        <v>35</v>
      </c>
      <c r="E166" s="305" t="s">
        <v>135</v>
      </c>
      <c r="F166" s="2" t="s">
        <v>748</v>
      </c>
      <c r="G166" s="305">
        <v>47</v>
      </c>
      <c r="H166" s="305">
        <v>50</v>
      </c>
      <c r="I166" s="2" t="s">
        <v>23</v>
      </c>
      <c r="J166" s="305" t="s">
        <v>35</v>
      </c>
      <c r="K166" s="2" t="s">
        <v>178</v>
      </c>
      <c r="L166" s="2" t="s">
        <v>94</v>
      </c>
      <c r="M166" s="305">
        <v>5</v>
      </c>
    </row>
    <row r="167" spans="2:14" x14ac:dyDescent="0.25">
      <c r="B167" s="305">
        <v>43</v>
      </c>
      <c r="C167" s="305">
        <v>5</v>
      </c>
      <c r="D167" s="305" t="s">
        <v>36</v>
      </c>
      <c r="E167" s="305" t="s">
        <v>133</v>
      </c>
      <c r="F167" s="2" t="s">
        <v>755</v>
      </c>
      <c r="G167" s="305">
        <v>49</v>
      </c>
      <c r="H167" s="305">
        <v>50</v>
      </c>
      <c r="I167" s="2" t="s">
        <v>90</v>
      </c>
      <c r="J167" s="305" t="s">
        <v>36</v>
      </c>
      <c r="K167" s="2" t="s">
        <v>681</v>
      </c>
      <c r="L167" s="2" t="s">
        <v>212</v>
      </c>
      <c r="M167" s="305">
        <v>10</v>
      </c>
      <c r="N167" s="2" t="s">
        <v>746</v>
      </c>
    </row>
    <row r="168" spans="2:14" x14ac:dyDescent="0.25">
      <c r="B168" s="305">
        <v>44</v>
      </c>
      <c r="C168" s="305">
        <v>5</v>
      </c>
      <c r="D168" s="305" t="s">
        <v>32</v>
      </c>
      <c r="E168" s="305" t="s">
        <v>132</v>
      </c>
      <c r="F168" s="2" t="s">
        <v>737</v>
      </c>
      <c r="G168" s="305">
        <v>47</v>
      </c>
      <c r="H168" s="305">
        <v>50</v>
      </c>
      <c r="I168" s="2" t="s">
        <v>687</v>
      </c>
      <c r="J168" s="305" t="s">
        <v>32</v>
      </c>
      <c r="K168" s="2" t="s">
        <v>1057</v>
      </c>
      <c r="L168" s="2" t="s">
        <v>91</v>
      </c>
      <c r="M168" s="305" t="s">
        <v>732</v>
      </c>
      <c r="N168" s="2" t="s">
        <v>738</v>
      </c>
    </row>
    <row r="169" spans="2:14" x14ac:dyDescent="0.25">
      <c r="B169" s="305">
        <v>44</v>
      </c>
      <c r="C169" s="305">
        <v>5</v>
      </c>
      <c r="D169" s="305" t="s">
        <v>36</v>
      </c>
      <c r="E169" s="305" t="s">
        <v>135</v>
      </c>
      <c r="F169" s="2" t="s">
        <v>778</v>
      </c>
      <c r="G169" s="305">
        <v>49</v>
      </c>
      <c r="H169" s="305">
        <v>50</v>
      </c>
      <c r="I169" s="2" t="s">
        <v>23</v>
      </c>
      <c r="J169" s="305" t="s">
        <v>36</v>
      </c>
      <c r="K169" s="2" t="s">
        <v>689</v>
      </c>
      <c r="L169" s="2" t="s">
        <v>94</v>
      </c>
      <c r="M169" s="305">
        <v>13</v>
      </c>
      <c r="N169" s="2" t="s">
        <v>738</v>
      </c>
    </row>
    <row r="170" spans="2:14" x14ac:dyDescent="0.25">
      <c r="B170" s="305">
        <v>45</v>
      </c>
      <c r="C170" s="305">
        <v>5</v>
      </c>
      <c r="D170" s="305" t="s">
        <v>38</v>
      </c>
      <c r="E170" s="305" t="s">
        <v>136</v>
      </c>
      <c r="F170" s="2" t="s">
        <v>763</v>
      </c>
      <c r="G170" s="305">
        <v>49</v>
      </c>
      <c r="H170" s="305">
        <v>50</v>
      </c>
      <c r="I170" s="2" t="s">
        <v>714</v>
      </c>
      <c r="J170" s="305" t="s">
        <v>38</v>
      </c>
      <c r="K170" s="2" t="s">
        <v>690</v>
      </c>
      <c r="L170" s="2" t="s">
        <v>162</v>
      </c>
      <c r="M170" s="305" t="s">
        <v>777</v>
      </c>
      <c r="N170" s="2" t="s">
        <v>738</v>
      </c>
    </row>
    <row r="171" spans="2:14" x14ac:dyDescent="0.25">
      <c r="B171" s="305">
        <v>46</v>
      </c>
      <c r="C171" s="305">
        <v>5</v>
      </c>
      <c r="D171" s="305" t="s">
        <v>35</v>
      </c>
      <c r="E171" s="305" t="s">
        <v>34</v>
      </c>
      <c r="F171" s="2" t="s">
        <v>773</v>
      </c>
      <c r="G171" s="305">
        <v>49</v>
      </c>
      <c r="H171" s="305">
        <v>50</v>
      </c>
      <c r="I171" s="2" t="s">
        <v>762</v>
      </c>
      <c r="J171" s="305" t="s">
        <v>35</v>
      </c>
      <c r="K171" s="2" t="s">
        <v>688</v>
      </c>
      <c r="L171" s="2" t="s">
        <v>192</v>
      </c>
      <c r="M171" s="305">
        <v>6</v>
      </c>
      <c r="N171" s="2" t="s">
        <v>713</v>
      </c>
    </row>
    <row r="172" spans="2:14" x14ac:dyDescent="0.25">
      <c r="B172" s="305">
        <v>46</v>
      </c>
      <c r="C172" s="305">
        <v>5</v>
      </c>
      <c r="D172" s="305" t="s">
        <v>33</v>
      </c>
      <c r="E172" s="305" t="s">
        <v>136</v>
      </c>
      <c r="F172" s="2" t="s">
        <v>749</v>
      </c>
      <c r="G172" s="305" t="s">
        <v>42</v>
      </c>
      <c r="H172" s="305">
        <v>50</v>
      </c>
      <c r="I172" s="2" t="s">
        <v>714</v>
      </c>
      <c r="J172" s="305" t="s">
        <v>33</v>
      </c>
      <c r="K172" s="2" t="s">
        <v>682</v>
      </c>
      <c r="L172" s="2" t="s">
        <v>240</v>
      </c>
      <c r="M172" s="305">
        <v>10</v>
      </c>
      <c r="N172" s="2" t="s">
        <v>713</v>
      </c>
    </row>
    <row r="173" spans="2:14" x14ac:dyDescent="0.25">
      <c r="B173" s="305">
        <v>47</v>
      </c>
      <c r="C173" s="305">
        <v>4</v>
      </c>
      <c r="D173" s="305" t="s">
        <v>38</v>
      </c>
      <c r="E173" s="305" t="s">
        <v>702</v>
      </c>
      <c r="F173" s="2" t="s">
        <v>770</v>
      </c>
      <c r="G173" s="305">
        <v>49</v>
      </c>
      <c r="H173" s="305">
        <v>50</v>
      </c>
      <c r="I173" s="2" t="s">
        <v>703</v>
      </c>
      <c r="J173" s="305" t="s">
        <v>38</v>
      </c>
      <c r="K173" s="2" t="s">
        <v>42</v>
      </c>
      <c r="L173" s="2" t="s">
        <v>687</v>
      </c>
      <c r="M173" s="305">
        <v>18</v>
      </c>
    </row>
    <row r="174" spans="2:14" x14ac:dyDescent="0.25">
      <c r="B174" s="305">
        <v>47</v>
      </c>
      <c r="C174" s="305">
        <v>5</v>
      </c>
      <c r="D174" s="305" t="s">
        <v>38</v>
      </c>
      <c r="E174" s="305" t="s">
        <v>133</v>
      </c>
      <c r="F174" s="2" t="s">
        <v>795</v>
      </c>
      <c r="G174" s="305">
        <v>47</v>
      </c>
      <c r="H174" s="305">
        <v>50</v>
      </c>
      <c r="I174" s="2" t="s">
        <v>90</v>
      </c>
      <c r="J174" s="305" t="s">
        <v>38</v>
      </c>
      <c r="K174" s="311" t="s">
        <v>681</v>
      </c>
      <c r="L174" s="46" t="s">
        <v>1100</v>
      </c>
      <c r="M174" s="305">
        <v>7</v>
      </c>
    </row>
    <row r="175" spans="2:14" x14ac:dyDescent="0.25">
      <c r="B175" s="305">
        <v>48</v>
      </c>
      <c r="C175" s="305">
        <v>5</v>
      </c>
      <c r="D175" s="305" t="s">
        <v>38</v>
      </c>
      <c r="E175" s="305" t="s">
        <v>134</v>
      </c>
      <c r="F175" s="2" t="s">
        <v>796</v>
      </c>
      <c r="G175" s="305">
        <v>47</v>
      </c>
      <c r="H175" s="305">
        <v>50</v>
      </c>
      <c r="I175" s="2" t="s">
        <v>94</v>
      </c>
      <c r="J175" s="305" t="s">
        <v>38</v>
      </c>
      <c r="K175" s="2" t="s">
        <v>682</v>
      </c>
      <c r="L175" s="2" t="s">
        <v>1061</v>
      </c>
      <c r="M175" s="305">
        <v>9</v>
      </c>
    </row>
    <row r="176" spans="2:14" x14ac:dyDescent="0.25">
      <c r="B176" s="305">
        <v>49</v>
      </c>
      <c r="C176" s="305">
        <v>4</v>
      </c>
      <c r="D176" s="305" t="s">
        <v>35</v>
      </c>
      <c r="E176" s="305" t="s">
        <v>132</v>
      </c>
      <c r="F176" s="2" t="s">
        <v>218</v>
      </c>
      <c r="G176" s="305">
        <v>50</v>
      </c>
      <c r="H176" s="305">
        <v>50</v>
      </c>
      <c r="I176" s="2" t="s">
        <v>687</v>
      </c>
      <c r="J176" s="305" t="s">
        <v>35</v>
      </c>
      <c r="K176" s="2" t="s">
        <v>178</v>
      </c>
      <c r="L176" s="2" t="s">
        <v>90</v>
      </c>
      <c r="M176" s="305">
        <v>5</v>
      </c>
    </row>
    <row r="177" spans="2:14" x14ac:dyDescent="0.25">
      <c r="B177" s="305">
        <v>49</v>
      </c>
      <c r="C177" s="305">
        <v>5</v>
      </c>
      <c r="D177" s="305" t="s">
        <v>35</v>
      </c>
      <c r="E177" s="305" t="s">
        <v>133</v>
      </c>
      <c r="F177" s="2" t="s">
        <v>799</v>
      </c>
      <c r="G177" s="305">
        <v>50</v>
      </c>
      <c r="H177" s="305">
        <v>50</v>
      </c>
      <c r="I177" s="2" t="s">
        <v>92</v>
      </c>
      <c r="J177" s="305" t="s">
        <v>35</v>
      </c>
      <c r="K177" s="311" t="s">
        <v>681</v>
      </c>
      <c r="L177" s="46" t="s">
        <v>1099</v>
      </c>
      <c r="M177" s="305">
        <v>10</v>
      </c>
    </row>
    <row r="178" spans="2:14" x14ac:dyDescent="0.25">
      <c r="B178" s="305">
        <v>50</v>
      </c>
      <c r="C178" s="305">
        <v>5</v>
      </c>
      <c r="D178" s="305" t="s">
        <v>33</v>
      </c>
      <c r="E178" s="305" t="s">
        <v>132</v>
      </c>
      <c r="F178" s="2" t="s">
        <v>786</v>
      </c>
      <c r="G178" s="305">
        <v>49</v>
      </c>
      <c r="H178" s="305">
        <v>50</v>
      </c>
      <c r="I178" s="2" t="s">
        <v>687</v>
      </c>
      <c r="J178" s="305" t="s">
        <v>33</v>
      </c>
      <c r="K178" s="2" t="s">
        <v>684</v>
      </c>
      <c r="L178" s="2" t="s">
        <v>90</v>
      </c>
      <c r="M178" s="305">
        <v>13</v>
      </c>
      <c r="N178" s="2" t="s">
        <v>746</v>
      </c>
    </row>
    <row r="179" spans="2:14" x14ac:dyDescent="0.25">
      <c r="B179" s="305">
        <v>51</v>
      </c>
      <c r="C179" s="305">
        <v>4</v>
      </c>
      <c r="D179" s="305" t="s">
        <v>33</v>
      </c>
      <c r="E179" s="305" t="s">
        <v>133</v>
      </c>
      <c r="F179" s="2" t="s">
        <v>759</v>
      </c>
      <c r="G179" s="305">
        <v>47</v>
      </c>
      <c r="H179" s="305">
        <v>50</v>
      </c>
      <c r="I179" s="2" t="s">
        <v>90</v>
      </c>
      <c r="J179" s="305" t="s">
        <v>33</v>
      </c>
      <c r="K179" s="2" t="s">
        <v>682</v>
      </c>
      <c r="L179" s="2" t="s">
        <v>130</v>
      </c>
      <c r="M179" s="305">
        <v>7</v>
      </c>
      <c r="N179" s="2" t="s">
        <v>710</v>
      </c>
    </row>
    <row r="180" spans="2:14" x14ac:dyDescent="0.25">
      <c r="B180" s="305">
        <v>52</v>
      </c>
      <c r="C180" s="305">
        <v>5</v>
      </c>
      <c r="D180" s="305" t="s">
        <v>33</v>
      </c>
      <c r="E180" s="305" t="s">
        <v>134</v>
      </c>
      <c r="F180" s="2" t="s">
        <v>756</v>
      </c>
      <c r="G180" s="305">
        <v>49</v>
      </c>
      <c r="H180" s="305">
        <v>50</v>
      </c>
      <c r="I180" s="2" t="s">
        <v>94</v>
      </c>
      <c r="J180" s="305" t="s">
        <v>33</v>
      </c>
      <c r="K180" s="2" t="s">
        <v>682</v>
      </c>
      <c r="L180" s="2" t="s">
        <v>130</v>
      </c>
      <c r="M180" s="305">
        <v>9</v>
      </c>
    </row>
    <row r="181" spans="2:14" x14ac:dyDescent="0.25">
      <c r="B181" s="305">
        <v>53</v>
      </c>
      <c r="C181" s="305">
        <v>5</v>
      </c>
      <c r="D181" s="305" t="s">
        <v>33</v>
      </c>
      <c r="E181" s="305" t="s">
        <v>137</v>
      </c>
      <c r="F181" s="2" t="s">
        <v>803</v>
      </c>
      <c r="G181" s="305">
        <v>50</v>
      </c>
      <c r="H181" s="305">
        <v>50</v>
      </c>
      <c r="I181" s="2" t="s">
        <v>804</v>
      </c>
      <c r="J181" s="305" t="s">
        <v>33</v>
      </c>
      <c r="K181" s="2" t="s">
        <v>682</v>
      </c>
      <c r="L181" s="2" t="s">
        <v>1062</v>
      </c>
      <c r="M181" s="305" t="s">
        <v>777</v>
      </c>
    </row>
    <row r="182" spans="2:14" x14ac:dyDescent="0.25">
      <c r="B182" s="305">
        <v>54</v>
      </c>
      <c r="C182" s="305">
        <v>4</v>
      </c>
      <c r="D182" s="305" t="s">
        <v>38</v>
      </c>
      <c r="E182" s="305" t="s">
        <v>135</v>
      </c>
      <c r="F182" s="2" t="s">
        <v>716</v>
      </c>
      <c r="G182" s="305">
        <v>40</v>
      </c>
      <c r="H182" s="305">
        <v>50</v>
      </c>
      <c r="I182" s="2" t="s">
        <v>23</v>
      </c>
      <c r="J182" s="305" t="s">
        <v>38</v>
      </c>
      <c r="K182" s="2" t="s">
        <v>680</v>
      </c>
      <c r="L182" s="2" t="s">
        <v>90</v>
      </c>
      <c r="M182" s="305">
        <v>6</v>
      </c>
    </row>
    <row r="183" spans="2:14" x14ac:dyDescent="0.25">
      <c r="B183" s="305">
        <v>54</v>
      </c>
      <c r="C183" s="305">
        <v>5</v>
      </c>
      <c r="D183" s="305" t="s">
        <v>38</v>
      </c>
      <c r="E183" s="305" t="s">
        <v>34</v>
      </c>
      <c r="F183" s="2" t="s">
        <v>797</v>
      </c>
      <c r="G183" s="305" t="s">
        <v>42</v>
      </c>
      <c r="H183" s="305">
        <v>50</v>
      </c>
      <c r="I183" s="2" t="s">
        <v>93</v>
      </c>
      <c r="J183" s="305" t="s">
        <v>38</v>
      </c>
    </row>
    <row r="184" spans="2:14" x14ac:dyDescent="0.25">
      <c r="B184" s="305">
        <v>55</v>
      </c>
      <c r="C184" s="305">
        <v>5</v>
      </c>
      <c r="D184" s="305" t="s">
        <v>32</v>
      </c>
      <c r="E184" s="305" t="s">
        <v>132</v>
      </c>
      <c r="F184" s="2" t="s">
        <v>767</v>
      </c>
      <c r="G184" s="305">
        <v>49</v>
      </c>
      <c r="H184" s="305">
        <v>50</v>
      </c>
      <c r="I184" s="2" t="s">
        <v>691</v>
      </c>
      <c r="J184" s="305" t="s">
        <v>32</v>
      </c>
      <c r="K184" s="2" t="s">
        <v>683</v>
      </c>
      <c r="L184" s="2" t="s">
        <v>141</v>
      </c>
      <c r="M184" s="305">
        <v>8</v>
      </c>
      <c r="N184" s="2" t="s">
        <v>631</v>
      </c>
    </row>
    <row r="185" spans="2:14" x14ac:dyDescent="0.25">
      <c r="B185" s="305">
        <v>55</v>
      </c>
      <c r="C185" s="305">
        <v>5</v>
      </c>
      <c r="D185" s="305" t="s">
        <v>36</v>
      </c>
      <c r="E185" s="305" t="s">
        <v>135</v>
      </c>
      <c r="F185" s="2" t="s">
        <v>779</v>
      </c>
      <c r="G185" s="305">
        <v>49</v>
      </c>
      <c r="H185" s="305">
        <v>50</v>
      </c>
      <c r="I185" s="2" t="s">
        <v>693</v>
      </c>
      <c r="J185" s="305" t="s">
        <v>36</v>
      </c>
      <c r="K185" s="2" t="s">
        <v>689</v>
      </c>
      <c r="L185" s="2" t="s">
        <v>90</v>
      </c>
      <c r="M185" s="305">
        <v>13</v>
      </c>
      <c r="N185" s="2" t="s">
        <v>710</v>
      </c>
    </row>
    <row r="186" spans="2:14" x14ac:dyDescent="0.25">
      <c r="B186" s="305">
        <v>55</v>
      </c>
      <c r="C186" s="305">
        <v>5</v>
      </c>
      <c r="D186" s="305" t="s">
        <v>36</v>
      </c>
      <c r="E186" s="305" t="s">
        <v>702</v>
      </c>
      <c r="F186" s="2" t="s">
        <v>781</v>
      </c>
      <c r="G186" s="305">
        <v>49</v>
      </c>
      <c r="H186" s="305">
        <v>50</v>
      </c>
      <c r="I186" s="2" t="s">
        <v>782</v>
      </c>
      <c r="J186" s="305" t="s">
        <v>36</v>
      </c>
      <c r="K186" s="2" t="s">
        <v>42</v>
      </c>
      <c r="L186" s="2" t="s">
        <v>93</v>
      </c>
      <c r="M186" s="305">
        <v>6</v>
      </c>
      <c r="N186" s="2" t="s">
        <v>631</v>
      </c>
    </row>
    <row r="187" spans="2:14" x14ac:dyDescent="0.25">
      <c r="B187" s="305">
        <v>56</v>
      </c>
      <c r="C187" s="305">
        <v>5</v>
      </c>
      <c r="D187" s="305" t="s">
        <v>38</v>
      </c>
      <c r="E187" s="305" t="s">
        <v>134</v>
      </c>
      <c r="F187" s="2" t="s">
        <v>768</v>
      </c>
      <c r="G187" s="305">
        <v>49</v>
      </c>
      <c r="H187" s="305">
        <v>50</v>
      </c>
      <c r="I187" s="2" t="s">
        <v>760</v>
      </c>
      <c r="J187" s="305" t="s">
        <v>38</v>
      </c>
      <c r="K187" s="2" t="s">
        <v>42</v>
      </c>
      <c r="L187" s="2" t="s">
        <v>687</v>
      </c>
      <c r="M187" s="305">
        <v>20</v>
      </c>
      <c r="N187" s="2" t="s">
        <v>631</v>
      </c>
    </row>
    <row r="188" spans="2:14" x14ac:dyDescent="0.25">
      <c r="B188" s="305">
        <v>57</v>
      </c>
      <c r="C188" s="305">
        <v>5</v>
      </c>
      <c r="D188" s="305" t="s">
        <v>33</v>
      </c>
      <c r="E188" s="305" t="s">
        <v>135</v>
      </c>
      <c r="F188" s="2" t="s">
        <v>802</v>
      </c>
      <c r="G188" s="305" t="s">
        <v>42</v>
      </c>
      <c r="H188" s="305">
        <v>50</v>
      </c>
      <c r="I188" s="2" t="s">
        <v>23</v>
      </c>
      <c r="J188" s="305" t="s">
        <v>33</v>
      </c>
    </row>
    <row r="189" spans="2:14" x14ac:dyDescent="0.25">
      <c r="B189" s="305">
        <v>57</v>
      </c>
      <c r="C189" s="305">
        <v>5</v>
      </c>
      <c r="D189" s="305" t="s">
        <v>38</v>
      </c>
      <c r="E189" s="305" t="s">
        <v>702</v>
      </c>
      <c r="F189" s="2" t="s">
        <v>798</v>
      </c>
      <c r="G189" s="305" t="s">
        <v>42</v>
      </c>
      <c r="H189" s="305">
        <v>50</v>
      </c>
      <c r="I189" s="2" t="s">
        <v>703</v>
      </c>
      <c r="J189" s="305" t="s">
        <v>38</v>
      </c>
    </row>
    <row r="190" spans="2:14" x14ac:dyDescent="0.25">
      <c r="B190" s="305">
        <v>58</v>
      </c>
      <c r="C190" s="305">
        <v>5</v>
      </c>
      <c r="D190" s="305" t="s">
        <v>36</v>
      </c>
      <c r="E190" s="305" t="s">
        <v>134</v>
      </c>
      <c r="F190" s="2" t="s">
        <v>793</v>
      </c>
      <c r="G190" s="305">
        <v>50</v>
      </c>
      <c r="H190" s="305">
        <v>50</v>
      </c>
      <c r="I190" s="2" t="s">
        <v>94</v>
      </c>
      <c r="J190" s="305" t="s">
        <v>36</v>
      </c>
      <c r="K190" s="2" t="s">
        <v>681</v>
      </c>
      <c r="L190" s="2" t="s">
        <v>212</v>
      </c>
      <c r="M190" s="305">
        <v>10</v>
      </c>
      <c r="N190" s="2" t="s">
        <v>710</v>
      </c>
    </row>
    <row r="191" spans="2:14" x14ac:dyDescent="0.25">
      <c r="B191" s="305">
        <v>59</v>
      </c>
      <c r="C191" s="305">
        <v>4</v>
      </c>
      <c r="D191" s="305" t="s">
        <v>36</v>
      </c>
      <c r="E191" s="305" t="s">
        <v>135</v>
      </c>
      <c r="F191" s="2" t="s">
        <v>727</v>
      </c>
      <c r="G191" s="305">
        <v>40</v>
      </c>
      <c r="H191" s="305">
        <v>50</v>
      </c>
      <c r="I191" s="2" t="s">
        <v>23</v>
      </c>
      <c r="J191" s="305" t="s">
        <v>36</v>
      </c>
      <c r="K191" s="2" t="s">
        <v>42</v>
      </c>
      <c r="L191" s="2" t="s">
        <v>23</v>
      </c>
      <c r="M191" s="305">
        <v>5</v>
      </c>
    </row>
    <row r="192" spans="2:14" x14ac:dyDescent="0.25">
      <c r="B192" s="305">
        <v>59</v>
      </c>
      <c r="C192" s="305">
        <v>5</v>
      </c>
      <c r="D192" s="305" t="s">
        <v>36</v>
      </c>
      <c r="E192" s="305" t="s">
        <v>702</v>
      </c>
      <c r="F192" s="2" t="s">
        <v>754</v>
      </c>
      <c r="G192" s="305">
        <v>47</v>
      </c>
      <c r="H192" s="305">
        <v>50</v>
      </c>
      <c r="I192" s="2" t="s">
        <v>703</v>
      </c>
      <c r="J192" s="305" t="s">
        <v>36</v>
      </c>
      <c r="K192" s="2" t="s">
        <v>688</v>
      </c>
      <c r="L192" s="2" t="s">
        <v>212</v>
      </c>
      <c r="M192" s="305">
        <v>3</v>
      </c>
    </row>
    <row r="193" spans="2:14" x14ac:dyDescent="0.25">
      <c r="B193" s="305">
        <v>59</v>
      </c>
      <c r="C193" s="305">
        <v>5</v>
      </c>
      <c r="D193" s="305" t="s">
        <v>35</v>
      </c>
      <c r="E193" s="305" t="s">
        <v>132</v>
      </c>
      <c r="F193" s="2" t="s">
        <v>771</v>
      </c>
      <c r="G193" s="305">
        <v>49</v>
      </c>
      <c r="H193" s="305">
        <v>50</v>
      </c>
      <c r="I193" s="2" t="s">
        <v>772</v>
      </c>
      <c r="J193" s="305" t="s">
        <v>35</v>
      </c>
      <c r="K193" s="2" t="s">
        <v>685</v>
      </c>
      <c r="L193" s="2" t="s">
        <v>90</v>
      </c>
      <c r="M193" s="305">
        <v>10</v>
      </c>
      <c r="N193" s="2" t="s">
        <v>746</v>
      </c>
    </row>
    <row r="194" spans="2:14" x14ac:dyDescent="0.25">
      <c r="B194" s="305">
        <v>59</v>
      </c>
      <c r="C194" s="305">
        <v>5</v>
      </c>
      <c r="D194" s="305" t="s">
        <v>36</v>
      </c>
      <c r="E194" s="305" t="s">
        <v>34</v>
      </c>
      <c r="F194" s="2" t="s">
        <v>800</v>
      </c>
      <c r="G194" s="305" t="s">
        <v>42</v>
      </c>
      <c r="H194" s="305">
        <v>50</v>
      </c>
      <c r="I194" s="2" t="s">
        <v>93</v>
      </c>
      <c r="J194" s="305" t="s">
        <v>36</v>
      </c>
    </row>
    <row r="195" spans="2:14" x14ac:dyDescent="0.25">
      <c r="B195" s="305">
        <v>60</v>
      </c>
      <c r="C195" s="305">
        <v>5</v>
      </c>
      <c r="D195" s="305" t="s">
        <v>33</v>
      </c>
      <c r="E195" s="305" t="s">
        <v>133</v>
      </c>
      <c r="F195" s="2" t="s">
        <v>1064</v>
      </c>
      <c r="G195" s="305" t="s">
        <v>42</v>
      </c>
      <c r="H195" s="305">
        <v>50</v>
      </c>
      <c r="I195" s="2" t="s">
        <v>90</v>
      </c>
      <c r="J195" s="305" t="s">
        <v>33</v>
      </c>
    </row>
    <row r="196" spans="2:14" x14ac:dyDescent="0.25">
      <c r="B196" s="305">
        <v>60</v>
      </c>
      <c r="C196" s="305">
        <v>5</v>
      </c>
      <c r="D196" s="305" t="s">
        <v>32</v>
      </c>
      <c r="E196" s="305" t="s">
        <v>135</v>
      </c>
      <c r="F196" s="2" t="s">
        <v>794</v>
      </c>
      <c r="G196" s="305" t="s">
        <v>42</v>
      </c>
      <c r="H196" s="305">
        <v>50</v>
      </c>
      <c r="I196" s="2" t="s">
        <v>23</v>
      </c>
      <c r="J196" s="305" t="s">
        <v>32</v>
      </c>
    </row>
    <row r="197" spans="2:14" x14ac:dyDescent="0.25">
      <c r="B197" s="305">
        <v>61</v>
      </c>
      <c r="C197" s="305">
        <v>5</v>
      </c>
      <c r="D197" s="305" t="s">
        <v>33</v>
      </c>
      <c r="E197" s="305" t="s">
        <v>702</v>
      </c>
      <c r="F197" s="2" t="s">
        <v>758</v>
      </c>
      <c r="G197" s="305">
        <v>47</v>
      </c>
      <c r="H197" s="305">
        <v>50</v>
      </c>
      <c r="I197" s="2" t="s">
        <v>703</v>
      </c>
      <c r="J197" s="305" t="s">
        <v>33</v>
      </c>
      <c r="K197" s="2" t="s">
        <v>686</v>
      </c>
      <c r="L197" s="2" t="s">
        <v>95</v>
      </c>
      <c r="M197" s="305" t="s">
        <v>732</v>
      </c>
      <c r="N197" s="2" t="s">
        <v>708</v>
      </c>
    </row>
    <row r="198" spans="2:14" x14ac:dyDescent="0.25">
      <c r="B198" s="305">
        <v>62</v>
      </c>
      <c r="C198" s="305">
        <v>5</v>
      </c>
      <c r="D198" s="305" t="s">
        <v>38</v>
      </c>
      <c r="E198" s="305" t="s">
        <v>132</v>
      </c>
      <c r="F198" s="2" t="s">
        <v>744</v>
      </c>
      <c r="G198" s="305">
        <v>47</v>
      </c>
      <c r="H198" s="305">
        <v>50</v>
      </c>
      <c r="I198" s="2" t="s">
        <v>687</v>
      </c>
      <c r="J198" s="305" t="s">
        <v>38</v>
      </c>
      <c r="K198" s="2" t="s">
        <v>42</v>
      </c>
      <c r="L198" s="2" t="s">
        <v>151</v>
      </c>
      <c r="M198" s="305" t="s">
        <v>732</v>
      </c>
    </row>
    <row r="199" spans="2:14" x14ac:dyDescent="0.25">
      <c r="B199" s="305">
        <v>62</v>
      </c>
      <c r="C199" s="305">
        <v>5</v>
      </c>
      <c r="D199" s="305" t="s">
        <v>38</v>
      </c>
      <c r="E199" s="305" t="s">
        <v>135</v>
      </c>
      <c r="F199" s="2" t="s">
        <v>769</v>
      </c>
      <c r="G199" s="305">
        <v>49</v>
      </c>
      <c r="H199" s="305">
        <v>50</v>
      </c>
      <c r="I199" s="2" t="s">
        <v>23</v>
      </c>
      <c r="J199" s="305" t="s">
        <v>38</v>
      </c>
      <c r="K199" s="2" t="s">
        <v>681</v>
      </c>
      <c r="L199" s="2" t="s">
        <v>90</v>
      </c>
      <c r="M199" s="305">
        <v>13</v>
      </c>
    </row>
    <row r="200" spans="2:14" x14ac:dyDescent="0.25">
      <c r="B200" s="305">
        <v>63</v>
      </c>
      <c r="C200" s="305">
        <v>5</v>
      </c>
      <c r="D200" s="305" t="s">
        <v>33</v>
      </c>
      <c r="E200" s="305" t="s">
        <v>34</v>
      </c>
      <c r="F200" s="2" t="s">
        <v>248</v>
      </c>
      <c r="G200" s="305">
        <v>47</v>
      </c>
      <c r="H200" s="305">
        <v>50</v>
      </c>
      <c r="I200" s="2" t="s">
        <v>93</v>
      </c>
      <c r="J200" s="305" t="s">
        <v>33</v>
      </c>
      <c r="K200" s="2" t="s">
        <v>682</v>
      </c>
      <c r="L200" s="2" t="s">
        <v>90</v>
      </c>
      <c r="M200" s="305">
        <v>12</v>
      </c>
    </row>
    <row r="201" spans="2:14" x14ac:dyDescent="0.25">
      <c r="B201" s="305">
        <v>63</v>
      </c>
      <c r="C201" s="305">
        <v>5</v>
      </c>
      <c r="D201" s="305" t="s">
        <v>36</v>
      </c>
      <c r="E201" s="305" t="s">
        <v>136</v>
      </c>
      <c r="F201" s="2" t="s">
        <v>158</v>
      </c>
      <c r="G201" s="305">
        <v>47</v>
      </c>
      <c r="H201" s="305">
        <v>50</v>
      </c>
      <c r="I201" s="2" t="s">
        <v>714</v>
      </c>
      <c r="J201" s="305" t="s">
        <v>36</v>
      </c>
      <c r="K201" s="2" t="s">
        <v>689</v>
      </c>
      <c r="L201" s="2" t="s">
        <v>212</v>
      </c>
      <c r="M201" s="305">
        <v>5</v>
      </c>
    </row>
    <row r="202" spans="2:14" x14ac:dyDescent="0.25">
      <c r="B202" s="305">
        <v>64</v>
      </c>
      <c r="C202" s="305">
        <v>5</v>
      </c>
      <c r="D202" s="305" t="s">
        <v>35</v>
      </c>
      <c r="E202" s="305" t="s">
        <v>34</v>
      </c>
      <c r="F202" s="2" t="s">
        <v>792</v>
      </c>
      <c r="G202" s="305">
        <v>50</v>
      </c>
      <c r="H202" s="305">
        <v>50</v>
      </c>
      <c r="I202" s="2" t="s">
        <v>93</v>
      </c>
      <c r="J202" s="305" t="s">
        <v>35</v>
      </c>
      <c r="K202" s="2" t="s">
        <v>178</v>
      </c>
      <c r="L202" s="2" t="s">
        <v>90</v>
      </c>
      <c r="M202" s="305">
        <v>6</v>
      </c>
      <c r="N202" s="2" t="s">
        <v>710</v>
      </c>
    </row>
    <row r="203" spans="2:14" x14ac:dyDescent="0.25">
      <c r="B203" s="305">
        <v>65</v>
      </c>
      <c r="C203" s="305">
        <v>5</v>
      </c>
      <c r="D203" s="305" t="s">
        <v>35</v>
      </c>
      <c r="E203" s="305" t="s">
        <v>134</v>
      </c>
      <c r="F203" s="2" t="s">
        <v>246</v>
      </c>
      <c r="G203" s="305">
        <v>47</v>
      </c>
      <c r="H203" s="305">
        <v>50</v>
      </c>
      <c r="I203" s="2" t="s">
        <v>94</v>
      </c>
      <c r="J203" s="305" t="s">
        <v>35</v>
      </c>
      <c r="K203" s="2" t="s">
        <v>681</v>
      </c>
      <c r="L203" s="2" t="s">
        <v>95</v>
      </c>
      <c r="M203" s="305" t="s">
        <v>732</v>
      </c>
    </row>
    <row r="204" spans="2:14" x14ac:dyDescent="0.25">
      <c r="B204" s="305">
        <v>65</v>
      </c>
      <c r="C204" s="305">
        <v>5</v>
      </c>
      <c r="D204" s="305" t="s">
        <v>35</v>
      </c>
      <c r="E204" s="305" t="s">
        <v>702</v>
      </c>
      <c r="F204" s="2" t="s">
        <v>149</v>
      </c>
      <c r="G204" s="305">
        <v>47</v>
      </c>
      <c r="H204" s="305">
        <v>50</v>
      </c>
      <c r="I204" s="2" t="s">
        <v>703</v>
      </c>
      <c r="J204" s="305" t="s">
        <v>35</v>
      </c>
      <c r="K204" s="2" t="s">
        <v>684</v>
      </c>
      <c r="L204" s="2" t="s">
        <v>192</v>
      </c>
      <c r="M204" s="305">
        <v>5</v>
      </c>
    </row>
    <row r="205" spans="2:14" x14ac:dyDescent="0.25">
      <c r="B205" s="305">
        <v>65</v>
      </c>
      <c r="C205" s="305">
        <v>5</v>
      </c>
      <c r="D205" s="305" t="s">
        <v>32</v>
      </c>
      <c r="E205" s="305" t="s">
        <v>134</v>
      </c>
      <c r="F205" s="2" t="s">
        <v>707</v>
      </c>
      <c r="G205" s="305">
        <v>49</v>
      </c>
      <c r="H205" s="305">
        <v>50</v>
      </c>
      <c r="I205" s="2" t="s">
        <v>760</v>
      </c>
      <c r="J205" s="305" t="s">
        <v>32</v>
      </c>
      <c r="K205" s="2" t="s">
        <v>681</v>
      </c>
      <c r="L205" s="2" t="s">
        <v>1058</v>
      </c>
      <c r="M205" s="305">
        <v>10</v>
      </c>
      <c r="N205" s="2" t="s">
        <v>746</v>
      </c>
    </row>
    <row r="206" spans="2:14" x14ac:dyDescent="0.25">
      <c r="B206" s="305">
        <v>66</v>
      </c>
      <c r="C206" s="305">
        <v>5</v>
      </c>
      <c r="D206" s="305" t="s">
        <v>36</v>
      </c>
      <c r="E206" s="305" t="s">
        <v>134</v>
      </c>
      <c r="F206" s="2" t="s">
        <v>251</v>
      </c>
      <c r="G206" s="305">
        <v>49</v>
      </c>
      <c r="H206" s="305">
        <v>50</v>
      </c>
      <c r="I206" s="2" t="s">
        <v>94</v>
      </c>
      <c r="J206" s="305" t="s">
        <v>36</v>
      </c>
      <c r="K206" s="2" t="s">
        <v>162</v>
      </c>
      <c r="L206" s="2" t="s">
        <v>212</v>
      </c>
      <c r="M206" s="305">
        <v>8</v>
      </c>
    </row>
    <row r="207" spans="2:14" x14ac:dyDescent="0.25">
      <c r="B207" s="305">
        <v>66</v>
      </c>
      <c r="C207" s="305">
        <v>5</v>
      </c>
      <c r="D207" s="305" t="s">
        <v>32</v>
      </c>
      <c r="E207" s="305" t="s">
        <v>137</v>
      </c>
      <c r="F207" s="2" t="s">
        <v>256</v>
      </c>
      <c r="G207" s="305" t="s">
        <v>42</v>
      </c>
      <c r="H207" s="305">
        <v>50</v>
      </c>
      <c r="I207" s="2" t="s">
        <v>715</v>
      </c>
      <c r="J207" s="305" t="s">
        <v>32</v>
      </c>
    </row>
    <row r="208" spans="2:14" x14ac:dyDescent="0.25">
      <c r="B208" s="305">
        <v>67</v>
      </c>
      <c r="C208" s="305">
        <v>5</v>
      </c>
      <c r="D208" s="305" t="s">
        <v>33</v>
      </c>
      <c r="E208" s="305" t="s">
        <v>134</v>
      </c>
      <c r="F208" s="2" t="s">
        <v>801</v>
      </c>
      <c r="G208" s="305">
        <v>47</v>
      </c>
      <c r="H208" s="305">
        <v>50</v>
      </c>
      <c r="I208" s="2" t="s">
        <v>94</v>
      </c>
      <c r="J208" s="305" t="s">
        <v>33</v>
      </c>
      <c r="K208" s="2" t="s">
        <v>681</v>
      </c>
      <c r="L208" s="2" t="s">
        <v>130</v>
      </c>
      <c r="M208" s="305">
        <v>7</v>
      </c>
    </row>
    <row r="209" spans="2:14" x14ac:dyDescent="0.25">
      <c r="B209" s="305">
        <v>67</v>
      </c>
      <c r="C209" s="305">
        <v>5</v>
      </c>
      <c r="D209" s="305" t="s">
        <v>38</v>
      </c>
      <c r="E209" s="305" t="s">
        <v>136</v>
      </c>
      <c r="F209" s="2" t="s">
        <v>741</v>
      </c>
      <c r="G209" s="305">
        <v>47</v>
      </c>
      <c r="H209" s="305">
        <v>50</v>
      </c>
      <c r="I209" s="2" t="s">
        <v>714</v>
      </c>
      <c r="J209" s="305" t="s">
        <v>38</v>
      </c>
      <c r="K209" s="2" t="s">
        <v>688</v>
      </c>
      <c r="L209" s="2" t="s">
        <v>169</v>
      </c>
      <c r="M209" s="305">
        <v>3</v>
      </c>
    </row>
    <row r="210" spans="2:14" x14ac:dyDescent="0.25">
      <c r="B210" s="305">
        <v>68</v>
      </c>
      <c r="C210" s="305">
        <v>5</v>
      </c>
      <c r="D210" s="305" t="s">
        <v>32</v>
      </c>
      <c r="E210" s="305" t="s">
        <v>702</v>
      </c>
      <c r="F210" s="2" t="s">
        <v>253</v>
      </c>
      <c r="G210" s="305" t="s">
        <v>42</v>
      </c>
      <c r="H210" s="305">
        <v>50</v>
      </c>
      <c r="I210" s="2" t="s">
        <v>703</v>
      </c>
      <c r="J210" s="305" t="s">
        <v>32</v>
      </c>
    </row>
    <row r="211" spans="2:14" x14ac:dyDescent="0.25">
      <c r="B211" s="305">
        <v>69</v>
      </c>
      <c r="C211" s="305">
        <v>3</v>
      </c>
      <c r="D211" s="305" t="s">
        <v>36</v>
      </c>
      <c r="E211" s="305" t="s">
        <v>704</v>
      </c>
      <c r="F211" s="2" t="s">
        <v>705</v>
      </c>
      <c r="G211" s="305">
        <v>40</v>
      </c>
      <c r="H211" s="305">
        <v>50</v>
      </c>
      <c r="I211" s="2" t="s">
        <v>706</v>
      </c>
      <c r="J211" s="305" t="s">
        <v>36</v>
      </c>
      <c r="K211" s="2" t="s">
        <v>178</v>
      </c>
      <c r="L211" s="2" t="s">
        <v>90</v>
      </c>
      <c r="M211" s="305">
        <v>1</v>
      </c>
    </row>
    <row r="212" spans="2:14" x14ac:dyDescent="0.25">
      <c r="B212" s="305">
        <v>70</v>
      </c>
      <c r="C212" s="305">
        <v>5</v>
      </c>
      <c r="D212" s="305" t="s">
        <v>36</v>
      </c>
      <c r="E212" s="305" t="s">
        <v>137</v>
      </c>
      <c r="F212" s="2" t="s">
        <v>758</v>
      </c>
      <c r="G212" s="305">
        <v>49</v>
      </c>
      <c r="H212" s="305">
        <v>50</v>
      </c>
      <c r="I212" s="2" t="s">
        <v>715</v>
      </c>
      <c r="J212" s="305" t="s">
        <v>36</v>
      </c>
      <c r="K212" s="2" t="s">
        <v>681</v>
      </c>
      <c r="L212" s="2" t="s">
        <v>94</v>
      </c>
      <c r="M212" s="305">
        <v>13</v>
      </c>
      <c r="N212" s="2" t="s">
        <v>746</v>
      </c>
    </row>
    <row r="213" spans="2:14" x14ac:dyDescent="0.25">
      <c r="B213" s="305">
        <v>70</v>
      </c>
      <c r="C213" s="305">
        <v>5</v>
      </c>
      <c r="D213" s="305" t="s">
        <v>35</v>
      </c>
      <c r="E213" s="305" t="s">
        <v>136</v>
      </c>
      <c r="F213" s="2" t="s">
        <v>1045</v>
      </c>
      <c r="G213" s="305">
        <v>49</v>
      </c>
      <c r="H213" s="305">
        <v>50</v>
      </c>
      <c r="I213" s="2" t="s">
        <v>714</v>
      </c>
      <c r="J213" s="305" t="s">
        <v>35</v>
      </c>
      <c r="K213" s="312" t="s">
        <v>1102</v>
      </c>
      <c r="L213" s="2" t="s">
        <v>160</v>
      </c>
      <c r="M213" s="305" t="s">
        <v>777</v>
      </c>
    </row>
    <row r="214" spans="2:14" x14ac:dyDescent="0.25">
      <c r="B214" s="305">
        <v>70</v>
      </c>
      <c r="C214" s="305">
        <v>5</v>
      </c>
      <c r="D214" s="305" t="s">
        <v>36</v>
      </c>
      <c r="E214" s="305" t="s">
        <v>133</v>
      </c>
      <c r="F214" s="2" t="s">
        <v>1049</v>
      </c>
      <c r="G214" s="305">
        <v>50</v>
      </c>
      <c r="H214" s="305">
        <v>50</v>
      </c>
      <c r="I214" s="2" t="s">
        <v>90</v>
      </c>
      <c r="J214" s="305" t="s">
        <v>36</v>
      </c>
      <c r="K214" s="2" t="s">
        <v>688</v>
      </c>
      <c r="L214" s="2" t="s">
        <v>212</v>
      </c>
      <c r="M214" s="305">
        <v>6</v>
      </c>
      <c r="N214" s="2" t="s">
        <v>710</v>
      </c>
    </row>
    <row r="215" spans="2:14" x14ac:dyDescent="0.25">
      <c r="B215" s="305">
        <v>71</v>
      </c>
      <c r="C215" s="305">
        <v>5</v>
      </c>
      <c r="D215" s="305" t="s">
        <v>36</v>
      </c>
      <c r="E215" s="305" t="s">
        <v>704</v>
      </c>
      <c r="F215" s="2" t="s">
        <v>1048</v>
      </c>
      <c r="G215" s="305" t="s">
        <v>42</v>
      </c>
      <c r="H215" s="305">
        <v>50</v>
      </c>
      <c r="I215" s="2" t="s">
        <v>706</v>
      </c>
      <c r="J215" s="305" t="s">
        <v>36</v>
      </c>
      <c r="K215" s="2" t="s">
        <v>681</v>
      </c>
      <c r="L215" s="2" t="s">
        <v>212</v>
      </c>
      <c r="M215" s="305">
        <v>10</v>
      </c>
    </row>
    <row r="216" spans="2:14" x14ac:dyDescent="0.25">
      <c r="B216" s="305">
        <v>72</v>
      </c>
      <c r="C216" s="305">
        <v>5</v>
      </c>
      <c r="D216" s="305" t="s">
        <v>38</v>
      </c>
      <c r="E216" s="305" t="s">
        <v>133</v>
      </c>
      <c r="F216" s="2" t="s">
        <v>1051</v>
      </c>
      <c r="G216" s="305">
        <v>47</v>
      </c>
      <c r="H216" s="305">
        <v>50</v>
      </c>
      <c r="I216" s="2" t="s">
        <v>90</v>
      </c>
      <c r="J216" s="305" t="s">
        <v>38</v>
      </c>
      <c r="K216" s="2" t="s">
        <v>688</v>
      </c>
      <c r="L216" s="2" t="s">
        <v>169</v>
      </c>
      <c r="M216" s="305">
        <v>6</v>
      </c>
      <c r="N216" s="2" t="s">
        <v>721</v>
      </c>
    </row>
    <row r="217" spans="2:14" x14ac:dyDescent="0.25">
      <c r="B217" s="305">
        <v>72</v>
      </c>
      <c r="C217" s="305">
        <v>5</v>
      </c>
      <c r="D217" s="305" t="s">
        <v>35</v>
      </c>
      <c r="E217" s="305" t="s">
        <v>135</v>
      </c>
      <c r="F217" s="2" t="s">
        <v>709</v>
      </c>
      <c r="G217" s="305" t="s">
        <v>42</v>
      </c>
      <c r="H217" s="305">
        <v>50</v>
      </c>
      <c r="I217" s="2" t="s">
        <v>23</v>
      </c>
      <c r="J217" s="305" t="s">
        <v>35</v>
      </c>
      <c r="K217" s="2" t="s">
        <v>178</v>
      </c>
      <c r="L217" s="2" t="s">
        <v>90</v>
      </c>
      <c r="M217" s="305">
        <v>6</v>
      </c>
      <c r="N217" s="2" t="s">
        <v>721</v>
      </c>
    </row>
    <row r="218" spans="2:14" x14ac:dyDescent="0.25">
      <c r="B218" s="305">
        <v>73</v>
      </c>
      <c r="C218" s="305">
        <v>5</v>
      </c>
      <c r="D218" s="305" t="s">
        <v>33</v>
      </c>
      <c r="E218" s="305" t="s">
        <v>136</v>
      </c>
      <c r="F218" s="2" t="s">
        <v>1052</v>
      </c>
      <c r="G218" s="305">
        <v>47</v>
      </c>
      <c r="H218" s="305">
        <v>50</v>
      </c>
      <c r="I218" s="2" t="s">
        <v>714</v>
      </c>
      <c r="J218" s="305" t="s">
        <v>33</v>
      </c>
      <c r="K218" s="2" t="s">
        <v>688</v>
      </c>
      <c r="L218" s="2" t="s">
        <v>130</v>
      </c>
      <c r="M218" s="305">
        <v>5</v>
      </c>
      <c r="N218" s="2" t="s">
        <v>708</v>
      </c>
    </row>
    <row r="219" spans="2:14" x14ac:dyDescent="0.25">
      <c r="B219" s="305">
        <v>74</v>
      </c>
      <c r="C219" s="305">
        <v>5</v>
      </c>
      <c r="D219" s="305" t="s">
        <v>38</v>
      </c>
      <c r="E219" s="305" t="s">
        <v>1041</v>
      </c>
      <c r="F219" s="2" t="s">
        <v>1050</v>
      </c>
      <c r="G219" s="305" t="s">
        <v>42</v>
      </c>
      <c r="H219" s="305">
        <v>50</v>
      </c>
      <c r="I219" s="2" t="s">
        <v>706</v>
      </c>
      <c r="J219" s="305" t="s">
        <v>38</v>
      </c>
      <c r="K219" s="2" t="s">
        <v>681</v>
      </c>
      <c r="L219" s="2" t="s">
        <v>169</v>
      </c>
      <c r="M219" s="305">
        <v>10</v>
      </c>
    </row>
    <row r="220" spans="2:14" x14ac:dyDescent="0.25">
      <c r="B220" s="305">
        <v>75</v>
      </c>
      <c r="C220" s="305">
        <v>5</v>
      </c>
      <c r="D220" s="305" t="s">
        <v>33</v>
      </c>
      <c r="E220" s="305" t="s">
        <v>136</v>
      </c>
      <c r="F220" s="2" t="s">
        <v>1053</v>
      </c>
      <c r="G220" s="305" t="s">
        <v>42</v>
      </c>
      <c r="H220" s="305">
        <v>50</v>
      </c>
      <c r="I220" s="2" t="s">
        <v>714</v>
      </c>
      <c r="J220" s="305" t="s">
        <v>33</v>
      </c>
      <c r="K220" s="2" t="s">
        <v>1063</v>
      </c>
      <c r="L220" s="2" t="s">
        <v>130</v>
      </c>
      <c r="M220" s="305">
        <v>7</v>
      </c>
    </row>
    <row r="221" spans="2:14" x14ac:dyDescent="0.25">
      <c r="B221" s="305">
        <v>76</v>
      </c>
      <c r="C221" s="305">
        <v>5</v>
      </c>
      <c r="D221" s="305" t="s">
        <v>35</v>
      </c>
      <c r="E221" s="305" t="s">
        <v>704</v>
      </c>
      <c r="F221" s="2" t="s">
        <v>1044</v>
      </c>
      <c r="G221" s="305" t="s">
        <v>42</v>
      </c>
      <c r="H221" s="305">
        <v>50</v>
      </c>
      <c r="I221" s="2" t="s">
        <v>706</v>
      </c>
      <c r="J221" s="305" t="s">
        <v>35</v>
      </c>
      <c r="K221" s="2" t="s">
        <v>1055</v>
      </c>
      <c r="L221" s="2" t="s">
        <v>192</v>
      </c>
      <c r="M221" s="305">
        <v>8</v>
      </c>
    </row>
    <row r="222" spans="2:14" x14ac:dyDescent="0.25">
      <c r="B222" s="305">
        <v>76</v>
      </c>
      <c r="C222" s="305">
        <v>5</v>
      </c>
      <c r="D222" s="305" t="s">
        <v>35</v>
      </c>
      <c r="E222" s="305" t="s">
        <v>137</v>
      </c>
      <c r="F222" s="2" t="s">
        <v>1042</v>
      </c>
      <c r="G222" s="305" t="s">
        <v>42</v>
      </c>
      <c r="H222" s="305">
        <v>50</v>
      </c>
      <c r="I222" s="2" t="s">
        <v>715</v>
      </c>
      <c r="J222" s="305" t="s">
        <v>35</v>
      </c>
      <c r="K222" s="2" t="s">
        <v>684</v>
      </c>
      <c r="L222" s="2" t="s">
        <v>90</v>
      </c>
      <c r="M222" s="305">
        <v>13</v>
      </c>
    </row>
    <row r="223" spans="2:14" x14ac:dyDescent="0.25">
      <c r="B223" s="305">
        <v>77</v>
      </c>
      <c r="C223" s="305">
        <v>5</v>
      </c>
      <c r="D223" s="305" t="s">
        <v>32</v>
      </c>
      <c r="E223" s="305" t="s">
        <v>1059</v>
      </c>
      <c r="F223" s="2" t="s">
        <v>1046</v>
      </c>
      <c r="G223" s="305" t="s">
        <v>42</v>
      </c>
      <c r="H223" s="305">
        <v>50</v>
      </c>
      <c r="I223" s="2" t="s">
        <v>706</v>
      </c>
      <c r="J223" s="305" t="s">
        <v>32</v>
      </c>
      <c r="K223" s="2" t="s">
        <v>1023</v>
      </c>
      <c r="L223" s="2" t="s">
        <v>1060</v>
      </c>
      <c r="M223" s="305">
        <v>3</v>
      </c>
      <c r="N223" s="2" t="s">
        <v>746</v>
      </c>
    </row>
    <row r="224" spans="2:14" x14ac:dyDescent="0.25">
      <c r="B224" s="305">
        <v>78</v>
      </c>
      <c r="C224" s="305">
        <v>5</v>
      </c>
      <c r="D224" s="305" t="s">
        <v>38</v>
      </c>
      <c r="E224" s="305" t="s">
        <v>702</v>
      </c>
      <c r="F224" s="2" t="s">
        <v>739</v>
      </c>
      <c r="G224" s="305">
        <v>50</v>
      </c>
      <c r="H224" s="305">
        <v>50</v>
      </c>
      <c r="I224" s="2" t="s">
        <v>703</v>
      </c>
      <c r="J224" s="305" t="s">
        <v>38</v>
      </c>
      <c r="K224" s="2" t="s">
        <v>688</v>
      </c>
      <c r="L224" s="2" t="s">
        <v>169</v>
      </c>
      <c r="M224" s="305">
        <v>5</v>
      </c>
      <c r="N224" s="2" t="s">
        <v>710</v>
      </c>
    </row>
    <row r="225" spans="2:14" x14ac:dyDescent="0.25">
      <c r="B225" s="305">
        <v>78</v>
      </c>
      <c r="C225" s="305">
        <v>5</v>
      </c>
      <c r="D225" s="305" t="s">
        <v>35</v>
      </c>
      <c r="E225" s="305" t="s">
        <v>133</v>
      </c>
      <c r="F225" s="2" t="s">
        <v>1043</v>
      </c>
      <c r="G225" s="305" t="s">
        <v>1029</v>
      </c>
      <c r="H225" s="305">
        <v>50</v>
      </c>
      <c r="I225" s="2" t="s">
        <v>90</v>
      </c>
      <c r="J225" s="305" t="s">
        <v>35</v>
      </c>
      <c r="K225" s="2" t="s">
        <v>688</v>
      </c>
      <c r="L225" s="2" t="s">
        <v>192</v>
      </c>
      <c r="M225" s="305">
        <v>6</v>
      </c>
    </row>
    <row r="226" spans="2:14" x14ac:dyDescent="0.25">
      <c r="B226" s="305">
        <v>78</v>
      </c>
      <c r="C226" s="305">
        <v>5</v>
      </c>
      <c r="D226" s="305" t="s">
        <v>36</v>
      </c>
      <c r="E226" s="305" t="s">
        <v>132</v>
      </c>
      <c r="F226" s="2" t="s">
        <v>1047</v>
      </c>
      <c r="G226" s="305" t="s">
        <v>1029</v>
      </c>
      <c r="H226" s="305">
        <v>50</v>
      </c>
      <c r="I226" s="2" t="s">
        <v>687</v>
      </c>
      <c r="J226" s="305" t="s">
        <v>36</v>
      </c>
      <c r="K226" s="2" t="s">
        <v>178</v>
      </c>
      <c r="L226" s="2" t="s">
        <v>90</v>
      </c>
      <c r="M226" s="305">
        <v>6</v>
      </c>
    </row>
    <row r="227" spans="2:14" x14ac:dyDescent="0.25">
      <c r="B227" s="305">
        <v>79</v>
      </c>
      <c r="C227" s="305">
        <v>5</v>
      </c>
      <c r="D227" s="309" t="s">
        <v>1065</v>
      </c>
      <c r="E227" s="309" t="s">
        <v>1067</v>
      </c>
      <c r="F227" s="46" t="s">
        <v>1069</v>
      </c>
      <c r="G227" s="305">
        <v>49</v>
      </c>
      <c r="H227" s="305">
        <v>50</v>
      </c>
      <c r="I227" s="46" t="s">
        <v>1072</v>
      </c>
      <c r="J227" s="309" t="s">
        <v>1065</v>
      </c>
      <c r="K227" s="2" t="s">
        <v>1073</v>
      </c>
      <c r="L227" s="46" t="s">
        <v>1074</v>
      </c>
      <c r="M227" s="305">
        <v>8</v>
      </c>
      <c r="N227" s="46" t="s">
        <v>1070</v>
      </c>
    </row>
    <row r="228" spans="2:14" x14ac:dyDescent="0.25">
      <c r="B228" s="305">
        <v>79</v>
      </c>
      <c r="C228" s="305">
        <v>5</v>
      </c>
      <c r="D228" s="307" t="s">
        <v>1066</v>
      </c>
      <c r="E228" s="307" t="s">
        <v>1068</v>
      </c>
      <c r="F228" s="46" t="s">
        <v>1071</v>
      </c>
      <c r="G228" s="305">
        <v>47</v>
      </c>
      <c r="H228" s="305">
        <v>50</v>
      </c>
      <c r="I228" s="46" t="s">
        <v>1075</v>
      </c>
      <c r="J228" s="307" t="s">
        <v>1066</v>
      </c>
      <c r="K228" s="46" t="s">
        <v>1076</v>
      </c>
      <c r="L228" s="46" t="s">
        <v>1074</v>
      </c>
      <c r="M228" s="305">
        <v>13</v>
      </c>
      <c r="N228" s="46" t="s">
        <v>1070</v>
      </c>
    </row>
    <row r="229" spans="2:14" x14ac:dyDescent="0.25">
      <c r="B229" s="305">
        <v>80</v>
      </c>
      <c r="C229" s="305">
        <v>5</v>
      </c>
      <c r="D229" s="307" t="s">
        <v>1080</v>
      </c>
      <c r="E229" s="307" t="s">
        <v>98</v>
      </c>
      <c r="F229" s="46" t="s">
        <v>1081</v>
      </c>
      <c r="G229" s="305">
        <v>47</v>
      </c>
      <c r="H229" s="305">
        <v>50</v>
      </c>
      <c r="I229" s="2" t="s">
        <v>765</v>
      </c>
      <c r="J229" s="307" t="s">
        <v>1080</v>
      </c>
      <c r="K229" s="2" t="s">
        <v>681</v>
      </c>
      <c r="L229" s="46" t="s">
        <v>638</v>
      </c>
      <c r="M229" s="305">
        <v>15</v>
      </c>
      <c r="N229" s="46" t="s">
        <v>1082</v>
      </c>
    </row>
    <row r="230" spans="2:14" x14ac:dyDescent="0.25">
      <c r="B230" s="305">
        <v>80</v>
      </c>
      <c r="C230" s="305">
        <v>5</v>
      </c>
      <c r="D230" s="310" t="s">
        <v>1086</v>
      </c>
      <c r="E230" s="310" t="s">
        <v>1087</v>
      </c>
      <c r="F230" s="46" t="s">
        <v>1088</v>
      </c>
      <c r="G230" s="305">
        <v>50</v>
      </c>
      <c r="H230" s="305">
        <v>50</v>
      </c>
      <c r="I230" s="46" t="s">
        <v>18</v>
      </c>
      <c r="J230" s="310" t="s">
        <v>1086</v>
      </c>
      <c r="K230" s="2" t="s">
        <v>1102</v>
      </c>
      <c r="L230" s="46" t="s">
        <v>1095</v>
      </c>
      <c r="M230" s="313" t="s">
        <v>1101</v>
      </c>
      <c r="N230" s="46" t="s">
        <v>1089</v>
      </c>
    </row>
    <row r="231" spans="2:14" x14ac:dyDescent="0.25">
      <c r="B231" s="305">
        <v>81</v>
      </c>
      <c r="C231" s="305">
        <v>5</v>
      </c>
      <c r="D231" s="309" t="s">
        <v>0</v>
      </c>
      <c r="E231" s="309" t="s">
        <v>1083</v>
      </c>
      <c r="F231" s="46" t="s">
        <v>1084</v>
      </c>
      <c r="G231" s="305">
        <v>47</v>
      </c>
      <c r="H231" s="305">
        <v>50</v>
      </c>
      <c r="I231" s="46" t="s">
        <v>639</v>
      </c>
      <c r="J231" s="309" t="s">
        <v>0</v>
      </c>
      <c r="K231" s="46" t="s">
        <v>1085</v>
      </c>
      <c r="L231" s="46" t="s">
        <v>21</v>
      </c>
      <c r="M231" s="305">
        <v>10</v>
      </c>
      <c r="N231" s="46" t="s">
        <v>1082</v>
      </c>
    </row>
    <row r="232" spans="2:14" x14ac:dyDescent="0.25">
      <c r="D232" s="308"/>
      <c r="E232" s="308"/>
      <c r="J232" s="308"/>
    </row>
  </sheetData>
  <autoFilter ref="B1:N232" xr:uid="{2923FC04-E559-4D13-8AB0-AB4E37297E78}">
    <sortState xmlns:xlrd2="http://schemas.microsoft.com/office/spreadsheetml/2017/richdata2" ref="B2:N232">
      <sortCondition ref="B1:B227"/>
    </sortState>
  </autoFilter>
  <sortState xmlns:xlrd2="http://schemas.microsoft.com/office/spreadsheetml/2017/richdata2" ref="B2:N227">
    <sortCondition ref="D2:D227" customList="火,水,風,光,闇"/>
    <sortCondition ref="E2:E227" customList="剣,刀,短剣,斧,槍,弓,ロッド,杖,長銃,散弾銃,機関銃"/>
    <sortCondition ref="G2:G227"/>
  </sortState>
  <phoneticPr fontId="1"/>
  <conditionalFormatting sqref="D1:D1048576">
    <cfRule type="cellIs" dxfId="4" priority="1" operator="equal">
      <formula>"闇"</formula>
    </cfRule>
    <cfRule type="cellIs" dxfId="3" priority="2" operator="equal">
      <formula>"光"</formula>
    </cfRule>
    <cfRule type="cellIs" dxfId="2" priority="3" operator="equal">
      <formula>"風"</formula>
    </cfRule>
    <cfRule type="cellIs" dxfId="1" priority="4" operator="equal">
      <formula>"水"</formula>
    </cfRule>
    <cfRule type="cellIs" dxfId="0" priority="5" operator="equal">
      <formula>"火"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2451-D4A1-429C-871C-6F163BDC708A}">
  <dimension ref="B1:BE45"/>
  <sheetViews>
    <sheetView tabSelected="1" topLeftCell="D1" zoomScale="70" zoomScaleNormal="70" workbookViewId="0">
      <selection activeCell="K11" sqref="K11"/>
    </sheetView>
  </sheetViews>
  <sheetFormatPr defaultRowHeight="13.8" x14ac:dyDescent="0.25"/>
  <cols>
    <col min="2" max="2" width="3.5546875" bestFit="1" customWidth="1"/>
    <col min="3" max="3" width="2.5546875" bestFit="1" customWidth="1"/>
    <col min="4" max="4" width="3.5546875" customWidth="1"/>
    <col min="5" max="8" width="4.6640625" bestFit="1" customWidth="1"/>
    <col min="9" max="9" width="4.44140625" bestFit="1" customWidth="1"/>
    <col min="10" max="10" width="4.88671875" bestFit="1" customWidth="1"/>
    <col min="12" max="12" width="5.77734375" customWidth="1"/>
    <col min="13" max="13" width="5.77734375" bestFit="1" customWidth="1"/>
    <col min="14" max="18" width="5.77734375" customWidth="1"/>
    <col min="19" max="19" width="5.77734375" bestFit="1" customWidth="1"/>
    <col min="21" max="21" width="6.77734375" bestFit="1" customWidth="1"/>
    <col min="22" max="22" width="3.77734375" bestFit="1" customWidth="1"/>
    <col min="23" max="25" width="6.44140625" bestFit="1" customWidth="1"/>
    <col min="26" max="26" width="6.77734375" bestFit="1" customWidth="1"/>
    <col min="27" max="27" width="6.44140625" bestFit="1" customWidth="1"/>
    <col min="29" max="29" width="5.77734375" bestFit="1" customWidth="1"/>
    <col min="30" max="30" width="6.109375" bestFit="1" customWidth="1"/>
    <col min="31" max="31" width="5.77734375" customWidth="1"/>
    <col min="32" max="32" width="6.109375" customWidth="1"/>
    <col min="33" max="33" width="6.77734375" customWidth="1"/>
    <col min="34" max="35" width="6.6640625" bestFit="1" customWidth="1"/>
    <col min="36" max="36" width="6.44140625" bestFit="1" customWidth="1"/>
    <col min="37" max="37" width="6.6640625" bestFit="1" customWidth="1"/>
    <col min="38" max="38" width="7.44140625" bestFit="1" customWidth="1"/>
    <col min="40" max="40" width="5.77734375" bestFit="1" customWidth="1"/>
    <col min="41" max="41" width="3.77734375" bestFit="1" customWidth="1"/>
    <col min="42" max="43" width="7.109375" bestFit="1" customWidth="1"/>
    <col min="44" max="45" width="6.109375" customWidth="1"/>
    <col min="46" max="46" width="7.109375" bestFit="1" customWidth="1"/>
    <col min="49" max="50" width="5.77734375" bestFit="1" customWidth="1"/>
    <col min="51" max="53" width="4.6640625" bestFit="1" customWidth="1"/>
    <col min="54" max="57" width="3.77734375" bestFit="1" customWidth="1"/>
  </cols>
  <sheetData>
    <row r="1" spans="2:54" x14ac:dyDescent="0.25">
      <c r="AZ1" s="318" t="s">
        <v>939</v>
      </c>
      <c r="BA1" s="314"/>
      <c r="BB1" s="314"/>
    </row>
    <row r="2" spans="2:54" x14ac:dyDescent="0.25">
      <c r="B2" s="331" t="s">
        <v>926</v>
      </c>
      <c r="C2" s="332"/>
      <c r="D2" s="60" t="s">
        <v>42</v>
      </c>
      <c r="E2" s="60" t="s">
        <v>640</v>
      </c>
      <c r="F2" s="60" t="s">
        <v>641</v>
      </c>
      <c r="G2" s="76" t="s">
        <v>642</v>
      </c>
      <c r="H2" s="95" t="s">
        <v>643</v>
      </c>
      <c r="I2" s="88" t="s">
        <v>49</v>
      </c>
      <c r="J2" s="60" t="s">
        <v>100</v>
      </c>
      <c r="L2" s="317" t="s">
        <v>52</v>
      </c>
      <c r="M2" s="317"/>
      <c r="N2" s="317"/>
      <c r="O2" s="317"/>
      <c r="P2" s="317"/>
      <c r="Q2" s="317"/>
      <c r="R2" s="317"/>
      <c r="U2" s="316" t="s">
        <v>865</v>
      </c>
      <c r="V2" s="317"/>
      <c r="W2" s="317"/>
      <c r="X2" s="317"/>
      <c r="Y2" s="317"/>
      <c r="Z2" s="317"/>
      <c r="AA2" s="317"/>
      <c r="AC2" s="317" t="s">
        <v>53</v>
      </c>
      <c r="AD2" s="317"/>
      <c r="AE2" s="317"/>
      <c r="AF2" s="317"/>
      <c r="AG2" s="317"/>
      <c r="AH2" s="317"/>
      <c r="AI2" s="317"/>
      <c r="AJ2" s="2"/>
      <c r="AK2" s="2"/>
      <c r="AL2" s="2"/>
      <c r="AN2" s="317" t="s">
        <v>69</v>
      </c>
      <c r="AO2" s="317"/>
      <c r="AP2" s="317"/>
      <c r="AQ2" s="317"/>
      <c r="AR2" s="317"/>
      <c r="AS2" s="317"/>
      <c r="AT2" s="317"/>
      <c r="AV2" s="3" t="s">
        <v>47</v>
      </c>
      <c r="AW2" s="319" t="s">
        <v>814</v>
      </c>
      <c r="AX2" s="320"/>
      <c r="AY2" s="321"/>
      <c r="AZ2" s="318" t="s">
        <v>944</v>
      </c>
      <c r="BA2" s="314"/>
      <c r="BB2" s="314"/>
    </row>
    <row r="3" spans="2:54" x14ac:dyDescent="0.25">
      <c r="B3" s="335" t="s">
        <v>630</v>
      </c>
      <c r="C3" s="77">
        <v>3</v>
      </c>
      <c r="D3" s="61">
        <f>COUNTIFS(キャラ!$C:$C,"=3",キャラ!$D:$D,"=火",キャラ!$G:$G,"-")</f>
        <v>0</v>
      </c>
      <c r="E3" s="61">
        <f>COUNTIFS(キャラ!$C:$C,"=3",キャラ!$D:$D,"=火",キャラ!$G:$G,"&lt;=30")</f>
        <v>0</v>
      </c>
      <c r="F3" s="61">
        <f>COUNTIFS(キャラ!$C:$C,"=3",キャラ!$D:$D,"=火",キャラ!$G:$G,"&gt;30",キャラ!$G:$G,"&lt;=40")</f>
        <v>5</v>
      </c>
      <c r="G3" s="61">
        <f>COUNTIFS(キャラ!$C:$C,"=3",キャラ!$D:$D,"=火",キャラ!$G:$G,"&gt;40",キャラ!$G:$G,"&lt;=50")</f>
        <v>1</v>
      </c>
      <c r="H3" s="96">
        <f>COUNTIFS(キャラ!$C:$C,"=3",キャラ!$D:$D,"=火",キャラ!$G:$G,"&gt;50",キャラ!$G:$G,"&lt;=70")</f>
        <v>2</v>
      </c>
      <c r="I3" s="77">
        <f t="shared" ref="I3:I17" si="0">SUM(D3:H3)</f>
        <v>8</v>
      </c>
      <c r="J3" s="61">
        <f>COUNTIFS(キャラ!$C:$C,"=3",キャラ!$D:$D,"=火",キャラ!$H:$H,"=70")</f>
        <v>8</v>
      </c>
      <c r="L3" s="328" t="s">
        <v>54</v>
      </c>
      <c r="M3" s="127" t="s">
        <v>55</v>
      </c>
      <c r="N3" s="16">
        <v>15269</v>
      </c>
      <c r="O3" s="17">
        <v>11156</v>
      </c>
      <c r="P3" s="18">
        <v>11280</v>
      </c>
      <c r="Q3" s="19">
        <v>10496</v>
      </c>
      <c r="R3" s="20">
        <v>10654</v>
      </c>
      <c r="U3" s="317" t="s">
        <v>50</v>
      </c>
      <c r="V3" s="131" t="s">
        <v>118</v>
      </c>
      <c r="W3" s="16">
        <v>2914</v>
      </c>
      <c r="X3" s="17">
        <v>1223</v>
      </c>
      <c r="Y3" s="18">
        <v>2132</v>
      </c>
      <c r="Z3" s="19">
        <v>1650</v>
      </c>
      <c r="AA3" s="20">
        <v>2460</v>
      </c>
      <c r="AC3" s="328" t="s">
        <v>50</v>
      </c>
      <c r="AD3" s="127" t="s">
        <v>56</v>
      </c>
      <c r="AE3" s="16">
        <v>5758</v>
      </c>
      <c r="AF3" s="17">
        <v>5234</v>
      </c>
      <c r="AG3" s="18">
        <v>6087</v>
      </c>
      <c r="AH3" s="19">
        <v>8997</v>
      </c>
      <c r="AI3" s="20">
        <v>7334</v>
      </c>
      <c r="AJ3" s="2"/>
      <c r="AK3" s="2"/>
      <c r="AL3" s="2"/>
      <c r="AN3" s="317" t="s">
        <v>50</v>
      </c>
      <c r="AO3" s="127" t="s">
        <v>56</v>
      </c>
      <c r="AP3" s="16">
        <v>534</v>
      </c>
      <c r="AQ3" s="17">
        <v>446</v>
      </c>
      <c r="AR3" s="18">
        <v>279</v>
      </c>
      <c r="AS3" s="19">
        <v>842</v>
      </c>
      <c r="AT3" s="20">
        <v>697</v>
      </c>
      <c r="AV3" s="2"/>
      <c r="AW3" s="279" t="s">
        <v>890</v>
      </c>
      <c r="AX3" s="280" t="s">
        <v>56</v>
      </c>
      <c r="AY3" s="281" t="s">
        <v>57</v>
      </c>
      <c r="AZ3" s="2" t="s">
        <v>890</v>
      </c>
      <c r="BA3" s="2" t="s">
        <v>56</v>
      </c>
      <c r="BB3" s="2" t="s">
        <v>57</v>
      </c>
    </row>
    <row r="4" spans="2:54" x14ac:dyDescent="0.25">
      <c r="B4" s="336"/>
      <c r="C4" s="71">
        <v>4</v>
      </c>
      <c r="D4" s="89">
        <f>COUNTIFS(キャラ!$C:$C,"=4",キャラ!$D:$D,"=火",キャラ!$G:$G,"-")</f>
        <v>0</v>
      </c>
      <c r="E4" s="89">
        <f>COUNTIFS(キャラ!$C:$C,"=4",キャラ!$D:$D,"=火",キャラ!$G:$G,"&lt;=30")</f>
        <v>0</v>
      </c>
      <c r="F4" s="89">
        <f>COUNTIFS(キャラ!$C:$C,"=4",キャラ!$D:$D,"=火",キャラ!$G:$G,"&gt;30",キャラ!$G:$G,"&lt;=40")</f>
        <v>4</v>
      </c>
      <c r="G4" s="89">
        <f>COUNTIFS(キャラ!$C:$C,"=4",キャラ!$D:$D,"=火",キャラ!$G:$G,"&gt;40",キャラ!$G:$G,"&lt;=50")</f>
        <v>9</v>
      </c>
      <c r="H4" s="97">
        <f>COUNTIFS(キャラ!$C:$C,"=4",キャラ!$D:$D,"=火",キャラ!$G:$G,"&gt;50",キャラ!$G:$G,"&lt;=70")</f>
        <v>1</v>
      </c>
      <c r="I4" s="71">
        <f t="shared" si="0"/>
        <v>14</v>
      </c>
      <c r="J4" s="89">
        <f>COUNTIFS(キャラ!$C:$C,"=4",キャラ!$D:$D,"=火",キャラ!$H:$H,"=70")</f>
        <v>5</v>
      </c>
      <c r="L4" s="328"/>
      <c r="M4" s="127" t="s">
        <v>56</v>
      </c>
      <c r="N4" s="16">
        <v>2740</v>
      </c>
      <c r="O4" s="17">
        <v>1757</v>
      </c>
      <c r="P4" s="18">
        <v>1668</v>
      </c>
      <c r="Q4" s="19">
        <v>1461</v>
      </c>
      <c r="R4" s="20">
        <v>2515</v>
      </c>
      <c r="U4" s="317"/>
      <c r="V4" s="127" t="s">
        <v>67</v>
      </c>
      <c r="W4" s="16">
        <v>2044</v>
      </c>
      <c r="X4" s="17">
        <v>1067</v>
      </c>
      <c r="Y4" s="18">
        <v>1564</v>
      </c>
      <c r="Z4" s="19">
        <v>930</v>
      </c>
      <c r="AA4" s="20">
        <v>1919</v>
      </c>
      <c r="AC4" s="328"/>
      <c r="AD4" s="127" t="s">
        <v>57</v>
      </c>
      <c r="AE4" s="16">
        <v>7167</v>
      </c>
      <c r="AF4" s="17">
        <v>6299</v>
      </c>
      <c r="AG4" s="18">
        <v>7799</v>
      </c>
      <c r="AH4" s="19">
        <v>10657</v>
      </c>
      <c r="AI4" s="20">
        <v>12311</v>
      </c>
      <c r="AJ4" s="2"/>
      <c r="AK4" s="2"/>
      <c r="AL4" s="2"/>
      <c r="AN4" s="317"/>
      <c r="AO4" s="127" t="s">
        <v>57</v>
      </c>
      <c r="AP4" s="16">
        <v>534</v>
      </c>
      <c r="AQ4" s="17">
        <v>478</v>
      </c>
      <c r="AR4" s="18">
        <v>491</v>
      </c>
      <c r="AS4" s="19">
        <v>899</v>
      </c>
      <c r="AT4" s="20">
        <v>873</v>
      </c>
      <c r="AV4" s="15" t="s">
        <v>898</v>
      </c>
      <c r="AW4" s="326">
        <v>1829</v>
      </c>
      <c r="AX4" s="262">
        <v>525</v>
      </c>
      <c r="AY4" s="253">
        <v>103</v>
      </c>
      <c r="AZ4" s="322">
        <f>(AW4+SUM(武器!$Y28,武器!$Y40,武器!$Y52,武器!$Y64,武器!$Y76)*武器!AY30+SUM(武器!$Y29,武器!$Y41,武器!$Y53,武器!$Y65,武器!$Y77)*武器!AY31+SUM(武器!$Y30,武器!$Y42,武器!$Y54,武器!$Y66,武器!$Y78)*武器!AY32) / (9*SUM(武器!$BD30:$BH30)*武器!AY30+9*SUM(武器!$BD31:$BH31)*武器!AY31+9*SUM(武器!$BD32:$BH32)*武器!AY32) *100</f>
        <v>106.39376218323586</v>
      </c>
      <c r="BA4" s="278">
        <f>(AX4+SUM(武器!$Y28,武器!$Y40,武器!$Y52,武器!$Y64,武器!$Y76)*武器!AZ30)/(9*SUM(武器!$BD30:$BH30)*武器!AZ30)*100</f>
        <v>307.40740740740739</v>
      </c>
      <c r="BB4" s="278">
        <f>(AY4+SUM(武器!$Y28,武器!$Y40,武器!$Y52,武器!$Y64,武器!$Y76)*武器!BA30)/(9*SUM(武器!$BD30:$BH30)*武器!BA30)*100</f>
        <v>411.11111111111109</v>
      </c>
    </row>
    <row r="5" spans="2:54" x14ac:dyDescent="0.25">
      <c r="B5" s="337"/>
      <c r="C5" s="78">
        <v>5</v>
      </c>
      <c r="D5" s="66">
        <f>COUNTIFS(キャラ!$C:$C,"=5",キャラ!$D:$D,"=火",キャラ!$G:$G,"-")</f>
        <v>4</v>
      </c>
      <c r="E5" s="66">
        <f>COUNTIFS(キャラ!$C:$C,"=5",キャラ!$D:$D,"=火",キャラ!$G:$G,"&lt;=30")</f>
        <v>0</v>
      </c>
      <c r="F5" s="66">
        <f>COUNTIFS(キャラ!$C:$C,"=5",キャラ!$D:$D,"=火",キャラ!$G:$G,"&gt;30",キャラ!$G:$G,"&lt;=40")</f>
        <v>0</v>
      </c>
      <c r="G5" s="66">
        <f>COUNTIFS(キャラ!$C:$C,"=5",キャラ!$D:$D,"=火",キャラ!$G:$G,"&gt;40",キャラ!$G:$G,"&lt;=50")</f>
        <v>19</v>
      </c>
      <c r="H5" s="98">
        <f>COUNTIFS(キャラ!$C:$C,"=5",キャラ!$D:$D,"=火",キャラ!$G:$G,"&gt;50",キャラ!$G:$G,"&lt;=70")</f>
        <v>1</v>
      </c>
      <c r="I5" s="78">
        <f t="shared" si="0"/>
        <v>24</v>
      </c>
      <c r="J5" s="66">
        <f>COUNTIFS(キャラ!$C:$C,"=5",キャラ!$D:$D,"=火",キャラ!$H:$H,"=70")</f>
        <v>5</v>
      </c>
      <c r="L5" s="328"/>
      <c r="M5" s="127" t="s">
        <v>57</v>
      </c>
      <c r="N5" s="16">
        <v>765</v>
      </c>
      <c r="O5" s="17">
        <v>585</v>
      </c>
      <c r="P5" s="18">
        <v>516</v>
      </c>
      <c r="Q5" s="19">
        <v>558</v>
      </c>
      <c r="R5" s="20">
        <v>184</v>
      </c>
      <c r="U5" s="317"/>
      <c r="V5" s="127" t="s">
        <v>68</v>
      </c>
      <c r="W5" s="16">
        <v>693</v>
      </c>
      <c r="X5" s="17">
        <v>493</v>
      </c>
      <c r="Y5" s="18">
        <v>655</v>
      </c>
      <c r="Z5" s="19">
        <v>513</v>
      </c>
      <c r="AA5" s="20">
        <v>633</v>
      </c>
      <c r="AC5" s="316" t="s">
        <v>929</v>
      </c>
      <c r="AD5" s="127" t="s">
        <v>111</v>
      </c>
      <c r="AE5" s="15">
        <f>AE3+3*AE4</f>
        <v>27259</v>
      </c>
      <c r="AF5" s="15">
        <f t="shared" ref="AF5:AI5" si="1">AF3+3*AF4</f>
        <v>24131</v>
      </c>
      <c r="AG5" s="15">
        <f t="shared" si="1"/>
        <v>29484</v>
      </c>
      <c r="AH5" s="15">
        <f t="shared" si="1"/>
        <v>40968</v>
      </c>
      <c r="AI5" s="15">
        <f t="shared" si="1"/>
        <v>44267</v>
      </c>
      <c r="AN5" s="317"/>
      <c r="AO5" s="129" t="s">
        <v>851</v>
      </c>
      <c r="AP5" s="16">
        <v>769</v>
      </c>
      <c r="AQ5" s="17">
        <v>887</v>
      </c>
      <c r="AR5" s="18">
        <v>1036</v>
      </c>
      <c r="AS5" s="19">
        <v>1011</v>
      </c>
      <c r="AT5" s="20">
        <v>1003</v>
      </c>
      <c r="AV5" s="15" t="s">
        <v>899</v>
      </c>
      <c r="AW5" s="326"/>
      <c r="AX5" s="262">
        <v>418</v>
      </c>
      <c r="AY5" s="253">
        <v>74</v>
      </c>
      <c r="AZ5" s="322"/>
      <c r="BA5" s="278">
        <f>(AX5+SUM(武器!$Y29,武器!$Y41,武器!$Y53,武器!$Y65,武器!$Y77)*武器!AZ31)/(9*SUM(武器!$BD31:$BH31)*武器!AZ31)*100</f>
        <v>250.79365079365078</v>
      </c>
      <c r="BB5" s="278">
        <f>(AY5+SUM(武器!$Y29,武器!$Y41,武器!$Y53,武器!$Y65,武器!$Y77)*武器!BA31)/(9*SUM(武器!$BD31:$BH31)*武器!BA31)*100</f>
        <v>303.7037037037037</v>
      </c>
    </row>
    <row r="6" spans="2:54" x14ac:dyDescent="0.25">
      <c r="B6" s="338" t="s">
        <v>632</v>
      </c>
      <c r="C6" s="79">
        <v>3</v>
      </c>
      <c r="D6" s="62">
        <f>COUNTIFS(キャラ!$C:$C,"=3",キャラ!$D:$D,"=水",キャラ!$G:$G,"-")</f>
        <v>0</v>
      </c>
      <c r="E6" s="62">
        <f>COUNTIFS(キャラ!$C:$C,"=3",キャラ!$D:$D,"=水",キャラ!$G:$G,"&lt;=30")</f>
        <v>0</v>
      </c>
      <c r="F6" s="62">
        <f>COUNTIFS(キャラ!$C:$C,"=3",キャラ!$D:$D,"=水",キャラ!$G:$G,"&gt;30",キャラ!$G:$G,"&lt;=40")</f>
        <v>6</v>
      </c>
      <c r="G6" s="62">
        <f>COUNTIFS(キャラ!$C:$C,"=3",キャラ!$D:$D,"=水",キャラ!$G:$G,"&gt;40",キャラ!$G:$G,"&lt;=50")</f>
        <v>2</v>
      </c>
      <c r="H6" s="99">
        <f>COUNTIFS(キャラ!$C:$C,"=3",キャラ!$D:$D,"=水",キャラ!$G:$G,"&gt;50",キャラ!$G:$G,"&lt;=70")</f>
        <v>0</v>
      </c>
      <c r="I6" s="79">
        <f t="shared" si="0"/>
        <v>8</v>
      </c>
      <c r="J6" s="62">
        <f>COUNTIFS(キャラ!$C:$C,"=3",キャラ!$D:$D,"=水",キャラ!$H:$H,"=70")</f>
        <v>2</v>
      </c>
      <c r="L6" s="328" t="s">
        <v>59</v>
      </c>
      <c r="M6" s="127" t="s">
        <v>55</v>
      </c>
      <c r="N6" s="15">
        <f>N3+4*(N4+3*N5)</f>
        <v>35409</v>
      </c>
      <c r="O6" s="15">
        <f>O3+4*(O4+3*O5)</f>
        <v>25204</v>
      </c>
      <c r="P6" s="15">
        <f>P3+4*(P4+3*P5)</f>
        <v>24144</v>
      </c>
      <c r="Q6" s="15">
        <f>Q3+4*(Q4+3*Q5)</f>
        <v>23036</v>
      </c>
      <c r="R6" s="15">
        <f>R3+4*(R4+3*R5)</f>
        <v>22922</v>
      </c>
      <c r="AC6" s="317"/>
      <c r="AD6" s="127" t="s">
        <v>112</v>
      </c>
      <c r="AE6" s="15">
        <f>AE4+ROUNDDOWN(AE3/6,0)</f>
        <v>8126</v>
      </c>
      <c r="AF6" s="15">
        <f t="shared" ref="AF6:AI6" si="2">AF4+ROUNDDOWN(AF3/6,0)</f>
        <v>7171</v>
      </c>
      <c r="AG6" s="15">
        <f t="shared" si="2"/>
        <v>8813</v>
      </c>
      <c r="AH6" s="15">
        <f t="shared" si="2"/>
        <v>12156</v>
      </c>
      <c r="AI6" s="15">
        <f t="shared" si="2"/>
        <v>13533</v>
      </c>
      <c r="AN6" s="317"/>
      <c r="AO6" s="302" t="s">
        <v>1030</v>
      </c>
      <c r="AP6" s="16"/>
      <c r="AQ6" s="17"/>
      <c r="AR6" s="18">
        <f>264+14*3</f>
        <v>306</v>
      </c>
      <c r="AS6" s="19"/>
      <c r="AT6" s="20"/>
      <c r="AV6" s="15" t="s">
        <v>900</v>
      </c>
      <c r="AW6" s="326"/>
      <c r="AX6" s="280"/>
      <c r="AY6" s="253">
        <v>104</v>
      </c>
      <c r="AZ6" s="322"/>
      <c r="BB6" s="278">
        <f>(AY6+SUM(武器!$Y30,武器!$Y42,武器!$Y54,武器!$Y66,武器!$Y78)*武器!BA32)/(9*SUM(武器!$BD32:$BH32)*武器!BA32)*100</f>
        <v>429.62962962962968</v>
      </c>
    </row>
    <row r="7" spans="2:54" x14ac:dyDescent="0.25">
      <c r="B7" s="339"/>
      <c r="C7" s="72">
        <v>4</v>
      </c>
      <c r="D7" s="90">
        <f>COUNTIFS(キャラ!$C:$C,"=4",キャラ!$D:$D,"=水",キャラ!$G:$G,"-")</f>
        <v>0</v>
      </c>
      <c r="E7" s="90">
        <f>COUNTIFS(キャラ!$C:$C,"=4",キャラ!$D:$D,"=水",キャラ!$G:$G,"&lt;=30")</f>
        <v>0</v>
      </c>
      <c r="F7" s="90">
        <f>COUNTIFS(キャラ!$C:$C,"=4",キャラ!$D:$D,"=水",キャラ!$G:$G,"&gt;30",キャラ!$G:$G,"&lt;=40")</f>
        <v>4</v>
      </c>
      <c r="G7" s="90">
        <f>COUNTIFS(キャラ!$C:$C,"=4",キャラ!$D:$D,"=水",キャラ!$G:$G,"&gt;40",キャラ!$G:$G,"&lt;=50")</f>
        <v>9</v>
      </c>
      <c r="H7" s="100">
        <f>COUNTIFS(キャラ!$C:$C,"=4",キャラ!$D:$D,"=水",キャラ!$G:$G,"&gt;50",キャラ!$G:$G,"&lt;=70")</f>
        <v>2</v>
      </c>
      <c r="I7" s="72">
        <f t="shared" si="0"/>
        <v>15</v>
      </c>
      <c r="J7" s="90">
        <f>COUNTIFS(キャラ!$C:$C,"=4",キャラ!$D:$D,"=水",キャラ!$H:$H,"=70")</f>
        <v>7</v>
      </c>
      <c r="L7" s="328"/>
      <c r="M7" s="127" t="s">
        <v>56</v>
      </c>
      <c r="N7" s="15">
        <f>ROUNDDOWN(N3/8,0)+N4+3*N5</f>
        <v>6943</v>
      </c>
      <c r="O7" s="15">
        <f t="shared" ref="O7:R7" si="3">ROUNDDOWN(O3/8,0)+O4+3*O5</f>
        <v>4906</v>
      </c>
      <c r="P7" s="15">
        <f t="shared" si="3"/>
        <v>4626</v>
      </c>
      <c r="Q7" s="15">
        <f t="shared" si="3"/>
        <v>4447</v>
      </c>
      <c r="R7" s="15">
        <f t="shared" si="3"/>
        <v>4398</v>
      </c>
      <c r="U7" s="333" t="s">
        <v>264</v>
      </c>
      <c r="V7" s="4" t="s">
        <v>118</v>
      </c>
      <c r="W7" s="16">
        <v>0</v>
      </c>
      <c r="X7" s="17">
        <v>0</v>
      </c>
      <c r="Y7" s="18">
        <v>0</v>
      </c>
      <c r="Z7" s="19">
        <v>0</v>
      </c>
      <c r="AA7" s="20">
        <v>0</v>
      </c>
      <c r="AJ7" s="127" t="s">
        <v>51</v>
      </c>
      <c r="AK7" s="127" t="s">
        <v>50</v>
      </c>
      <c r="AL7" s="127" t="s">
        <v>60</v>
      </c>
      <c r="AV7" s="15"/>
      <c r="AW7" s="279"/>
      <c r="AX7" s="280"/>
      <c r="AY7" s="281"/>
    </row>
    <row r="8" spans="2:54" x14ac:dyDescent="0.25">
      <c r="B8" s="340"/>
      <c r="C8" s="80">
        <v>5</v>
      </c>
      <c r="D8" s="67">
        <f>COUNTIFS(キャラ!$C:$C,"=5",キャラ!$D:$D,"=水",キャラ!$G:$G,"-")</f>
        <v>3</v>
      </c>
      <c r="E8" s="67">
        <f>COUNTIFS(キャラ!$C:$C,"=5",キャラ!$D:$D,"=水",キャラ!$G:$G,"&lt;=30")</f>
        <v>0</v>
      </c>
      <c r="F8" s="67">
        <f>COUNTIFS(キャラ!$C:$C,"=5",キャラ!$D:$D,"=水",キャラ!$G:$G,"&gt;30",キャラ!$G:$G,"&lt;=40")</f>
        <v>0</v>
      </c>
      <c r="G8" s="67">
        <f>COUNTIFS(キャラ!$C:$C,"=5",キャラ!$D:$D,"=水",キャラ!$G:$G,"&gt;40",キャラ!$G:$G,"&lt;=50")</f>
        <v>19</v>
      </c>
      <c r="H8" s="101">
        <f>COUNTIFS(キャラ!$C:$C,"=5",キャラ!$D:$D,"=水",キャラ!$G:$G,"&gt;50",キャラ!$G:$G,"&lt;=70")</f>
        <v>2</v>
      </c>
      <c r="I8" s="80">
        <f t="shared" si="0"/>
        <v>24</v>
      </c>
      <c r="J8" s="67">
        <f>COUNTIFS(キャラ!$C:$C,"=5",キャラ!$D:$D,"=水",キャラ!$H:$H,"=70")</f>
        <v>8</v>
      </c>
      <c r="L8" s="328"/>
      <c r="M8" s="127" t="s">
        <v>57</v>
      </c>
      <c r="N8" s="15">
        <f>ROUNDDOWN(N4+ROUNDDOWN(N3/8,0),0)+N5</f>
        <v>5413</v>
      </c>
      <c r="O8" s="15">
        <f>ROUNDDOWN(O4+ROUNDDOWN(O3/8,0),0)+O5</f>
        <v>3736</v>
      </c>
      <c r="P8" s="15">
        <f>ROUNDDOWN(P4+ROUNDDOWN(P3/8,0),0)+P5</f>
        <v>3594</v>
      </c>
      <c r="Q8" s="15">
        <f>ROUNDDOWN(Q4+ROUNDDOWN(Q3/8,0),0)+Q5</f>
        <v>3331</v>
      </c>
      <c r="R8" s="15">
        <f>ROUNDDOWN(R4+ROUNDDOWN(R3/8,0),0)+R5</f>
        <v>4030</v>
      </c>
      <c r="S8" s="127" t="s">
        <v>109</v>
      </c>
      <c r="U8" s="333"/>
      <c r="V8" s="127" t="s">
        <v>30</v>
      </c>
      <c r="W8" s="132">
        <f>N33</f>
        <v>30</v>
      </c>
      <c r="X8" s="132">
        <f t="shared" ref="X8:AA8" si="4">O33</f>
        <v>30</v>
      </c>
      <c r="Y8" s="132">
        <f t="shared" si="4"/>
        <v>30</v>
      </c>
      <c r="Z8" s="132">
        <f t="shared" si="4"/>
        <v>30</v>
      </c>
      <c r="AA8" s="132">
        <f t="shared" si="4"/>
        <v>30</v>
      </c>
      <c r="AC8" s="317" t="s">
        <v>58</v>
      </c>
      <c r="AD8" s="127" t="s">
        <v>61</v>
      </c>
      <c r="AE8" s="16">
        <v>0</v>
      </c>
      <c r="AF8" s="17">
        <v>0</v>
      </c>
      <c r="AG8" s="18">
        <v>0</v>
      </c>
      <c r="AH8" s="19">
        <v>0</v>
      </c>
      <c r="AI8" s="20">
        <v>0</v>
      </c>
      <c r="AJ8" s="15">
        <f>SUM(AE8:AI8)</f>
        <v>0</v>
      </c>
      <c r="AK8" s="21">
        <v>41929</v>
      </c>
      <c r="AL8" s="15">
        <f>AK8+3*(AK9+2*AK10)</f>
        <v>231844</v>
      </c>
      <c r="AN8" s="317" t="s">
        <v>73</v>
      </c>
      <c r="AO8" s="127" t="s">
        <v>56</v>
      </c>
      <c r="AP8" s="17">
        <v>230</v>
      </c>
      <c r="AQ8" s="18">
        <v>230</v>
      </c>
      <c r="AR8" s="16">
        <v>0</v>
      </c>
      <c r="AS8" s="20">
        <v>230</v>
      </c>
      <c r="AT8" s="19">
        <v>230</v>
      </c>
      <c r="AU8">
        <v>120</v>
      </c>
      <c r="AV8" s="15" t="s">
        <v>901</v>
      </c>
      <c r="AW8" s="326">
        <v>2026</v>
      </c>
      <c r="AX8" s="262">
        <v>320</v>
      </c>
      <c r="AY8" s="253">
        <v>101</v>
      </c>
      <c r="AZ8" s="322">
        <f>(AW8+SUM(武器!$Y32,武器!$Y44,武器!$Y56,武器!$Y68,武器!$Y80)*武器!AY34+SUM(武器!$Y33,武器!$Y45,武器!$Y57,武器!$Y69,武器!$Y81)*武器!AY35+SUM(武器!$Y34,武器!$Y46,武器!$Y58,武器!$Y70,武器!$Y82)*武器!AY36+SUM(武器!$Y35,武器!$Y47,武器!$Y59,武器!$Y71,武器!$Y83)*武器!AY37) / (9*SUM(武器!$BD34:$BH34)*武器!AY34+9*SUM(武器!$BD35:$BH35)*武器!AY35+9*SUM(武器!$BD36:$BH36)*武器!AY36+9*SUM(武器!$BD37:$BH37)*武器!AY37) *100</f>
        <v>99.567901234567898</v>
      </c>
      <c r="BA8" s="278">
        <f>(AX8+SUM(武器!$Y32,武器!$Y44,武器!$Y56,武器!$Y68,武器!$Y80)*武器!AZ34)/(9*SUM(武器!$BD34:$BH34)*武器!AZ34)*100</f>
        <v>198.94179894179894</v>
      </c>
      <c r="BB8" s="278">
        <f>(AY8+SUM(武器!$Y32,武器!$Y44,武器!$Y56,武器!$Y68,武器!$Y80)*武器!BA34)/(9*SUM(武器!$BD34:$BH34)*武器!BA34)*100</f>
        <v>403.7037037037037</v>
      </c>
    </row>
    <row r="9" spans="2:54" x14ac:dyDescent="0.25">
      <c r="B9" s="341" t="s">
        <v>634</v>
      </c>
      <c r="C9" s="81">
        <v>3</v>
      </c>
      <c r="D9" s="63">
        <f>COUNTIFS(キャラ!$C:$C,"=3",キャラ!$D:$D,"=風",キャラ!$G:$G,"-")</f>
        <v>0</v>
      </c>
      <c r="E9" s="63">
        <f>COUNTIFS(キャラ!$C:$C,"=3",キャラ!$D:$D,"=風",キャラ!$G:$G,"&lt;=30")</f>
        <v>0</v>
      </c>
      <c r="F9" s="63">
        <f>COUNTIFS(キャラ!$C:$C,"=3",キャラ!$D:$D,"=風",キャラ!$G:$G,"&gt;30",キャラ!$G:$G,"&lt;=40")</f>
        <v>4</v>
      </c>
      <c r="G9" s="63">
        <f>COUNTIFS(キャラ!$C:$C,"=3",キャラ!$D:$D,"=風",キャラ!$G:$G,"&gt;40",キャラ!$G:$G,"&lt;=50")</f>
        <v>2</v>
      </c>
      <c r="H9" s="102">
        <f>COUNTIFS(キャラ!$C:$C,"=3",キャラ!$D:$D,"=風",キャラ!$G:$G,"&gt;50",キャラ!$G:$G,"&lt;=70")</f>
        <v>0</v>
      </c>
      <c r="I9" s="81">
        <f t="shared" si="0"/>
        <v>6</v>
      </c>
      <c r="J9" s="63">
        <f>COUNTIFS(キャラ!$C:$C,"=3",キャラ!$D:$D,"=風",キャラ!$H:$H,"=70")</f>
        <v>2</v>
      </c>
      <c r="M9" s="127" t="s">
        <v>110</v>
      </c>
      <c r="N9" s="16">
        <v>433</v>
      </c>
      <c r="O9" s="17">
        <v>316</v>
      </c>
      <c r="P9" s="18">
        <v>411</v>
      </c>
      <c r="Q9" s="19">
        <v>10</v>
      </c>
      <c r="R9" s="20">
        <v>283</v>
      </c>
      <c r="S9" s="127">
        <v>125</v>
      </c>
      <c r="U9" s="317" t="s">
        <v>114</v>
      </c>
      <c r="V9" s="4" t="s">
        <v>118</v>
      </c>
      <c r="W9" s="16">
        <v>0</v>
      </c>
      <c r="X9" s="17">
        <v>0</v>
      </c>
      <c r="Y9" s="18">
        <v>0</v>
      </c>
      <c r="Z9" s="19">
        <v>0</v>
      </c>
      <c r="AA9" s="20">
        <v>0</v>
      </c>
      <c r="AC9" s="317"/>
      <c r="AD9" s="127" t="s">
        <v>62</v>
      </c>
      <c r="AE9" s="16">
        <v>0</v>
      </c>
      <c r="AF9" s="17">
        <v>0</v>
      </c>
      <c r="AG9" s="18">
        <v>0</v>
      </c>
      <c r="AH9" s="19">
        <v>0</v>
      </c>
      <c r="AI9" s="20">
        <v>0</v>
      </c>
      <c r="AJ9" s="15">
        <f>SUM(AE9:AI9)</f>
        <v>0</v>
      </c>
      <c r="AK9" s="21">
        <v>9799</v>
      </c>
      <c r="AL9" s="15">
        <f>AK9+2*AK10+ROUNDDOWN(AK8/4,0)</f>
        <v>73787</v>
      </c>
      <c r="AN9" s="317"/>
      <c r="AO9" s="127" t="s">
        <v>57</v>
      </c>
      <c r="AP9" s="17">
        <v>80</v>
      </c>
      <c r="AQ9" s="18">
        <v>80</v>
      </c>
      <c r="AR9" s="16">
        <v>0</v>
      </c>
      <c r="AS9" s="20">
        <v>80</v>
      </c>
      <c r="AT9" s="19">
        <v>80</v>
      </c>
      <c r="AU9">
        <v>100</v>
      </c>
      <c r="AV9" s="15" t="s">
        <v>902</v>
      </c>
      <c r="AW9" s="326"/>
      <c r="AX9" s="262">
        <v>389</v>
      </c>
      <c r="AY9" s="253">
        <v>99</v>
      </c>
      <c r="AZ9" s="322"/>
      <c r="BA9" s="278">
        <f>(AX9+SUM(武器!$Y33,武器!$Y45,武器!$Y57,武器!$Y69,武器!$Y81)*武器!AZ35)/(9*SUM(武器!$BD35:$BH35)*武器!AZ35)*100</f>
        <v>250.26455026455028</v>
      </c>
      <c r="BB9" s="278">
        <f>(AY9+SUM(武器!$Y33,武器!$Y45,武器!$Y57,武器!$Y69,武器!$Y81)*武器!BA35)/(9*SUM(武器!$BD35:$BH35)*武器!BA35)*100</f>
        <v>411.11111111111109</v>
      </c>
    </row>
    <row r="10" spans="2:54" x14ac:dyDescent="0.25">
      <c r="B10" s="342"/>
      <c r="C10" s="73">
        <v>4</v>
      </c>
      <c r="D10" s="91">
        <f>COUNTIFS(キャラ!$C:$C,"=4",キャラ!$D:$D,"=風",キャラ!$G:$G,"-")</f>
        <v>0</v>
      </c>
      <c r="E10" s="91">
        <f>COUNTIFS(キャラ!$C:$C,"=4",キャラ!$D:$D,"=風",キャラ!$G:$G,"&lt;=30")</f>
        <v>0</v>
      </c>
      <c r="F10" s="91">
        <f>COUNTIFS(キャラ!$C:$C,"=4",キャラ!$D:$D,"=風",キャラ!$G:$G,"&gt;30",キャラ!$G:$G,"&lt;=40")</f>
        <v>6</v>
      </c>
      <c r="G10" s="91">
        <f>COUNTIFS(キャラ!$C:$C,"=4",キャラ!$D:$D,"=風",キャラ!$G:$G,"&gt;40",キャラ!$G:$G,"&lt;=50")</f>
        <v>6</v>
      </c>
      <c r="H10" s="103">
        <f>COUNTIFS(キャラ!$C:$C,"=4",キャラ!$D:$D,"=風",キャラ!$G:$G,"&gt;50",キャラ!$G:$G,"&lt;=70")</f>
        <v>2</v>
      </c>
      <c r="I10" s="73">
        <f t="shared" si="0"/>
        <v>14</v>
      </c>
      <c r="J10" s="91">
        <f>COUNTIFS(キャラ!$C:$C,"=4",キャラ!$D:$D,"=風",キャラ!$H:$H,"=70")</f>
        <v>4</v>
      </c>
      <c r="U10" s="317"/>
      <c r="V10" s="127" t="s">
        <v>30</v>
      </c>
      <c r="W10" s="15">
        <f>N35</f>
        <v>30</v>
      </c>
      <c r="X10" s="15">
        <f t="shared" ref="X10:AA10" si="5">O35</f>
        <v>30</v>
      </c>
      <c r="Y10" s="15">
        <f t="shared" si="5"/>
        <v>30</v>
      </c>
      <c r="Z10" s="15">
        <f t="shared" si="5"/>
        <v>30</v>
      </c>
      <c r="AA10" s="15">
        <f t="shared" si="5"/>
        <v>30</v>
      </c>
      <c r="AC10" s="317"/>
      <c r="AD10" s="127" t="s">
        <v>63</v>
      </c>
      <c r="AE10" s="16">
        <v>0</v>
      </c>
      <c r="AF10" s="17">
        <v>0</v>
      </c>
      <c r="AG10" s="18">
        <v>0</v>
      </c>
      <c r="AH10" s="19">
        <v>0</v>
      </c>
      <c r="AI10" s="20">
        <v>0</v>
      </c>
      <c r="AJ10" s="15">
        <f>SUM(AE10:AI10)</f>
        <v>0</v>
      </c>
      <c r="AK10" s="21">
        <v>26753</v>
      </c>
      <c r="AL10" s="15">
        <f>AK10+ROUNDDOWN((AK9+ROUNDDOWN(AK8/4,0))/3,0)</f>
        <v>33513</v>
      </c>
      <c r="AN10" s="317"/>
      <c r="AO10" s="127" t="s">
        <v>30</v>
      </c>
      <c r="AP10" s="127">
        <v>25</v>
      </c>
      <c r="AQ10" s="127">
        <v>25</v>
      </c>
      <c r="AR10" s="127">
        <v>30</v>
      </c>
      <c r="AS10" s="127">
        <v>25</v>
      </c>
      <c r="AT10" s="127">
        <v>25</v>
      </c>
      <c r="AV10" s="15" t="s">
        <v>903</v>
      </c>
      <c r="AW10" s="326"/>
      <c r="AX10" s="262">
        <v>427</v>
      </c>
      <c r="AY10" s="253">
        <v>71</v>
      </c>
      <c r="AZ10" s="322"/>
      <c r="BA10" s="278">
        <f>(AX10+SUM(武器!$Y34,武器!$Y46,武器!$Y58,武器!$Y70,武器!$Y82)*武器!AZ36)/(9*SUM(武器!$BD36:$BH36)*武器!AZ36)*100</f>
        <v>270.37037037037038</v>
      </c>
      <c r="BB10" s="278">
        <f>(AY10+SUM(武器!$Y34,武器!$Y46,武器!$Y58,武器!$Y70,武器!$Y82)*武器!BA36)/(9*SUM(武器!$BD36:$BH36)*武器!BA36)*100</f>
        <v>307.40740740740739</v>
      </c>
    </row>
    <row r="11" spans="2:54" x14ac:dyDescent="0.25">
      <c r="B11" s="343"/>
      <c r="C11" s="82">
        <v>5</v>
      </c>
      <c r="D11" s="68">
        <f>COUNTIFS(キャラ!$C:$C,"=5",キャラ!$D:$D,"=風",キャラ!$G:$G,"-")</f>
        <v>5</v>
      </c>
      <c r="E11" s="68">
        <f>COUNTIFS(キャラ!$C:$C,"=5",キャラ!$D:$D,"=風",キャラ!$G:$G,"&lt;=30")</f>
        <v>0</v>
      </c>
      <c r="F11" s="68">
        <f>COUNTIFS(キャラ!$C:$C,"=5",キャラ!$D:$D,"=風",キャラ!$G:$G,"&gt;30",キャラ!$G:$G,"&lt;=40")</f>
        <v>0</v>
      </c>
      <c r="G11" s="68">
        <f>COUNTIFS(キャラ!$C:$C,"=5",キャラ!$D:$D,"=風",キャラ!$G:$G,"&gt;40",キャラ!$G:$G,"&lt;=50")</f>
        <v>16</v>
      </c>
      <c r="H11" s="104">
        <f>COUNTIFS(キャラ!$C:$C,"=5",キャラ!$D:$D,"=風",キャラ!$G:$G,"&gt;50",キャラ!$G:$G,"&lt;=70")</f>
        <v>1</v>
      </c>
      <c r="I11" s="82">
        <f t="shared" si="0"/>
        <v>22</v>
      </c>
      <c r="J11" s="68">
        <f>COUNTIFS(キャラ!$C:$C,"=5",キャラ!$D:$D,"=風",キャラ!$H:$H,"=70")</f>
        <v>5</v>
      </c>
      <c r="L11" s="334" t="s">
        <v>927</v>
      </c>
      <c r="M11" s="127">
        <v>3</v>
      </c>
      <c r="N11" s="15">
        <f>29*(J3-H3)</f>
        <v>174</v>
      </c>
      <c r="O11" s="15">
        <f>29*(J6-H6)</f>
        <v>58</v>
      </c>
      <c r="P11" s="15">
        <f>29*(J9-H9)</f>
        <v>58</v>
      </c>
      <c r="Q11" s="15">
        <f>29*(J12-H12)</f>
        <v>58</v>
      </c>
      <c r="R11" s="15">
        <f>29*(J15-H15)</f>
        <v>29</v>
      </c>
      <c r="S11" s="15">
        <f>27*(J18-H18)</f>
        <v>351</v>
      </c>
      <c r="AC11" s="317"/>
      <c r="AD11" s="127" t="s">
        <v>56</v>
      </c>
      <c r="AE11" s="16">
        <v>0</v>
      </c>
      <c r="AF11" s="17">
        <v>0</v>
      </c>
      <c r="AG11" s="18">
        <v>0</v>
      </c>
      <c r="AH11" s="19">
        <v>0</v>
      </c>
      <c r="AI11" s="20">
        <v>0</v>
      </c>
      <c r="AV11" s="15" t="s">
        <v>904</v>
      </c>
      <c r="AW11" s="326"/>
      <c r="AX11" s="262">
        <v>532</v>
      </c>
      <c r="AY11" s="253">
        <v>81</v>
      </c>
      <c r="AZ11" s="322"/>
      <c r="BA11" s="278">
        <f>(AX11+SUM(武器!$Y35,武器!$Y47,武器!$Y59,武器!$Y71,武器!$Y83)*武器!AZ37)/(9*SUM(武器!$BD37:$BH37)*武器!AZ37)*100</f>
        <v>311.11111111111114</v>
      </c>
      <c r="BB11" s="278">
        <f>(AY11+SUM(武器!$Y35,武器!$Y47,武器!$Y59,武器!$Y71,武器!$Y83)*武器!BA37)/(9*SUM(武器!$BD37:$BH37)*武器!BA37)*100</f>
        <v>329.62962962962962</v>
      </c>
    </row>
    <row r="12" spans="2:54" x14ac:dyDescent="0.25">
      <c r="B12" s="344" t="s">
        <v>635</v>
      </c>
      <c r="C12" s="83">
        <v>3</v>
      </c>
      <c r="D12" s="64">
        <f>COUNTIFS(キャラ!$C:$C,"=3",キャラ!$D:$D,"=光",キャラ!$G:$G,"-")</f>
        <v>0</v>
      </c>
      <c r="E12" s="64">
        <f>COUNTIFS(キャラ!$C:$C,"=3",キャラ!$D:$D,"=光",キャラ!$G:$G,"&lt;=30")</f>
        <v>0</v>
      </c>
      <c r="F12" s="64">
        <f>COUNTIFS(キャラ!$C:$C,"=3",キャラ!$D:$D,"=光",キャラ!$G:$G,"&gt;30",キャラ!$G:$G,"&lt;=40")</f>
        <v>9</v>
      </c>
      <c r="G12" s="64">
        <f>COUNTIFS(キャラ!$C:$C,"=3",キャラ!$D:$D,"=光",キャラ!$G:$G,"&gt;40",キャラ!$G:$G,"&lt;=50")</f>
        <v>1</v>
      </c>
      <c r="H12" s="105">
        <f>COUNTIFS(キャラ!$C:$C,"=3",キャラ!$D:$D,"=光",キャラ!$G:$G,"&gt;50",キャラ!$G:$G,"&lt;=70")</f>
        <v>0</v>
      </c>
      <c r="I12" s="83">
        <f t="shared" si="0"/>
        <v>10</v>
      </c>
      <c r="J12" s="64">
        <f>COUNTIFS(キャラ!$C:$C,"=3",キャラ!$D:$D,"=光",キャラ!$H:$H,"=70")</f>
        <v>2</v>
      </c>
      <c r="L12" s="334"/>
      <c r="M12" s="127">
        <v>4</v>
      </c>
      <c r="N12" s="15">
        <f>39*(J4-H4)</f>
        <v>156</v>
      </c>
      <c r="O12" s="15">
        <f>39*(J7-H7)</f>
        <v>195</v>
      </c>
      <c r="P12" s="15">
        <f>39*(J10-H10)</f>
        <v>78</v>
      </c>
      <c r="Q12" s="15">
        <f>39*(J13-H13)</f>
        <v>78</v>
      </c>
      <c r="R12" s="15">
        <f>39*(J16-H16)</f>
        <v>78</v>
      </c>
      <c r="S12" s="15">
        <f>36*(J19-H19)</f>
        <v>540</v>
      </c>
      <c r="U12" s="131" t="s">
        <v>865</v>
      </c>
      <c r="V12" s="237" t="s">
        <v>118</v>
      </c>
      <c r="W12" s="16">
        <f>4*120</f>
        <v>480</v>
      </c>
      <c r="X12" s="17">
        <f t="shared" ref="X12:AA12" si="6">4*120</f>
        <v>480</v>
      </c>
      <c r="Y12" s="18">
        <v>0</v>
      </c>
      <c r="Z12" s="19">
        <f t="shared" si="6"/>
        <v>480</v>
      </c>
      <c r="AA12" s="20">
        <f t="shared" si="6"/>
        <v>480</v>
      </c>
      <c r="AC12" s="317"/>
      <c r="AD12" s="127" t="s">
        <v>57</v>
      </c>
      <c r="AE12" s="16">
        <v>0</v>
      </c>
      <c r="AF12" s="17">
        <v>0</v>
      </c>
      <c r="AG12" s="18">
        <v>0</v>
      </c>
      <c r="AH12" s="19">
        <v>0</v>
      </c>
      <c r="AI12" s="20">
        <v>0</v>
      </c>
      <c r="AM12" t="s">
        <v>1096</v>
      </c>
      <c r="AN12" s="317" t="s">
        <v>967</v>
      </c>
      <c r="AO12" s="317"/>
      <c r="AP12" s="317"/>
      <c r="AQ12" s="317"/>
      <c r="AR12" s="317"/>
      <c r="AS12" s="317"/>
      <c r="AT12" s="317"/>
      <c r="AV12" s="15"/>
      <c r="AW12" s="279"/>
      <c r="AX12" s="280"/>
      <c r="AY12" s="281"/>
    </row>
    <row r="13" spans="2:54" x14ac:dyDescent="0.25">
      <c r="B13" s="345"/>
      <c r="C13" s="74">
        <v>4</v>
      </c>
      <c r="D13" s="92">
        <f>COUNTIFS(キャラ!$C:$C,"=4",キャラ!$D:$D,"=光",キャラ!$G:$G,"-")</f>
        <v>0</v>
      </c>
      <c r="E13" s="92">
        <f>COUNTIFS(キャラ!$C:$C,"=4",キャラ!$D:$D,"=光",キャラ!$G:$G,"&lt;=30")</f>
        <v>0</v>
      </c>
      <c r="F13" s="92">
        <f>COUNTIFS(キャラ!$C:$C,"=4",キャラ!$D:$D,"=光",キャラ!$G:$G,"&gt;30",キャラ!$G:$G,"&lt;=40")</f>
        <v>7</v>
      </c>
      <c r="G13" s="92">
        <f>COUNTIFS(キャラ!$C:$C,"=4",キャラ!$D:$D,"=光",キャラ!$G:$G,"&gt;40",キャラ!$G:$G,"&lt;=50")</f>
        <v>8</v>
      </c>
      <c r="H13" s="106">
        <f>COUNTIFS(キャラ!$C:$C,"=4",キャラ!$D:$D,"=光",キャラ!$G:$G,"&gt;50",キャラ!$G:$G,"&lt;=70")</f>
        <v>1</v>
      </c>
      <c r="I13" s="74">
        <f t="shared" si="0"/>
        <v>16</v>
      </c>
      <c r="J13" s="92">
        <f>COUNTIFS(キャラ!$C:$C,"=4",キャラ!$D:$D,"=光",キャラ!$H:$H,"=70")</f>
        <v>3</v>
      </c>
      <c r="L13" s="334"/>
      <c r="M13" s="127">
        <v>5</v>
      </c>
      <c r="N13" s="15">
        <f>48*(J5-H5)</f>
        <v>192</v>
      </c>
      <c r="O13" s="15">
        <f>48*(J8-H8)</f>
        <v>288</v>
      </c>
      <c r="P13" s="15">
        <f>48*(J11-H11)</f>
        <v>192</v>
      </c>
      <c r="Q13" s="15">
        <f>48*(J14-H14)</f>
        <v>240</v>
      </c>
      <c r="R13" s="15">
        <f>48*(J17-H17)</f>
        <v>336</v>
      </c>
      <c r="S13" s="15">
        <f>48*(J20-H20)</f>
        <v>1248</v>
      </c>
      <c r="AC13" s="317"/>
      <c r="AD13" s="317" t="s">
        <v>30</v>
      </c>
      <c r="AE13" s="127">
        <v>35</v>
      </c>
      <c r="AF13" s="127">
        <v>35</v>
      </c>
      <c r="AG13" s="127">
        <v>35</v>
      </c>
      <c r="AH13" s="317">
        <v>35</v>
      </c>
      <c r="AI13" s="127">
        <v>35</v>
      </c>
      <c r="AM13" s="288">
        <f>248/348*100</f>
        <v>71.264367816091962</v>
      </c>
      <c r="AN13" s="315" t="s">
        <v>939</v>
      </c>
      <c r="AO13" s="248" t="s">
        <v>56</v>
      </c>
      <c r="AP13" s="288">
        <f>(AP3+SUM(武器!I142:N142))/(武器!$BB134*9+AP8)*100</f>
        <v>85.246876859012488</v>
      </c>
      <c r="AQ13" s="288">
        <f>(AQ3+SUM(武器!O142:T142))/(武器!$BB134*9+AQ8)*100</f>
        <v>82.62938726948245</v>
      </c>
      <c r="AR13" s="288">
        <f>(AR3+SUM(武器!C142:H142))/(武器!$BB134*9+AR8)*100</f>
        <v>83.365261813537671</v>
      </c>
      <c r="AS13" s="288">
        <f>(AS3+SUM(武器!AA142:AF142))/(武器!$BB134*9+AS8)*100</f>
        <v>87.031528851873887</v>
      </c>
      <c r="AT13" s="288">
        <f>(AT3+SUM(武器!U142:Z142))/(武器!$BB134*9+AT8)*100</f>
        <v>90.095181439619282</v>
      </c>
      <c r="AV13" s="15" t="s">
        <v>905</v>
      </c>
      <c r="AW13" s="326">
        <v>2087</v>
      </c>
      <c r="AX13" s="280"/>
      <c r="AY13" s="253">
        <v>111</v>
      </c>
      <c r="AZ13" s="322">
        <f>(AW13+SUM(武器!$AA28,武器!$AA40,武器!$AA52,武器!$AA64,武器!$AA76)*武器!AY39+SUM(武器!$AA29,武器!$AA41,武器!$AA53,武器!$AA65,武器!$AA77)*武器!AY40)/(9*SUM(武器!$BD39:$BH39)*武器!AY39+9*SUM(武器!$BD40:$BH40)*武器!AY40)*100</f>
        <v>162.32098765432099</v>
      </c>
      <c r="BB13" s="278">
        <f>(AY13+SUM(武器!$AA28,武器!$AA40,武器!$AA52,武器!$AA64,武器!$AA76)*武器!BA39)/(9*SUM(武器!$BD39:$BH39)*武器!BA39)*100</f>
        <v>470.37037037037032</v>
      </c>
    </row>
    <row r="14" spans="2:54" x14ac:dyDescent="0.25">
      <c r="B14" s="346"/>
      <c r="C14" s="84">
        <v>5</v>
      </c>
      <c r="D14" s="69">
        <f>COUNTIFS(キャラ!$C:$C,"=5",キャラ!$D:$D,"=光",キャラ!$G:$G,"-")</f>
        <v>3</v>
      </c>
      <c r="E14" s="69">
        <f>COUNTIFS(キャラ!$C:$C,"=5",キャラ!$D:$D,"=光",キャラ!$G:$G,"&lt;=30")</f>
        <v>0</v>
      </c>
      <c r="F14" s="69">
        <f>COUNTIFS(キャラ!$C:$C,"=5",キャラ!$D:$D,"=光",キャラ!$G:$G,"&gt;30",キャラ!$G:$G,"&lt;=40")</f>
        <v>0</v>
      </c>
      <c r="G14" s="69">
        <f>COUNTIFS(キャラ!$C:$C,"=5",キャラ!$D:$D,"=光",キャラ!$G:$G,"&gt;40",キャラ!$G:$G,"&lt;=50")</f>
        <v>20</v>
      </c>
      <c r="H14" s="107">
        <f>COUNTIFS(キャラ!$C:$C,"=5",キャラ!$D:$D,"=光",キャラ!$G:$G,"&gt;50",キャラ!$G:$G,"&lt;=70")</f>
        <v>2</v>
      </c>
      <c r="I14" s="84">
        <f t="shared" si="0"/>
        <v>25</v>
      </c>
      <c r="J14" s="69">
        <f>COUNTIFS(キャラ!$C:$C,"=5",キャラ!$D:$D,"=光",キャラ!$H:$H,"=70")</f>
        <v>7</v>
      </c>
      <c r="L14" s="334"/>
      <c r="M14" s="237" t="s">
        <v>49</v>
      </c>
      <c r="N14" s="15">
        <f>SUM(N11:N13)</f>
        <v>522</v>
      </c>
      <c r="O14" s="15">
        <f t="shared" ref="O14:R14" si="7">SUM(O11:O13)</f>
        <v>541</v>
      </c>
      <c r="P14" s="15">
        <f t="shared" si="7"/>
        <v>328</v>
      </c>
      <c r="Q14" s="15">
        <f t="shared" si="7"/>
        <v>376</v>
      </c>
      <c r="R14" s="15">
        <f t="shared" si="7"/>
        <v>443</v>
      </c>
      <c r="S14" s="15">
        <f>SUM(S11:S13)</f>
        <v>2139</v>
      </c>
      <c r="U14" s="317" t="s">
        <v>945</v>
      </c>
      <c r="V14" s="317"/>
      <c r="W14" s="317"/>
      <c r="X14" s="317"/>
      <c r="Y14" s="317"/>
      <c r="Z14" s="317"/>
      <c r="AA14" s="317"/>
      <c r="AC14" s="317"/>
      <c r="AD14" s="317"/>
      <c r="AE14" s="127">
        <v>35</v>
      </c>
      <c r="AF14" s="127">
        <v>35</v>
      </c>
      <c r="AG14" s="127">
        <v>35</v>
      </c>
      <c r="AH14" s="317"/>
      <c r="AI14" s="127">
        <v>35</v>
      </c>
      <c r="AM14" s="288">
        <f>180/280*100</f>
        <v>64.285714285714292</v>
      </c>
      <c r="AN14" s="315"/>
      <c r="AO14" s="248" t="s">
        <v>57</v>
      </c>
      <c r="AP14" s="288">
        <f>(AP4+SUM(武器!I143:N143))/(武器!$BB135*9+AP9)*100</f>
        <v>86.692307692307693</v>
      </c>
      <c r="AQ14" s="288">
        <f>(AQ4+SUM(武器!O143:T143))/(武器!$BB135*9+AQ9)*100</f>
        <v>84.538461538461547</v>
      </c>
      <c r="AR14" s="288">
        <f>(AR4+SUM(武器!C143:H143))/(武器!$BB135*9+AR9)*100</f>
        <v>87.738095238095241</v>
      </c>
      <c r="AS14" s="288">
        <f>(AS4+SUM(武器!AA143:AF143))/(武器!$BB135*9+AS9)*100</f>
        <v>93.807692307692307</v>
      </c>
      <c r="AT14" s="288">
        <f>(AT4+SUM(武器!U143:Z143))/(武器!$BB135*9+AT9)*100</f>
        <v>99.730769230769241</v>
      </c>
      <c r="AV14" s="15" t="s">
        <v>906</v>
      </c>
      <c r="AW14" s="326"/>
      <c r="AX14" s="262">
        <v>400</v>
      </c>
      <c r="AY14" s="253">
        <v>84</v>
      </c>
      <c r="AZ14" s="322"/>
      <c r="BA14" s="278">
        <f>(AX14+SUM(武器!$AA29,武器!$AA41,武器!$AA53,武器!$AA65,武器!$AA77)*武器!AZ40)/(9*SUM(武器!$BD40:$BH40)*武器!AZ40)*100</f>
        <v>270.89947089947088</v>
      </c>
      <c r="BB14" s="278">
        <f>(AY14+SUM(武器!$AA29,武器!$AA41,武器!$AA53,武器!$AA65,武器!$AA77)*武器!BA40)/(9*SUM(武器!$BD40:$BH40)*武器!BA40)*100</f>
        <v>370.37037037037038</v>
      </c>
    </row>
    <row r="15" spans="2:54" ht="13.95" customHeight="1" x14ac:dyDescent="0.25">
      <c r="B15" s="347" t="s">
        <v>636</v>
      </c>
      <c r="C15" s="85">
        <v>3</v>
      </c>
      <c r="D15" s="65">
        <f>COUNTIFS(キャラ!$C:$C,"=3",キャラ!$D:$D,"=闇",キャラ!$G:$G,"-")</f>
        <v>0</v>
      </c>
      <c r="E15" s="65">
        <f>COUNTIFS(キャラ!$C:$C,"=3",キャラ!$D:$D,"=闇",キャラ!$G:$G,"&lt;=30")</f>
        <v>0</v>
      </c>
      <c r="F15" s="65">
        <f>COUNTIFS(キャラ!$C:$C,"=3",キャラ!$D:$D,"=闇",キャラ!$G:$G,"&gt;30",キャラ!$G:$G,"&lt;=40")</f>
        <v>6</v>
      </c>
      <c r="G15" s="65">
        <f>COUNTIFS(キャラ!$C:$C,"=3",キャラ!$D:$D,"=闇",キャラ!$G:$G,"&gt;40",キャラ!$G:$G,"&lt;=50")</f>
        <v>0</v>
      </c>
      <c r="H15" s="108">
        <f>COUNTIFS(キャラ!$C:$C,"=3",キャラ!$D:$D,"=闇",キャラ!$G:$G,"&gt;50",キャラ!$G:$G,"&lt;=70")</f>
        <v>2</v>
      </c>
      <c r="I15" s="85">
        <f t="shared" si="0"/>
        <v>8</v>
      </c>
      <c r="J15" s="65">
        <f>COUNTIFS(キャラ!$C:$C,"=3",キャラ!$D:$D,"=闇",キャラ!$H:$H,"=70")</f>
        <v>3</v>
      </c>
      <c r="L15" s="2"/>
      <c r="M15" s="2"/>
      <c r="N15" s="2"/>
      <c r="O15" s="2"/>
      <c r="P15" s="2"/>
      <c r="Q15" s="2"/>
      <c r="R15" s="2"/>
      <c r="U15" s="315" t="s">
        <v>939</v>
      </c>
      <c r="V15" s="131" t="s">
        <v>118</v>
      </c>
      <c r="W15" s="288">
        <f>(W3+SUM(武器!C119:H119))/(武器!$AZ111*9+W7+W9+W12)*100</f>
        <v>69.056224899598391</v>
      </c>
      <c r="X15" s="288">
        <f>(X3+SUM(武器!I119:N119))/(武器!$AZ111*9+X7+X9+X12)*100</f>
        <v>62.710843373493972</v>
      </c>
      <c r="Y15" s="288">
        <f>(Y3+SUM(武器!O119:T119))/(武器!$AZ111*9+Y7+Y9+Y12)*100</f>
        <v>66.266666666666666</v>
      </c>
      <c r="Z15" s="288">
        <f>(Z3+SUM(武器!U119:Z119))/(武器!$AZ111*9+Z7+Z9+Z12)*100</f>
        <v>71.285140562248998</v>
      </c>
      <c r="AA15" s="288">
        <f>(AA3+SUM(武器!AA119:AF119))/(武器!$AZ111*9+AA7+AA9+AA12)*100</f>
        <v>66.46586345381526</v>
      </c>
      <c r="AB15">
        <f>325/500*100</f>
        <v>65</v>
      </c>
      <c r="AN15" s="315"/>
      <c r="AO15" s="247" t="s">
        <v>120</v>
      </c>
      <c r="AP15" s="288">
        <f>(AP5+SUM(武器!I144:N144))/(武器!$BB136*9)*100</f>
        <v>360.71428571428572</v>
      </c>
      <c r="AQ15" s="288">
        <f>(AQ5+SUM(武器!O144:T144))/(武器!$BB136*9)*100</f>
        <v>407.53968253968253</v>
      </c>
      <c r="AR15" s="288">
        <f>(AR5+SUM(武器!C144:H144))/(武器!$BB136*9)*100</f>
        <v>466.66666666666669</v>
      </c>
      <c r="AS15" s="288">
        <f>(AS5+SUM(武器!AA144:AF144))/(武器!$BB136*9)*100</f>
        <v>451.1904761904762</v>
      </c>
      <c r="AT15" s="288">
        <f>(AT5+SUM(武器!U144:Z144))/(武器!$BB136*9)*100</f>
        <v>453.57142857142856</v>
      </c>
      <c r="AV15" s="15"/>
      <c r="AW15" s="282"/>
      <c r="AX15" s="1"/>
      <c r="AY15" s="281"/>
    </row>
    <row r="16" spans="2:54" x14ac:dyDescent="0.25">
      <c r="B16" s="348"/>
      <c r="C16" s="75">
        <v>4</v>
      </c>
      <c r="D16" s="93">
        <f>COUNTIFS(キャラ!$C:$C,"=4",キャラ!$D:$D,"=闇",キャラ!$G:$G,"-")</f>
        <v>0</v>
      </c>
      <c r="E16" s="93">
        <f>COUNTIFS(キャラ!$C:$C,"=4",キャラ!$D:$D,"=闇",キャラ!$G:$G,"&lt;=30")</f>
        <v>0</v>
      </c>
      <c r="F16" s="93">
        <f>COUNTIFS(キャラ!$C:$C,"=4",キャラ!$D:$D,"=闇",キャラ!$G:$G,"&gt;30",キャラ!$G:$G,"&lt;=40")</f>
        <v>5</v>
      </c>
      <c r="G16" s="93">
        <f>COUNTIFS(キャラ!$C:$C,"=4",キャラ!$D:$D,"=闇",キャラ!$G:$G,"&gt;40",キャラ!$G:$G,"&lt;=50")</f>
        <v>5</v>
      </c>
      <c r="H16" s="109">
        <f>COUNTIFS(キャラ!$C:$C,"=4",キャラ!$D:$D,"=闇",キャラ!$G:$G,"&gt;50",キャラ!$G:$G,"&lt;=70")</f>
        <v>2</v>
      </c>
      <c r="I16" s="75">
        <f t="shared" si="0"/>
        <v>12</v>
      </c>
      <c r="J16" s="93">
        <f>COUNTIFS(キャラ!$C:$C,"=4",キャラ!$D:$D,"=闇",キャラ!$H:$H,"=70")</f>
        <v>4</v>
      </c>
      <c r="L16" s="333" t="s">
        <v>103</v>
      </c>
      <c r="M16" s="127" t="s">
        <v>55</v>
      </c>
      <c r="N16" s="16">
        <v>0</v>
      </c>
      <c r="O16" s="17">
        <v>0</v>
      </c>
      <c r="P16" s="18">
        <v>0</v>
      </c>
      <c r="Q16" s="19">
        <v>0</v>
      </c>
      <c r="R16" s="20">
        <v>0</v>
      </c>
      <c r="U16" s="315"/>
      <c r="V16" s="127" t="s">
        <v>67</v>
      </c>
      <c r="W16" s="288">
        <f>(W4+SUM(武器!C120:H120))/(武器!$AZ112*9)*100</f>
        <v>74.753086419753089</v>
      </c>
      <c r="X16" s="288">
        <f>(X4+SUM(武器!I120:N120))/(武器!$AZ112*9)*100</f>
        <v>76.141975308641975</v>
      </c>
      <c r="Y16" s="288">
        <f>(Y4+SUM(武器!O120:T120))/(武器!$AZ112*9)*100</f>
        <v>67.407407407407405</v>
      </c>
      <c r="Z16" s="288">
        <f>(Z4+SUM(武器!U120:Z120))/(武器!$AZ112*9)*100</f>
        <v>71.913580246913583</v>
      </c>
      <c r="AA16" s="288">
        <f>(AA4+SUM(武器!AA120:AF120))/(武器!$AZ112*9)*100</f>
        <v>78.364197530864203</v>
      </c>
      <c r="AB16">
        <f>230/360*100</f>
        <v>63.888888888888886</v>
      </c>
      <c r="AC16" s="317" t="s">
        <v>946</v>
      </c>
      <c r="AD16" s="317"/>
      <c r="AE16" s="317"/>
      <c r="AF16" s="317"/>
      <c r="AG16" s="317"/>
      <c r="AH16" s="317"/>
      <c r="AI16" s="317"/>
      <c r="AJ16" s="2"/>
      <c r="AK16" s="2"/>
      <c r="AL16" s="2"/>
      <c r="AM16" s="4"/>
      <c r="AN16" s="325" t="s">
        <v>964</v>
      </c>
      <c r="AO16" s="304" t="s">
        <v>124</v>
      </c>
      <c r="AP16" s="288">
        <f>((武器!$BB134*9+AP8)-(AP3+SUM(武器!I142:N142))-AP17*2.5)/7.5</f>
        <v>15.3</v>
      </c>
      <c r="AQ16" s="288">
        <f>((武器!$BB134*9+AQ8)-(AQ3+SUM(武器!O142:T142))-AQ17*2.5)/7.5</f>
        <v>18.275757575757574</v>
      </c>
      <c r="AR16" s="288">
        <f>((武器!$BB134*9+AR8)-(AR3+SUM(武器!C142:H142))-AR17*2.5)/7.5</f>
        <v>8.7393939393939331</v>
      </c>
      <c r="AS16" s="288">
        <f>((武器!$BB134*9+AS8)-(AS3+SUM(武器!AA142:AF142))-AS17*2.5)/7.5</f>
        <v>8.1484848484848431</v>
      </c>
      <c r="AT16" s="288">
        <f>((武器!$BB134*9+AT8)-(AT3+SUM(武器!U142:Z142))-AT17*2.5)/7.5</f>
        <v>3.4757575757575752</v>
      </c>
      <c r="AV16" s="15" t="s">
        <v>907</v>
      </c>
      <c r="AW16" s="326">
        <v>2324</v>
      </c>
      <c r="AX16" s="280"/>
      <c r="AY16" s="253">
        <v>54</v>
      </c>
      <c r="AZ16" s="322">
        <f>(AW16+SUM(武器!$AA31,武器!$AA43,武器!$AA55,武器!$AA67,武器!$AA79)*武器!AY42+SUM(武器!$AA32,武器!$AA44,武器!$AA56,武器!$AA68,武器!$AA80)*武器!AY43+SUM(武器!$AA33,武器!$AA45,武器!$AA57,武器!$AA69,武器!$AA81)*武器!AY44) / (9*SUM(武器!$BD42:$BH42)*武器!AY42+9*SUM(武器!$BD43:$BH43)*武器!AY43+9*SUM(武器!$BD44:$BH44)*武器!AY44) *100</f>
        <v>102.71604938271605</v>
      </c>
      <c r="BB16" s="278">
        <f>(AY16+SUM(武器!$AA31,武器!$AA43,武器!$AA55,武器!$AA67,武器!$AA79)*武器!BA42)/(9*SUM(武器!$BD42:$BH42)*武器!BA42)*100</f>
        <v>180.55555555555557</v>
      </c>
    </row>
    <row r="17" spans="2:57" ht="14.4" thickBot="1" x14ac:dyDescent="0.3">
      <c r="B17" s="349"/>
      <c r="C17" s="110">
        <v>5</v>
      </c>
      <c r="D17" s="111">
        <f>COUNTIFS(キャラ!$C:$C,"=5",キャラ!$D:$D,"=闇",キャラ!$G:$G,"-")</f>
        <v>4</v>
      </c>
      <c r="E17" s="111">
        <f>COUNTIFS(キャラ!$C:$C,"=5",キャラ!$D:$D,"=闇",キャラ!$G:$G,"&lt;=30")</f>
        <v>0</v>
      </c>
      <c r="F17" s="111">
        <f>COUNTIFS(キャラ!$C:$C,"=5",キャラ!$D:$D,"=闇",キャラ!$G:$G,"&gt;30",キャラ!$G:$G,"&lt;=40")</f>
        <v>0</v>
      </c>
      <c r="G17" s="111">
        <f>COUNTIFS(キャラ!$C:$C,"=5",キャラ!$D:$D,"=闇",キャラ!$G:$G,"&gt;40",キャラ!$G:$G,"&lt;=50")</f>
        <v>19</v>
      </c>
      <c r="H17" s="112">
        <f>COUNTIFS(キャラ!$C:$C,"=5",キャラ!$D:$D,"=闇",キャラ!$G:$G,"&gt;50",キャラ!$G:$G,"&lt;=70")</f>
        <v>1</v>
      </c>
      <c r="I17" s="86">
        <f t="shared" si="0"/>
        <v>24</v>
      </c>
      <c r="J17" s="70">
        <f>COUNTIFS(キャラ!$C:$C,"=5",キャラ!$D:$D,"=闇",キャラ!$H:$H,"=70")</f>
        <v>8</v>
      </c>
      <c r="L17" s="333"/>
      <c r="M17" s="127" t="s">
        <v>56</v>
      </c>
      <c r="N17" s="16">
        <v>0</v>
      </c>
      <c r="O17" s="17">
        <v>0</v>
      </c>
      <c r="P17" s="18">
        <v>0</v>
      </c>
      <c r="Q17" s="19">
        <v>0</v>
      </c>
      <c r="R17" s="20">
        <v>0</v>
      </c>
      <c r="U17" s="315"/>
      <c r="V17" s="127" t="s">
        <v>68</v>
      </c>
      <c r="W17" s="288">
        <f>(W5+SUM(武器!C121:H121))/(武器!$AZ113*9)*100</f>
        <v>96.666666666666671</v>
      </c>
      <c r="X17" s="288">
        <f>(X5+SUM(武器!I121:N121))/(武器!$AZ113*9)*100</f>
        <v>101.60493827160492</v>
      </c>
      <c r="Y17" s="288">
        <f>(Y5+SUM(武器!O121:T121))/(武器!$AZ113*9)*100</f>
        <v>99.382716049382708</v>
      </c>
      <c r="Z17" s="288">
        <f>(Z5+SUM(武器!U121:Z121))/(武器!$AZ113*9)*100</f>
        <v>104.07407407407408</v>
      </c>
      <c r="AA17" s="288">
        <f>(AA5+SUM(武器!AA121:AF121))/(武器!$AZ113*9)*100</f>
        <v>96.666666666666671</v>
      </c>
      <c r="AB17">
        <f>60/90*100</f>
        <v>66.666666666666657</v>
      </c>
      <c r="AC17" s="315" t="s">
        <v>939</v>
      </c>
      <c r="AD17" s="131" t="s">
        <v>11</v>
      </c>
      <c r="AE17" s="278">
        <f>(AE3+SUM(武器!C15:G15))/(武器!$AU$7*9+AE11)*100</f>
        <v>313.25925925925924</v>
      </c>
      <c r="AF17" s="278">
        <f>(AF3+SUM(武器!H15:L15))/(武器!$AU$7*9+AF11)*100</f>
        <v>293.85185185185185</v>
      </c>
      <c r="AG17" s="278">
        <f>(AG3+SUM(武器!M15:Q15))/(武器!$AU$7*9+AG11)*100</f>
        <v>325.4444444444444</v>
      </c>
      <c r="AH17" s="278">
        <f>(AH3+SUM(武器!R15:V15))/(武器!$AU$7*9+AH11)*100</f>
        <v>433.22222222222229</v>
      </c>
      <c r="AI17" s="278">
        <f>(AI3+SUM(武器!W15:AA15))/(武器!$AU$7*9+AI11)*100</f>
        <v>360.51851851851848</v>
      </c>
      <c r="AN17" s="325"/>
      <c r="AO17" s="304" t="s">
        <v>115</v>
      </c>
      <c r="AP17" s="288">
        <f>((武器!$BB135*9+AP9)-(AP4+SUM(武器!I143:N143))-AP18*3)/5.5</f>
        <v>152.5</v>
      </c>
      <c r="AQ17" s="288">
        <f>((武器!$BB135*9+AQ9)-(AQ4+SUM(武器!O143:T143))-AQ18*3)/5.5</f>
        <v>178.77272727272728</v>
      </c>
      <c r="AR17" s="288">
        <f>((武器!$BB135*9+AR9)-(AR4+SUM(武器!C143:H143))-AR18*3)/5.5</f>
        <v>182.18181818181819</v>
      </c>
      <c r="AS17" s="288">
        <f>((武器!$BB135*9+AS9)-(AS4+SUM(武器!AA143:AF143))-AS18*3)/5.5</f>
        <v>149.95454545454547</v>
      </c>
      <c r="AT17" s="288">
        <f>((武器!$BB135*9+AT9)-(AT4+SUM(武器!U143:Z143))-AT18*3)/5.5</f>
        <v>122.77272727272727</v>
      </c>
      <c r="AV17" s="15" t="s">
        <v>908</v>
      </c>
      <c r="AW17" s="326"/>
      <c r="AX17" s="262">
        <v>368</v>
      </c>
      <c r="AY17" s="253">
        <v>68</v>
      </c>
      <c r="AZ17" s="322"/>
      <c r="BA17" s="278">
        <f>(AX17+SUM(武器!$AA32,武器!$AA44,武器!$AA56,武器!$AA68,武器!$AA80)*武器!AZ43)/(9*SUM(武器!$BD43:$BH43)*武器!AZ43)*100</f>
        <v>239.15343915343917</v>
      </c>
      <c r="BB17" s="278">
        <f>(AY17+SUM(武器!$AA32,武器!$AA44,武器!$AA56,武器!$AA68,武器!$AA80)*武器!BA43)/(9*SUM(武器!$BD43:$BH43)*武器!BA43)*100</f>
        <v>296.2962962962963</v>
      </c>
    </row>
    <row r="18" spans="2:57" ht="13.95" customHeight="1" x14ac:dyDescent="0.25">
      <c r="B18" s="350" t="s">
        <v>49</v>
      </c>
      <c r="C18" s="49">
        <v>3</v>
      </c>
      <c r="D18" s="94">
        <f t="shared" ref="D18:J20" si="8">D3+D6+D9+D12+D15</f>
        <v>0</v>
      </c>
      <c r="E18" s="94">
        <f t="shared" si="8"/>
        <v>0</v>
      </c>
      <c r="F18" s="94">
        <f t="shared" si="8"/>
        <v>30</v>
      </c>
      <c r="G18" s="94">
        <f t="shared" si="8"/>
        <v>6</v>
      </c>
      <c r="H18" s="94">
        <f t="shared" si="8"/>
        <v>4</v>
      </c>
      <c r="I18" s="94">
        <f t="shared" si="8"/>
        <v>40</v>
      </c>
      <c r="J18" s="94">
        <f t="shared" si="8"/>
        <v>17</v>
      </c>
      <c r="L18" s="333"/>
      <c r="M18" s="127" t="s">
        <v>57</v>
      </c>
      <c r="N18" s="16">
        <v>0</v>
      </c>
      <c r="O18" s="17">
        <v>0</v>
      </c>
      <c r="P18" s="18">
        <v>0</v>
      </c>
      <c r="Q18" s="19">
        <v>0</v>
      </c>
      <c r="R18" s="20">
        <v>0</v>
      </c>
      <c r="U18" s="325" t="s">
        <v>964</v>
      </c>
      <c r="V18" s="125" t="s">
        <v>124</v>
      </c>
      <c r="W18" s="288">
        <f>((武器!$AZ111*9+W7+W9+W12)-(W3+SUM(武器!C119:H119))-W20*9.5-W19*8)/6</f>
        <v>-15.383333333333326</v>
      </c>
      <c r="X18" s="288">
        <f>((武器!$AZ111*9+X7+X9+X12)-(X3+SUM(武器!I119:N119))-X20*9.5-X19*8)/6</f>
        <v>51.616666666666674</v>
      </c>
      <c r="Y18" s="288">
        <f>((武器!$AZ111*9+Y7+Y9+Y12)-(Y3+SUM(武器!O119:T119))-Y20*9.5-Y19*8)/6</f>
        <v>-98.916666666666671</v>
      </c>
      <c r="Z18" s="288">
        <f>((武器!$AZ111*9+Z7+Z9+Z12)-(Z3+SUM(武器!U119:Z119))-Z20*9.5-Z19*8)/6</f>
        <v>-65.55</v>
      </c>
      <c r="AA18" s="288">
        <f>((武器!$AZ111*9+AA7+AA9+AA12)-(AA3+SUM(武器!AA119:AF119))-AA20*9.5-AA19*8)/6</f>
        <v>45.116666666666674</v>
      </c>
      <c r="AC18" s="315"/>
      <c r="AD18" s="131" t="s">
        <v>12</v>
      </c>
      <c r="AE18" s="278">
        <f>(AE4+SUM(武器!C16:G16))/(武器!$AU$8*9+AE12)*100</f>
        <v>156.05555555555554</v>
      </c>
      <c r="AF18" s="278">
        <f>(AF4+SUM(武器!H16:L16))/(武器!$AU$8*9+AF12)*100</f>
        <v>128.87037037037038</v>
      </c>
      <c r="AG18" s="278">
        <f>(AG4+SUM(武器!M16:Q16))/(武器!$AU$8*9+AG12)*100</f>
        <v>155.53703703703704</v>
      </c>
      <c r="AH18" s="278">
        <f>(AH4+SUM(武器!R16:V16))/(武器!$AU$8*9+AH12)*100</f>
        <v>208.46296296296299</v>
      </c>
      <c r="AI18" s="278">
        <f>(AI4+SUM(武器!W16:AA16))/(武器!$AU$8*9+AI12)*100</f>
        <v>239.09259259259258</v>
      </c>
      <c r="AN18" s="325"/>
      <c r="AO18" s="303" t="s">
        <v>120</v>
      </c>
      <c r="AP18" s="288">
        <f>((武器!$BB136*9)-(AP5+SUM(武器!I144:N144)))/4</f>
        <v>-164.25</v>
      </c>
      <c r="AQ18" s="288">
        <f>((武器!$BB136*9)-(AQ5+SUM(武器!O144:T144)))/4</f>
        <v>-193.75</v>
      </c>
      <c r="AR18" s="288">
        <f>((武器!$BB136*9)-(AR5+SUM(武器!C144:H144)))/4</f>
        <v>-231</v>
      </c>
      <c r="AS18" s="288">
        <f>((武器!$BB136*9)-(AS5+SUM(武器!AA144:AF144)))/4</f>
        <v>-221.25</v>
      </c>
      <c r="AT18" s="288">
        <f>((武器!$BB136*9)-(AT5+SUM(武器!U144:Z144)))/4</f>
        <v>-222.75</v>
      </c>
      <c r="AV18" s="15" t="s">
        <v>909</v>
      </c>
      <c r="AW18" s="326"/>
      <c r="AX18" s="262">
        <v>537</v>
      </c>
      <c r="AY18" s="253">
        <v>91</v>
      </c>
      <c r="AZ18" s="322"/>
      <c r="BA18" s="278">
        <f>(AX18+SUM(武器!$AA33,武器!$AA45,武器!$AA57,武器!$AA69,武器!$AA81)*武器!AZ44)/(9*SUM(武器!$BD44:$BH44)*武器!AZ44)*100</f>
        <v>257.53968253968253</v>
      </c>
      <c r="BB18" s="278">
        <f>(AY18+SUM(武器!$AA33,武器!$AA45,武器!$AA57,武器!$AA69,武器!$AA81)*武器!BA44)/(9*SUM(武器!$BD44:$BH44)*武器!BA44)*100</f>
        <v>297.22222222222223</v>
      </c>
    </row>
    <row r="19" spans="2:57" ht="13.95" customHeight="1" x14ac:dyDescent="0.25">
      <c r="B19" s="351"/>
      <c r="C19" s="49">
        <v>4</v>
      </c>
      <c r="D19" s="94">
        <f t="shared" si="8"/>
        <v>0</v>
      </c>
      <c r="E19" s="94">
        <f t="shared" si="8"/>
        <v>0</v>
      </c>
      <c r="F19" s="94">
        <f t="shared" si="8"/>
        <v>26</v>
      </c>
      <c r="G19" s="94">
        <f t="shared" si="8"/>
        <v>37</v>
      </c>
      <c r="H19" s="94">
        <f t="shared" si="8"/>
        <v>8</v>
      </c>
      <c r="I19" s="94">
        <f t="shared" si="8"/>
        <v>71</v>
      </c>
      <c r="J19" s="94">
        <f t="shared" si="8"/>
        <v>23</v>
      </c>
      <c r="L19" s="333"/>
      <c r="M19" s="127" t="s">
        <v>110</v>
      </c>
      <c r="N19" s="16">
        <v>0</v>
      </c>
      <c r="O19" s="17">
        <v>0</v>
      </c>
      <c r="P19" s="18">
        <v>0</v>
      </c>
      <c r="Q19" s="19">
        <v>0</v>
      </c>
      <c r="R19" s="20">
        <v>0</v>
      </c>
      <c r="U19" s="325"/>
      <c r="V19" s="125" t="s">
        <v>115</v>
      </c>
      <c r="W19" s="288">
        <f>((武器!$AZ112*9)-(W4+SUM(武器!C120:H120))-W20*5)/4</f>
        <v>197.75</v>
      </c>
      <c r="X19" s="288">
        <f>((武器!$AZ112*9)-(X4+SUM(武器!I120:N120))-X20*5)/4</f>
        <v>196.5</v>
      </c>
      <c r="Y19" s="288">
        <f>((武器!$AZ112*9)-(Y4+SUM(武器!O120:T120))-Y20*5)/4</f>
        <v>262.75</v>
      </c>
      <c r="Z19" s="288">
        <f>((武器!$AZ112*9)-(Z4+SUM(武器!U120:Z120))-Z20*5)/4</f>
        <v>235.75</v>
      </c>
      <c r="AA19" s="288">
        <f>((武器!$AZ112*9)-(AA4+SUM(武器!AA120:AF120))-AA20*5)/4</f>
        <v>168.5</v>
      </c>
      <c r="AC19" s="317" t="s">
        <v>940</v>
      </c>
      <c r="AD19" s="317"/>
      <c r="AE19" s="317"/>
      <c r="AF19" s="317"/>
      <c r="AG19" s="317"/>
      <c r="AH19" s="317"/>
      <c r="AI19" s="317"/>
      <c r="AK19" t="s">
        <v>1096</v>
      </c>
      <c r="AL19" t="s">
        <v>1098</v>
      </c>
      <c r="AM19" t="s">
        <v>1097</v>
      </c>
      <c r="AN19" s="314" t="s">
        <v>931</v>
      </c>
      <c r="AO19" s="314"/>
      <c r="AP19" s="314"/>
      <c r="AQ19" s="314"/>
      <c r="AR19" s="314"/>
      <c r="AS19" s="314"/>
      <c r="AT19" s="314"/>
      <c r="AV19" s="15"/>
      <c r="AW19" s="279"/>
      <c r="AX19" s="280"/>
      <c r="AY19" s="281"/>
    </row>
    <row r="20" spans="2:57" x14ac:dyDescent="0.25">
      <c r="B20" s="352"/>
      <c r="C20" s="87">
        <v>5</v>
      </c>
      <c r="D20" s="94">
        <f t="shared" si="8"/>
        <v>19</v>
      </c>
      <c r="E20" s="94">
        <f t="shared" si="8"/>
        <v>0</v>
      </c>
      <c r="F20" s="94">
        <f t="shared" si="8"/>
        <v>0</v>
      </c>
      <c r="G20" s="94">
        <f t="shared" si="8"/>
        <v>93</v>
      </c>
      <c r="H20" s="94">
        <f t="shared" si="8"/>
        <v>7</v>
      </c>
      <c r="I20" s="94">
        <f t="shared" si="8"/>
        <v>119</v>
      </c>
      <c r="J20" s="94">
        <f t="shared" si="8"/>
        <v>33</v>
      </c>
      <c r="L20" s="333"/>
      <c r="M20" s="129" t="s">
        <v>265</v>
      </c>
      <c r="N20" s="127">
        <v>0</v>
      </c>
      <c r="O20" s="127">
        <v>0</v>
      </c>
      <c r="P20" s="130">
        <v>0</v>
      </c>
      <c r="Q20" s="127">
        <v>0</v>
      </c>
      <c r="R20" s="127">
        <v>0</v>
      </c>
      <c r="S20" s="130">
        <f>SUM(N20:R20)</f>
        <v>0</v>
      </c>
      <c r="U20" s="325"/>
      <c r="V20" s="245" t="s">
        <v>120</v>
      </c>
      <c r="W20" s="288">
        <f>((武器!$AZ113*9)-(W5+SUM(武器!C121:H121)))/5</f>
        <v>5.4</v>
      </c>
      <c r="X20" s="288">
        <f>((武器!$AZ113*9)-(X5+SUM(武器!I121:N121)))/5</f>
        <v>-2.6</v>
      </c>
      <c r="Y20" s="288">
        <f>((武器!$AZ113*9)-(Y5+SUM(武器!O121:T121)))/5</f>
        <v>1</v>
      </c>
      <c r="Z20" s="288">
        <f>((武器!$AZ113*9)-(Z5+SUM(武器!U121:Z121)))/5</f>
        <v>-6.6</v>
      </c>
      <c r="AA20" s="288">
        <f>((武器!$AZ113*9)-(AA5+SUM(武器!AA121:AF121)))/5</f>
        <v>5.4</v>
      </c>
      <c r="AC20" s="315" t="s">
        <v>939</v>
      </c>
      <c r="AD20" s="238" t="s">
        <v>11</v>
      </c>
      <c r="AE20" s="278">
        <f>(AE3+SUM(武器!C15:G15)+SUM(武器!C20:G20))/(武器!$AU$7*9+武器!$AV$7*9+AE11)*100</f>
        <v>78.31481481481481</v>
      </c>
      <c r="AF20" s="278">
        <f>(AF3+SUM(武器!H15:L15)+SUM(武器!H20:L20))/(武器!$AU$7*9+武器!$AV$7*9+AF11)*100</f>
        <v>73.462962962962962</v>
      </c>
      <c r="AG20" s="278">
        <f>(AG3+SUM(武器!M15:Q15)+SUM(武器!M20:Q20))/(武器!$AU$7*9+武器!$AV$7*9+AG11)*100</f>
        <v>81.3611111111111</v>
      </c>
      <c r="AH20" s="278">
        <f>(AH3+SUM(武器!R15:V15)+SUM(武器!R20:V20))/(武器!$AU$7*9+武器!$AV$7*9+AH11)*100</f>
        <v>108.30555555555557</v>
      </c>
      <c r="AI20" s="278">
        <f>(AI3+SUM(武器!W15:AA15)+SUM(武器!W20:AA20))/(武器!$AU$7*9+武器!$AV$7*9+AI11)*100</f>
        <v>90.129629629629619</v>
      </c>
      <c r="AK20" s="288">
        <f>248/1008*100</f>
        <v>24.603174603174601</v>
      </c>
      <c r="AL20" s="288">
        <f>396/1008*100</f>
        <v>39.285714285714285</v>
      </c>
      <c r="AM20" s="288">
        <f>516/1008*100</f>
        <v>51.19047619047619</v>
      </c>
      <c r="AN20" s="315" t="s">
        <v>939</v>
      </c>
      <c r="AO20" s="248" t="s">
        <v>56</v>
      </c>
      <c r="AP20" s="288">
        <f>(AP3+SUM(武器!I142:N142)+SUM(武器!I147:N147))/(武器!$BB134*9+武器!$BC134*9+AP8)*100</f>
        <v>24.207817275213124</v>
      </c>
      <c r="AQ20" s="288">
        <f>(AQ3+SUM(武器!O142:T142)+SUM(武器!O147:T147))/(武器!$BB134*9+武器!$BC134*9+AQ8)*100</f>
        <v>23.50008042464211</v>
      </c>
      <c r="AR20" s="288">
        <f>(AR3+SUM(武器!C142:H142)+SUM(武器!C147:H147))/(武器!$BB134*9+武器!$BC134*9+AR8)*100</f>
        <v>23.557849885283513</v>
      </c>
      <c r="AS20" s="288">
        <f>(AS3+SUM(武器!AA142:AF142)+SUM(武器!AA147:AF147))/(武器!$BB134*9+武器!$BC134*9+AS8)*100</f>
        <v>24.690365127875179</v>
      </c>
      <c r="AT20" s="288">
        <f>(AT3+SUM(武器!U142:Z142)+SUM(武器!U147:Z147))/(武器!$BB134*9+武器!$BC134*9+AT8)*100</f>
        <v>25.518738941611709</v>
      </c>
      <c r="AV20" s="15" t="s">
        <v>910</v>
      </c>
      <c r="AW20" s="279"/>
      <c r="AX20" s="324">
        <v>4192</v>
      </c>
      <c r="AY20" s="253">
        <v>40</v>
      </c>
      <c r="BA20" s="323">
        <f>(AX20+SUM(武器!$AC28,武器!$AC40,武器!$AC52,武器!$AC64,武器!$AC76)*武器!AZ46+SUM(武器!$AC29,武器!$AC41,武器!$AC53,武器!$AC65,武器!$AC77)*武器!AZ47+SUM(武器!$AC30,武器!$AC42,武器!$AC54,武器!$AC66,武器!$AC78)*武器!AZ48) / (9*SUM(武器!$BD46:$BH46)*武器!AZ46+9*SUM(武器!$BD47:$BH47)*武器!AZ47+9*SUM(武器!$BD48:$BH48)*武器!AZ48) *100</f>
        <v>99.901234567901227</v>
      </c>
      <c r="BB20" s="278">
        <f>(AY20+SUM(武器!$AC28,武器!$AC40,武器!$AC52,武器!$AC64,武器!$AC76)*武器!BA46)/(9*SUM(武器!$BD46:$BH46)*武器!BA46)*100</f>
        <v>100</v>
      </c>
    </row>
    <row r="21" spans="2:57" ht="13.95" customHeight="1" x14ac:dyDescent="0.25">
      <c r="B21" s="329" t="s">
        <v>49</v>
      </c>
      <c r="C21" s="330"/>
      <c r="D21" s="60">
        <f t="shared" ref="D21:J21" si="9">SUM(D18:D20)</f>
        <v>19</v>
      </c>
      <c r="E21" s="60">
        <f t="shared" si="9"/>
        <v>0</v>
      </c>
      <c r="F21" s="60">
        <f t="shared" si="9"/>
        <v>56</v>
      </c>
      <c r="G21" s="60">
        <f t="shared" si="9"/>
        <v>136</v>
      </c>
      <c r="H21" s="60">
        <f t="shared" si="9"/>
        <v>19</v>
      </c>
      <c r="I21" s="60">
        <f t="shared" si="9"/>
        <v>230</v>
      </c>
      <c r="J21" s="60">
        <f t="shared" si="9"/>
        <v>73</v>
      </c>
      <c r="L21" s="333"/>
      <c r="M21" s="127" t="s">
        <v>30</v>
      </c>
      <c r="N21" s="127">
        <v>40</v>
      </c>
      <c r="O21" s="127">
        <v>40</v>
      </c>
      <c r="P21" s="127">
        <v>40</v>
      </c>
      <c r="Q21" s="127">
        <v>40</v>
      </c>
      <c r="R21" s="127">
        <v>40</v>
      </c>
      <c r="U21" s="314" t="s">
        <v>931</v>
      </c>
      <c r="V21" s="314"/>
      <c r="W21" s="314"/>
      <c r="X21" s="314"/>
      <c r="Y21" s="314"/>
      <c r="Z21" s="314"/>
      <c r="AA21" s="314"/>
      <c r="AC21" s="315"/>
      <c r="AD21" s="238" t="s">
        <v>12</v>
      </c>
      <c r="AE21" s="278">
        <f>(AE4+SUM(武器!C16:G16)+SUM(武器!C21:G21))/(武器!$AU$8*9+武器!$AV$8*9+AE12)*100</f>
        <v>39.013888888888886</v>
      </c>
      <c r="AF21" s="278">
        <f>(AF4+SUM(武器!H16:L16)+SUM(武器!H21:L21))/(武器!$AU$8*9+武器!$AV$8*9+AF12)*100</f>
        <v>32.217592592592595</v>
      </c>
      <c r="AG21" s="278">
        <f>(AG4+SUM(武器!M16:Q16)+SUM(武器!M21:Q21))/(武器!$AU$8*9+武器!$AV$8*9+AG12)*100</f>
        <v>38.88425925925926</v>
      </c>
      <c r="AH21" s="278">
        <f>(AH4+SUM(武器!R16:V16)+SUM(武器!R21:V21))/(武器!$AU$8*9+武器!$AV$8*9+AH12)*100</f>
        <v>52.115740740740748</v>
      </c>
      <c r="AI21" s="278">
        <f>(AI4+SUM(武器!W16:AA16)+SUM(武器!W21:AA21))/(武器!$AU$8*9+武器!$AV$8*9+AI12)*100</f>
        <v>59.773148148148145</v>
      </c>
      <c r="AK21" s="288">
        <f>180/710*100</f>
        <v>25.352112676056336</v>
      </c>
      <c r="AL21" s="288">
        <f>310/710*100</f>
        <v>43.661971830985912</v>
      </c>
      <c r="AM21" s="288">
        <f>410/710*100</f>
        <v>57.74647887323944</v>
      </c>
      <c r="AN21" s="315"/>
      <c r="AO21" s="248" t="s">
        <v>57</v>
      </c>
      <c r="AP21" s="288">
        <f>(AP4+SUM(武器!I143:N143)+SUM(武器!I148:N148))/(武器!$BB135*9+武器!$BC135*9+AP9)*100</f>
        <v>25.561613958560525</v>
      </c>
      <c r="AQ21" s="288">
        <f>(AQ4+SUM(武器!O143:T143)+SUM(武器!O148:T148))/(武器!$BB135*9+武器!$BC135*9+AQ9)*100</f>
        <v>24.950926935659758</v>
      </c>
      <c r="AR21" s="288">
        <f>(AR4+SUM(武器!C143:H143)+SUM(武器!C148:H148))/(武器!$BB135*9+武器!$BC135*9+AR9)*100</f>
        <v>26.413641364136414</v>
      </c>
      <c r="AS21" s="288">
        <f>(AS4+SUM(武器!AA143:AF143)+SUM(武器!AA148:AF148))/(武器!$BB135*9+武器!$BC135*9+AS9)*100</f>
        <v>27.579062159214828</v>
      </c>
      <c r="AT21" s="288">
        <f>(AT4+SUM(武器!U143:Z143)+SUM(武器!U148:Z148))/(武器!$BB135*9+武器!$BC135*9+AT9)*100</f>
        <v>29.258451472191933</v>
      </c>
      <c r="AV21" s="15" t="s">
        <v>911</v>
      </c>
      <c r="AW21" s="279"/>
      <c r="AX21" s="324"/>
      <c r="AY21" s="253">
        <v>32</v>
      </c>
      <c r="BA21" s="323"/>
      <c r="BB21" s="278">
        <f>(AY21+SUM(武器!$AC29,武器!$AC41,武器!$AC53,武器!$AC65,武器!$AC77)*武器!BA47)/(9*SUM(武器!$BD47:$BH47)*武器!BA47)*100</f>
        <v>100</v>
      </c>
    </row>
    <row r="22" spans="2:57" ht="13.95" customHeight="1" x14ac:dyDescent="0.25">
      <c r="L22" s="333"/>
      <c r="M22" s="237" t="s">
        <v>928</v>
      </c>
      <c r="N22" s="127"/>
      <c r="O22" s="127"/>
      <c r="P22" s="127"/>
      <c r="Q22" s="127">
        <v>40</v>
      </c>
      <c r="R22" s="127"/>
      <c r="U22" s="315" t="s">
        <v>939</v>
      </c>
      <c r="V22" s="131" t="s">
        <v>118</v>
      </c>
      <c r="W22" s="278">
        <f>(W3+SUM(武器!C119:H119)+SUM(武器!C124:H124))/(武器!$AZ111*9+武器!$BA111*9+W7+W9+W12)*100</f>
        <v>11.734754292480758</v>
      </c>
      <c r="X22" s="278">
        <f>(X3+SUM(武器!I119:N119)+SUM(武器!I124:N124))/(武器!$AZ111*9+武器!$BA111*9+X7+X9+X12)*100</f>
        <v>10.799289520426287</v>
      </c>
      <c r="Y22" s="278">
        <f>(Y3+SUM(武器!O119:T119)+SUM(武器!O124:T124))/(武器!$AZ111*9+武器!$BA111*9+Y7+Y9+Y12)*100</f>
        <v>12.108108108108109</v>
      </c>
      <c r="Z22" s="278">
        <f>(Z3+SUM(武器!U119:Z119)+SUM(武器!U124:Z124))/(武器!$AZ111*9+武器!$BA111*9+Z7+Z9+Z12)*100</f>
        <v>12.063351095322677</v>
      </c>
      <c r="AA22" s="278">
        <f>(AA3+SUM(武器!AA119:AF119)+SUM(武器!AA124:AF124))/(武器!$AZ111*9+武器!$BA111*9+AA7+AA9+AA12)*100</f>
        <v>11.352871521610421</v>
      </c>
      <c r="AL22" s="288">
        <f>49/166*100</f>
        <v>29.518072289156628</v>
      </c>
      <c r="AM22" s="288">
        <f>89/166*100</f>
        <v>53.614457831325304</v>
      </c>
      <c r="AN22" s="315"/>
      <c r="AO22" s="247" t="s">
        <v>120</v>
      </c>
      <c r="AP22" s="288">
        <f>(AP5+SUM(武器!I144:N144)+SUM(武器!I149:N149))/(武器!$BB136*9+武器!$BC136*9)*100</f>
        <v>55.670103092783506</v>
      </c>
      <c r="AQ22" s="288">
        <f>(AQ5+SUM(武器!O144:T144)+SUM(武器!O149:T149))/(武器!$BB136*9+武器!$BC136*9)*100</f>
        <v>62.42840778923253</v>
      </c>
      <c r="AR22" s="288">
        <f>(AR5+SUM(武器!C144:H144)+SUM(武器!C149:H149))/(武器!$BB136*9+武器!$BC136*9)*100</f>
        <v>73.253150057273757</v>
      </c>
      <c r="AS22" s="288">
        <f>(AS5+SUM(武器!AA144:AF144)+SUM(武器!AA149:AF149))/(武器!$BB136*9+武器!$BC136*9)*100</f>
        <v>68.728522336769757</v>
      </c>
      <c r="AT22" s="288">
        <f>(AT5+SUM(武器!U144:Z144)+SUM(武器!U149:Z149))/(武器!$BB136*9+武器!$BC136*9)*100</f>
        <v>69.072164948453604</v>
      </c>
      <c r="AV22" s="15" t="s">
        <v>912</v>
      </c>
      <c r="AW22" s="279"/>
      <c r="AX22" s="324"/>
      <c r="AY22" s="253">
        <v>40</v>
      </c>
      <c r="BA22" s="323"/>
      <c r="BB22" s="278">
        <f>(AY22+SUM(武器!$AC30,武器!$AC42,武器!$AC54,武器!$AC66,武器!$AC78)*武器!BA48)/(9*SUM(武器!$BD48:$BH48)*武器!BA48)*100</f>
        <v>100</v>
      </c>
    </row>
    <row r="23" spans="2:57" x14ac:dyDescent="0.25">
      <c r="U23" s="315"/>
      <c r="V23" s="127" t="s">
        <v>67</v>
      </c>
      <c r="W23" s="278">
        <f>(W4+SUM(武器!C120:H120)+SUM(武器!C125:H125))/(武器!$AZ112*9+武器!$BA112*9)*100</f>
        <v>11.403081914030819</v>
      </c>
      <c r="X23" s="278">
        <f>(X4+SUM(武器!I120:N120)+SUM(武器!I125:N125))/(武器!$AZ112*9+武器!$BA112*9)*100</f>
        <v>11.585563665855636</v>
      </c>
      <c r="Y23" s="278">
        <f>(Y4+SUM(武器!O120:T120)+SUM(武器!O125:T125))/(武器!$AZ112*9+武器!$BA112*9)*100</f>
        <v>12.019464720194648</v>
      </c>
      <c r="Z23" s="278">
        <f>(Z4+SUM(武器!U120:Z120)+SUM(武器!U125:Z125))/(武器!$AZ112*9+武器!$BA112*9)*100</f>
        <v>11.030008110300081</v>
      </c>
      <c r="AA23" s="278">
        <f>(AA4+SUM(武器!AA120:AF120)+SUM(武器!AA125:AF125))/(武器!$AZ112*9+武器!$BA112*9)*100</f>
        <v>11.877534468775345</v>
      </c>
      <c r="AN23" s="315"/>
      <c r="AO23" s="302" t="s">
        <v>1030</v>
      </c>
      <c r="AP23" s="288">
        <f>(AP6+SUM(武器!I150:N150))/(武器!$BC137*9)*100</f>
        <v>0</v>
      </c>
      <c r="AQ23" s="288">
        <f>(AQ6+SUM(武器!O150:T150))/(武器!$BC137*9)*100</f>
        <v>0</v>
      </c>
      <c r="AR23" s="288">
        <f>(AR6+SUM(武器!C150:H150))/(武器!$BC137*9)*100</f>
        <v>124.44444444444444</v>
      </c>
      <c r="AS23" s="288">
        <f>(AS6+SUM(武器!AA150:AF150))/(武器!$BC137*9)*100</f>
        <v>0</v>
      </c>
      <c r="AT23" s="288">
        <f>(AT6+SUM(武器!U150:Z150))/(武器!$BC137*9)*100</f>
        <v>0</v>
      </c>
      <c r="AV23" s="15"/>
      <c r="AW23" s="279"/>
      <c r="AX23" s="280"/>
      <c r="AY23" s="281"/>
    </row>
    <row r="24" spans="2:57" ht="13.8" customHeight="1" x14ac:dyDescent="0.25">
      <c r="U24" s="315"/>
      <c r="V24" s="127" t="s">
        <v>68</v>
      </c>
      <c r="W24" s="278">
        <f>(W5+SUM(武器!C121:H121)+SUM(武器!C126:H126))/(武器!$AZ113*9+武器!$BA113*9)*100</f>
        <v>15.396825396825397</v>
      </c>
      <c r="X24" s="278">
        <f>(X5+SUM(武器!I121:N121)+SUM(武器!I126:N126))/(武器!$AZ113*9+武器!$BA113*9)*100</f>
        <v>16.102292768959437</v>
      </c>
      <c r="Y24" s="278">
        <f>(Y5+SUM(武器!O121:T121)+SUM(武器!O126:T126))/(武器!$AZ113*9+武器!$BA113*9)*100</f>
        <v>17.372134038800706</v>
      </c>
      <c r="Z24" s="278">
        <f>(Z5+SUM(武器!U121:Z121)+SUM(武器!U126:Z126))/(武器!$AZ113*9+武器!$BA113*9)*100</f>
        <v>16.455026455026456</v>
      </c>
      <c r="AA24" s="278">
        <f>(AA5+SUM(武器!AA121:AF121)+SUM(武器!AA126:AF126))/(武器!$AZ113*9+武器!$BA113*9)*100</f>
        <v>15.396825396825397</v>
      </c>
      <c r="AD24" s="3" t="s">
        <v>941</v>
      </c>
      <c r="AE24" s="3" t="s">
        <v>842</v>
      </c>
      <c r="AF24" s="3" t="s">
        <v>942</v>
      </c>
      <c r="AG24" s="318" t="s">
        <v>870</v>
      </c>
      <c r="AH24" s="318"/>
      <c r="AI24" s="318"/>
      <c r="AJ24" s="318"/>
      <c r="AK24" s="318"/>
      <c r="AL24" s="318"/>
      <c r="AN24" s="325" t="s">
        <v>965</v>
      </c>
      <c r="AO24" s="304" t="s">
        <v>124</v>
      </c>
      <c r="AP24" s="288">
        <f>((武器!$BB134*9+武器!$BC134*9+AP8)-(AP3+SUM(武器!I142:N142)+SUM(武器!I147:N147))-AP25*2.5)/7.5</f>
        <v>878.01818181818192</v>
      </c>
      <c r="AQ24" s="288">
        <f>((武器!$BB134*9+武器!$BC134*9+AQ8)-(AQ3+SUM(武器!O142:T142)+SUM(武器!O147:T147))-AQ25*2.5)/7.5</f>
        <v>880.99393939393951</v>
      </c>
      <c r="AR24" s="288">
        <f>((武器!$BB134*9+武器!$BC134*9+AR8)-(AR3+SUM(武器!C142:H142)+SUM(武器!C147:H147))-AR25*2.5)/7.5</f>
        <v>859.7</v>
      </c>
      <c r="AS24" s="288">
        <f>((武器!$BB134*9+武器!$BC134*9+AS8)-(AS3+SUM(武器!AA142:AF142)+SUM(武器!AA147:AF147))-AS25*2.5)/7.5</f>
        <v>870.86666666666667</v>
      </c>
      <c r="AT24" s="288">
        <f>((武器!$BB134*9+武器!$BC134*9+AT8)-(AT3+SUM(武器!U142:Z142)+SUM(武器!U147:Z147))-AT25*2.5)/7.5</f>
        <v>866.19393939393944</v>
      </c>
      <c r="AV24" s="15" t="s">
        <v>913</v>
      </c>
      <c r="AW24" s="279"/>
      <c r="AX24" s="324">
        <v>4107</v>
      </c>
      <c r="AY24" s="253">
        <v>40</v>
      </c>
      <c r="BA24" s="323">
        <f>(AX24+SUM(武器!$AC32,武器!$AC44,武器!$AC56,武器!$AC68,武器!$AC80)*武器!AZ50+SUM(武器!$AC33,武器!$AC45,武器!$AC57,武器!$AC69,武器!$AC81)*武器!AZ51+SUM(武器!$AC34,武器!$AC46,武器!$AC58,武器!$AC70,武器!$AC82)*武器!AZ52) / (9*SUM(武器!$BD50:$BH50)*武器!AZ50+9*SUM(武器!$BD51:$BH51)*武器!AZ51+9*SUM(武器!$BD52:$BH52)*武器!AZ52) *100</f>
        <v>98.851851851851848</v>
      </c>
      <c r="BB24" s="278">
        <f>(AY24+SUM(武器!$AC32,武器!$AC44,武器!$AC56,武器!$AC68,武器!$AC80)*武器!BA50)/(9*SUM(武器!$BD50:$BH50)*武器!BA50)*100</f>
        <v>100</v>
      </c>
    </row>
    <row r="25" spans="2:57" x14ac:dyDescent="0.25">
      <c r="L25" s="317" t="s">
        <v>64</v>
      </c>
      <c r="M25" s="317"/>
      <c r="N25" s="317"/>
      <c r="O25" s="317"/>
      <c r="P25" s="317"/>
      <c r="Q25" s="317"/>
      <c r="R25" s="317"/>
      <c r="U25" s="325" t="s">
        <v>965</v>
      </c>
      <c r="V25" s="125" t="s">
        <v>124</v>
      </c>
      <c r="W25" s="278">
        <f>((武器!$AZ111*9+武器!$BA111*9+W7+W9+W12)-(W3+SUM(武器!C119:H119)+SUM(武器!C124:H124))-W27*9.5-W26*8)/6</f>
        <v>-2233.3833333333332</v>
      </c>
      <c r="X25" s="278">
        <f>((武器!$AZ111*9+武器!$BA111*9+X7+X9+X12)-(X3+SUM(武器!I119:N119)+SUM(武器!I124:N124))-X27*9.5-X26*8)/6</f>
        <v>-2166.3833333333332</v>
      </c>
      <c r="Y25" s="278">
        <f>((武器!$AZ111*9+武器!$BA111*9+Y7+Y9+Y12)-(Y3+SUM(武器!O119:T119)+SUM(武器!O124:T124))-Y27*9.5-Y26*8)/6</f>
        <v>-2275.9166666666665</v>
      </c>
      <c r="Z25" s="278">
        <f>((武器!$AZ111*9+武器!$BA111*9+Z7+Z9+Z12)-(Z3+SUM(武器!U119:Z119)+SUM(武器!U124:Z124))-Z27*9.5-Z26*8)/6</f>
        <v>-2283.5499999999997</v>
      </c>
      <c r="AA25" s="278">
        <f>((武器!$AZ111*9+武器!$BA111*9+AA7+AA9+AA12)-(AA3+SUM(武器!AA119:AF119)+SUM(武器!AA124:AF124))-AA27*9.5-AA26*8)/6</f>
        <v>-2172.8833333333332</v>
      </c>
      <c r="AC25" s="3" t="s">
        <v>814</v>
      </c>
      <c r="AD25" s="284">
        <v>5764</v>
      </c>
      <c r="AE25" s="285">
        <v>270</v>
      </c>
      <c r="AF25" s="285">
        <v>2146</v>
      </c>
      <c r="AG25" s="319" t="s">
        <v>814</v>
      </c>
      <c r="AH25" s="286" t="s">
        <v>1</v>
      </c>
      <c r="AI25" s="286" t="s">
        <v>96</v>
      </c>
      <c r="AJ25" s="286" t="s">
        <v>2</v>
      </c>
      <c r="AK25" s="286" t="s">
        <v>99</v>
      </c>
      <c r="AL25" s="287" t="s">
        <v>97</v>
      </c>
      <c r="AN25" s="325"/>
      <c r="AO25" s="304" t="s">
        <v>115</v>
      </c>
      <c r="AP25" s="288">
        <f>((武器!$BB135*9+武器!$BC135*9+AP9)-(AP4+SUM(武器!I143:N143)+SUM(武器!I148:N148))-AP26*3)/5.5</f>
        <v>1135.5454545454545</v>
      </c>
      <c r="AQ25" s="288">
        <f>((武器!$BB135*9+武器!$BC135*9+AQ9)-(AQ4+SUM(武器!O143:T143)+SUM(武器!O148:T148))-AQ26*3)/5.5</f>
        <v>1161.8181818181818</v>
      </c>
      <c r="AR25" s="288">
        <f>((武器!$BB135*9+武器!$BC135*9+AR9)-(AR4+SUM(武器!C143:H143)+SUM(武器!C148:H148))-AR26*3)/5.5</f>
        <v>1152.5</v>
      </c>
      <c r="AS25" s="288">
        <f>((武器!$BB135*9+武器!$BC135*9+AS9)-(AS4+SUM(武器!AA143:AF143)+SUM(武器!AA148:AF148))-AS26*3)/5.5</f>
        <v>1133</v>
      </c>
      <c r="AT25" s="288">
        <f>((武器!$BB135*9+武器!$BC135*9+AT9)-(AT4+SUM(武器!U143:Z143)+SUM(武器!U148:Z148))-AT26*3)/5.5</f>
        <v>1105.8181818181818</v>
      </c>
      <c r="AV25" s="15" t="s">
        <v>914</v>
      </c>
      <c r="AW25" s="279"/>
      <c r="AX25" s="324"/>
      <c r="AY25" s="253">
        <v>40</v>
      </c>
      <c r="BA25" s="323"/>
      <c r="BB25" s="278">
        <f>(AY25+SUM(武器!$AC33,武器!$AC45,武器!$AC57,武器!$AC69,武器!$AC81)*武器!BA51)/(9*SUM(武器!$BD51:$BH51)*武器!BA51)*100</f>
        <v>100</v>
      </c>
    </row>
    <row r="26" spans="2:57" x14ac:dyDescent="0.25">
      <c r="L26" s="328" t="s">
        <v>54</v>
      </c>
      <c r="M26" s="127" t="s">
        <v>56</v>
      </c>
      <c r="N26" s="16">
        <v>2356</v>
      </c>
      <c r="O26" s="17">
        <v>1836</v>
      </c>
      <c r="P26" s="18">
        <v>2378</v>
      </c>
      <c r="Q26" s="19">
        <v>2871</v>
      </c>
      <c r="R26" s="20">
        <v>2337</v>
      </c>
      <c r="U26" s="325"/>
      <c r="V26" s="125" t="s">
        <v>115</v>
      </c>
      <c r="W26" s="278">
        <f>((武器!$AZ112*9+武器!$BA112*9)-(W4+SUM(武器!C120:H120)+SUM(武器!C125:H125))-W27*5)/4</f>
        <v>4262.75</v>
      </c>
      <c r="X26" s="278">
        <f>((武器!$AZ112*9+武器!$BA112*9)-(X4+SUM(武器!I120:N120)+SUM(武器!I125:N125))-X27*5)/4</f>
        <v>4261.5</v>
      </c>
      <c r="Y26" s="278">
        <f>((武器!$AZ112*9+武器!$BA112*9)-(Y4+SUM(武器!O120:T120)+SUM(武器!O125:T125))-Y27*5)/4</f>
        <v>4252.75</v>
      </c>
      <c r="Z26" s="278">
        <f>((武器!$AZ112*9+武器!$BA112*9)-(Z4+SUM(武器!U120:Z120)+SUM(武器!U125:Z125))-Z27*5)/4</f>
        <v>4300.75</v>
      </c>
      <c r="AA26" s="278">
        <f>((武器!$AZ112*9+武器!$BA112*9)-(AA4+SUM(武器!AA120:AF120)+SUM(武器!AA125:AF125))-AA27*5)/4</f>
        <v>4233.5</v>
      </c>
      <c r="AD26" s="318" t="s">
        <v>944</v>
      </c>
      <c r="AE26" s="318"/>
      <c r="AF26" s="318"/>
      <c r="AG26" s="353"/>
      <c r="AH26" s="262">
        <v>5178</v>
      </c>
      <c r="AI26" s="262">
        <v>4253</v>
      </c>
      <c r="AJ26" s="262">
        <v>3959</v>
      </c>
      <c r="AK26" s="262">
        <v>3851</v>
      </c>
      <c r="AL26" s="253">
        <v>4505</v>
      </c>
      <c r="AN26" s="325"/>
      <c r="AO26" s="303" t="s">
        <v>120</v>
      </c>
      <c r="AP26" s="288">
        <f>((武器!$BB136*9+武器!$BC136*9)-(AP5+SUM(武器!I144:N144)+SUM(武器!I149:N149)))/4</f>
        <v>193.5</v>
      </c>
      <c r="AQ26" s="288">
        <f>((武器!$BB136*9+武器!$BC136*9)-(AQ5+SUM(武器!O144:T144)+SUM(武器!O149:T149)))/4</f>
        <v>164</v>
      </c>
      <c r="AR26" s="288">
        <f>((武器!$BB136*9+武器!$BC136*9)-(AR5+SUM(武器!C144:H144)+SUM(武器!C149:H149)))/4</f>
        <v>116.75</v>
      </c>
      <c r="AS26" s="288">
        <f>((武器!$BB136*9+武器!$BC136*9)-(AS5+SUM(武器!AA144:AF144)+SUM(武器!AA149:AF149)))/4</f>
        <v>136.5</v>
      </c>
      <c r="AT26" s="288">
        <f>((武器!$BB136*9+武器!$BC136*9)-(AT5+SUM(武器!U144:Z144)+SUM(武器!U149:Z149)))/4</f>
        <v>135</v>
      </c>
      <c r="AV26" s="15" t="s">
        <v>915</v>
      </c>
      <c r="AW26" s="279"/>
      <c r="AX26" s="324"/>
      <c r="AY26" s="253">
        <v>32</v>
      </c>
      <c r="BA26" s="323"/>
      <c r="BB26" s="278">
        <f>(AY26+SUM(武器!$AC34,武器!$AC46,武器!$AC58,武器!$AC70,武器!$AC82)*武器!BA52)/(9*SUM(武器!$BD52:$BH52)*武器!BA52)*100</f>
        <v>100</v>
      </c>
    </row>
    <row r="27" spans="2:57" x14ac:dyDescent="0.25">
      <c r="L27" s="328"/>
      <c r="M27" s="127" t="s">
        <v>57</v>
      </c>
      <c r="N27" s="16">
        <v>647</v>
      </c>
      <c r="O27" s="17">
        <v>701</v>
      </c>
      <c r="P27" s="18">
        <v>494</v>
      </c>
      <c r="Q27" s="19">
        <v>765</v>
      </c>
      <c r="R27" s="20">
        <v>628</v>
      </c>
      <c r="U27" s="325"/>
      <c r="V27" s="245" t="s">
        <v>120</v>
      </c>
      <c r="W27" s="278">
        <f>((武器!$AZ113*9+武器!$BA113*9)-(W5+SUM(武器!C121:H121)+SUM(武器!C126:H126)))/5</f>
        <v>959.4</v>
      </c>
      <c r="X27" s="278">
        <f>((武器!$AZ113*9+武器!$BA113*9)-(X5+SUM(武器!I121:N121)+SUM(武器!I126:N126)))/5</f>
        <v>951.4</v>
      </c>
      <c r="Y27" s="278">
        <f>((武器!$AZ113*9+武器!$BA113*9)-(Y5+SUM(武器!O121:T121)+SUM(武器!O126:T126)))/5</f>
        <v>937</v>
      </c>
      <c r="Z27" s="278">
        <f>((武器!$AZ113*9+武器!$BA113*9)-(Z5+SUM(武器!U121:Z121)+SUM(武器!U126:Z126)))/5</f>
        <v>947.4</v>
      </c>
      <c r="AA27" s="278">
        <f>((武器!$AZ113*9+武器!$BA113*9)-(AA5+SUM(武器!AA121:AF121)+SUM(武器!AA126:AF126)))/5</f>
        <v>959.4</v>
      </c>
      <c r="AC27" t="s">
        <v>939</v>
      </c>
      <c r="AD27" s="288">
        <f>(AD25+SUM(武器!C18:AA18))/(9*5*武器!AU10)*100</f>
        <v>46.49722222222222</v>
      </c>
      <c r="AE27" s="288">
        <f>(AE25+SUM(武器!C17:AA17)+SUM(武器!C145:AF145))/(9*5*武器!AU9+9*5*武器!BB138)*100</f>
        <v>53.387533875338754</v>
      </c>
      <c r="AF27" s="288">
        <f>(AF25+SUM(武器!C123:AF123)+SUM(武器!C146:AF146))/(9*5*武器!AZ115+9*5*武器!BB139)*100</f>
        <v>79.296765119549931</v>
      </c>
      <c r="AG27" s="353"/>
      <c r="AH27" s="269" t="s">
        <v>4</v>
      </c>
      <c r="AI27" s="269" t="s">
        <v>3</v>
      </c>
      <c r="AJ27" s="269" t="s">
        <v>98</v>
      </c>
      <c r="AK27" s="269"/>
      <c r="AL27" s="270" t="s">
        <v>943</v>
      </c>
      <c r="AN27" s="325"/>
      <c r="AO27" s="302" t="s">
        <v>1030</v>
      </c>
      <c r="AP27" s="288">
        <f>((武器!$BC137*9)-(AP6+SUM(武器!I150:N150)))/4</f>
        <v>67.5</v>
      </c>
      <c r="AQ27" s="288">
        <f>((武器!$BC137*9)-(AQ6+SUM(武器!O150:T150)))/4</f>
        <v>67.5</v>
      </c>
      <c r="AR27" s="288">
        <f>((武器!$BC137*9)-(AR6+SUM(武器!C150:H150)))/4</f>
        <v>-16.5</v>
      </c>
      <c r="AS27" s="288">
        <f>((武器!$BC137*9)-(AS6+SUM(武器!AA150:AF150)))/4</f>
        <v>67.5</v>
      </c>
      <c r="AT27" s="288">
        <f>((武器!$BC137*9)-(AT6+SUM(武器!U150:Z150)))/4</f>
        <v>67.5</v>
      </c>
      <c r="AV27" s="15"/>
      <c r="AW27" s="259"/>
      <c r="AX27" s="280"/>
      <c r="AY27" s="281"/>
    </row>
    <row r="28" spans="2:57" ht="13.95" customHeight="1" x14ac:dyDescent="0.25">
      <c r="L28" s="327" t="s">
        <v>929</v>
      </c>
      <c r="M28" s="127" t="s">
        <v>111</v>
      </c>
      <c r="N28" s="15">
        <f>N26+2*N27</f>
        <v>3650</v>
      </c>
      <c r="O28" s="15">
        <f t="shared" ref="O28:R28" si="10">O26+2*O27</f>
        <v>3238</v>
      </c>
      <c r="P28" s="15">
        <f t="shared" si="10"/>
        <v>3366</v>
      </c>
      <c r="Q28" s="15">
        <f t="shared" si="10"/>
        <v>4401</v>
      </c>
      <c r="R28" s="15">
        <f t="shared" si="10"/>
        <v>3593</v>
      </c>
      <c r="U28" s="246"/>
      <c r="V28" s="125"/>
      <c r="AD28" s="318" t="s">
        <v>882</v>
      </c>
      <c r="AE28" s="318"/>
      <c r="AF28" s="318"/>
      <c r="AG28" s="354"/>
      <c r="AH28" s="8">
        <v>4767</v>
      </c>
      <c r="AI28" s="8">
        <v>5013</v>
      </c>
      <c r="AJ28" s="8">
        <v>6647</v>
      </c>
      <c r="AK28" s="8"/>
      <c r="AL28" s="11">
        <v>664</v>
      </c>
      <c r="AV28" s="15" t="s">
        <v>916</v>
      </c>
      <c r="AW28" s="259"/>
      <c r="AX28" s="324">
        <v>6921</v>
      </c>
      <c r="AY28" s="253">
        <v>43</v>
      </c>
      <c r="BA28" s="323">
        <f>(AX28+SUM(武器!$AE28,武器!$AE40,武器!$AE52,武器!$AE64,武器!$AE76)*武器!AZ54+SUM(武器!$AE29,武器!$AE41,武器!$AE53,武器!$AE65,武器!$AE77)*武器!AZ55+SUM(武器!$AE30,武器!$AE42,武器!$AE54,武器!$AE66,武器!$AE78)*武器!AZ56+SUM(武器!$AE31,武器!$AE43,武器!$AE55,武器!$AE67,武器!$AE79)*武器!AZ57) / (9*SUM(武器!$BD54:$BH54)*武器!AZ54+9*SUM(武器!$BD55:$BH55)*武器!AZ55+9*SUM(武器!$BD56:$BH56)*武器!AZ56+9*SUM(武器!$BD57:$BH57)*武器!AZ57) *100</f>
        <v>106.82222222222222</v>
      </c>
      <c r="BB28" s="278">
        <f>(AY28+SUM(武器!$AE28,武器!$AE40,武器!$AE52,武器!$AE64,武器!$AE76)*武器!BA54)/(9*SUM(武器!$BD54:$BH54)*武器!BA54)*100</f>
        <v>101.11111111111111</v>
      </c>
    </row>
    <row r="29" spans="2:57" x14ac:dyDescent="0.25">
      <c r="L29" s="328"/>
      <c r="M29" s="127" t="s">
        <v>112</v>
      </c>
      <c r="N29" s="15">
        <f>N27+ROUNDDOWN(N26/5,0)</f>
        <v>1118</v>
      </c>
      <c r="O29" s="15">
        <f t="shared" ref="O29:R29" si="11">O27+ROUNDDOWN(O26/5,0)</f>
        <v>1068</v>
      </c>
      <c r="P29" s="15">
        <f t="shared" si="11"/>
        <v>969</v>
      </c>
      <c r="Q29" s="15">
        <f t="shared" si="11"/>
        <v>1339</v>
      </c>
      <c r="R29" s="15">
        <f t="shared" si="11"/>
        <v>1095</v>
      </c>
      <c r="U29" s="246"/>
      <c r="V29" s="245"/>
      <c r="AC29" t="s">
        <v>939</v>
      </c>
      <c r="AD29" s="288">
        <f>(AD25+SUM(武器!C18:AA18)+SUM(武器!C23:AA23))/(9*5*武器!AU10+9*5*武器!AV10)*100</f>
        <v>11.808818342151675</v>
      </c>
      <c r="AE29" s="288">
        <f>(AE25+SUM(武器!C17:AA17)+SUM(武器!C22:AA22)+SUM(武器!C145:AF145)+SUM(武器!C151:AF151))/(9*5*武器!AU9+9*5*武器!BB138+9*5*武器!AV9+9*5*武器!BC138)*100</f>
        <v>13.511659807956104</v>
      </c>
      <c r="AF29" s="288">
        <f>(AF25+SUM(武器!C123:AF123)+SUM(武器!C146:AF146)+SUM(武器!C128:AF128)+SUM(武器!C152:AF152))/(9*5*武器!AZ115+9*5*武器!BB139+9*5*武器!BA115+9*5*武器!BC139)*100</f>
        <v>24.639091646390916</v>
      </c>
      <c r="AG29" s="317" t="s">
        <v>930</v>
      </c>
      <c r="AH29" s="317"/>
      <c r="AI29" s="317"/>
      <c r="AJ29" s="317"/>
      <c r="AK29" s="317"/>
      <c r="AL29" s="317"/>
      <c r="AV29" s="15" t="s">
        <v>917</v>
      </c>
      <c r="AW29" s="279"/>
      <c r="AX29" s="324"/>
      <c r="AY29" s="253">
        <v>35</v>
      </c>
      <c r="BA29" s="323"/>
      <c r="BB29" s="278">
        <f>(AY29+SUM(武器!$AE29,武器!$AE41,武器!$AE53,武器!$AE65,武器!$AE77)*武器!BA55)/(9*SUM(武器!$BD55:$BH55)*武器!BA55)*100</f>
        <v>101.11111111111111</v>
      </c>
    </row>
    <row r="30" spans="2:57" x14ac:dyDescent="0.25">
      <c r="U30" s="246"/>
      <c r="V30" s="245"/>
      <c r="AG30" s="315" t="s">
        <v>939</v>
      </c>
      <c r="AH30" s="288">
        <f>(AH26+武器!AD5)/(5*武器!$AU$11)*100</f>
        <v>113.53043478260869</v>
      </c>
      <c r="AI30" s="288">
        <f>(AI26+武器!AD6)/(5*武器!$AU$11)*100</f>
        <v>109.18260869565218</v>
      </c>
      <c r="AJ30" s="288">
        <f>(AJ26+武器!AD8)/(5*武器!$AU$11)*100</f>
        <v>88.417391304347831</v>
      </c>
      <c r="AK30" s="288">
        <f>(AK26+武器!AD12)/(5*武器!$AU$11)*100</f>
        <v>166.97391304347826</v>
      </c>
      <c r="AL30" s="288">
        <f>(AL26+武器!AD7)/(5*武器!$AU$11)*100</f>
        <v>97.913043478260875</v>
      </c>
      <c r="AN30" s="316" t="s">
        <v>805</v>
      </c>
      <c r="AO30" s="317"/>
      <c r="AP30" s="317"/>
      <c r="AQ30" s="317"/>
      <c r="AR30" s="317"/>
      <c r="AS30" s="317"/>
      <c r="AT30" s="317"/>
      <c r="AV30" s="15" t="s">
        <v>918</v>
      </c>
      <c r="AW30" s="279"/>
      <c r="AX30" s="324"/>
      <c r="AY30" s="253">
        <v>51</v>
      </c>
      <c r="BA30" s="323"/>
      <c r="BB30" s="278">
        <f>(AY30+SUM(武器!$AE30,武器!$AE42,武器!$AE54,武器!$AE66,武器!$AE78)*武器!BA56)/(9*SUM(武器!$BD56:$BH56)*武器!BA56)*100</f>
        <v>101.11111111111111</v>
      </c>
    </row>
    <row r="31" spans="2:57" x14ac:dyDescent="0.25">
      <c r="L31" s="328" t="s">
        <v>65</v>
      </c>
      <c r="M31" s="127" t="s">
        <v>56</v>
      </c>
      <c r="N31" s="16">
        <v>0</v>
      </c>
      <c r="O31" s="17">
        <v>0</v>
      </c>
      <c r="P31" s="18">
        <v>0</v>
      </c>
      <c r="Q31" s="19">
        <v>0</v>
      </c>
      <c r="R31" s="20">
        <v>0</v>
      </c>
      <c r="AG31" s="315"/>
      <c r="AH31" s="288">
        <f>(AH28+武器!AD10)/(5*武器!$AU$11)*100</f>
        <v>102.46956521739131</v>
      </c>
      <c r="AI31" s="288">
        <f>(AI28+武器!AD9)/(5*武器!$AU$11)*100</f>
        <v>110.6608695652174</v>
      </c>
      <c r="AJ31" s="288">
        <f>(AJ28+武器!AD11)/(5*武器!$AU$11)*100</f>
        <v>135.16521739130434</v>
      </c>
      <c r="AK31" s="288"/>
      <c r="AL31" s="288">
        <f>(AL28+武器!AD13)/(5*武器!$AU$11)*100</f>
        <v>27.200000000000003</v>
      </c>
      <c r="AN31" s="317" t="s">
        <v>50</v>
      </c>
      <c r="AO31" s="271" t="s">
        <v>13</v>
      </c>
      <c r="AP31" s="16">
        <v>1486</v>
      </c>
      <c r="AQ31" s="17">
        <v>281</v>
      </c>
      <c r="AR31" s="18">
        <v>606</v>
      </c>
      <c r="AS31" s="19">
        <v>745</v>
      </c>
      <c r="AT31" s="20">
        <v>626</v>
      </c>
      <c r="AV31" s="15" t="s">
        <v>919</v>
      </c>
      <c r="AW31" s="279"/>
      <c r="AX31" s="324"/>
      <c r="AY31" s="253">
        <v>35</v>
      </c>
      <c r="BA31" s="323"/>
      <c r="BB31" s="278">
        <f>(AY31+SUM(武器!$AE31,武器!$AE43,武器!$AE55,武器!$AE67,武器!$AE79)*武器!BA57)/(9*SUM(武器!$BD57:$BH57)*武器!BA57)*100</f>
        <v>101.11111111111111</v>
      </c>
      <c r="BC31" s="318" t="s">
        <v>882</v>
      </c>
      <c r="BD31" s="314"/>
      <c r="BE31" s="314"/>
    </row>
    <row r="32" spans="2:57" ht="13.95" customHeight="1" x14ac:dyDescent="0.25">
      <c r="L32" s="328"/>
      <c r="M32" s="129" t="s">
        <v>12</v>
      </c>
      <c r="N32" s="16">
        <v>0</v>
      </c>
      <c r="O32" s="17">
        <v>0</v>
      </c>
      <c r="P32" s="18">
        <v>0</v>
      </c>
      <c r="Q32" s="19">
        <v>0</v>
      </c>
      <c r="R32" s="20">
        <v>0</v>
      </c>
      <c r="V32" s="333"/>
      <c r="W32" s="333"/>
      <c r="X32" s="333"/>
      <c r="Y32" s="333"/>
      <c r="AG32" s="317" t="s">
        <v>940</v>
      </c>
      <c r="AH32" s="317"/>
      <c r="AI32" s="317"/>
      <c r="AJ32" s="317"/>
      <c r="AK32" s="317"/>
      <c r="AL32" s="317"/>
      <c r="AN32" s="317"/>
      <c r="AO32" s="271" t="s">
        <v>11</v>
      </c>
      <c r="AP32" s="16">
        <v>433</v>
      </c>
      <c r="AQ32" s="17">
        <v>200</v>
      </c>
      <c r="AR32" s="18">
        <v>400</v>
      </c>
      <c r="AS32" s="19">
        <v>420</v>
      </c>
      <c r="AT32" s="20">
        <v>354</v>
      </c>
      <c r="AW32" s="47"/>
      <c r="AX32" s="48"/>
      <c r="AY32" s="281"/>
      <c r="BC32" s="2" t="s">
        <v>890</v>
      </c>
      <c r="BD32" s="2" t="s">
        <v>56</v>
      </c>
      <c r="BE32" s="2" t="s">
        <v>57</v>
      </c>
    </row>
    <row r="33" spans="12:57" ht="13.95" customHeight="1" x14ac:dyDescent="0.25">
      <c r="L33" s="328"/>
      <c r="M33" s="127" t="s">
        <v>30</v>
      </c>
      <c r="N33" s="127">
        <v>30</v>
      </c>
      <c r="O33" s="127">
        <v>30</v>
      </c>
      <c r="P33" s="127">
        <v>30</v>
      </c>
      <c r="Q33" s="127">
        <v>30</v>
      </c>
      <c r="R33" s="127">
        <v>30</v>
      </c>
      <c r="V33" s="46"/>
      <c r="W33" s="46"/>
      <c r="X33" s="46"/>
      <c r="Y33" s="46"/>
      <c r="AG33" s="315" t="s">
        <v>939</v>
      </c>
      <c r="AH33" s="296">
        <f>(AH26+武器!AD5+武器!AE5)/(5*武器!$AU$11+5*武器!$AV$11)*100</f>
        <v>28.694505494505496</v>
      </c>
      <c r="AI33" s="296">
        <f>(AI26+武器!AD6+武器!AE6)/(5*武器!$AU$11+5*武器!$AV$11)*100</f>
        <v>27.595604395604393</v>
      </c>
      <c r="AJ33" s="296">
        <f>(AJ26+武器!AD8+武器!AE8)/(5*武器!$AU$11+5*武器!$AV$11)*100</f>
        <v>22.347252747252746</v>
      </c>
      <c r="AK33" s="296">
        <f>(AK26+武器!AD12+武器!AE12)/(5*武器!$AU$11+5*武器!$AV$11)*100</f>
        <v>42.202197802197801</v>
      </c>
      <c r="AL33" s="296">
        <f>(AL26+武器!AD7+武器!AE7)/(5*武器!$AU$11+5*武器!$AV$11)*100</f>
        <v>24.747252747252745</v>
      </c>
      <c r="AN33" s="317"/>
      <c r="AO33" s="257" t="s">
        <v>12</v>
      </c>
      <c r="AP33" s="16">
        <v>48</v>
      </c>
      <c r="AQ33" s="17">
        <v>11</v>
      </c>
      <c r="AR33" s="18">
        <v>1</v>
      </c>
      <c r="AS33" s="19">
        <v>26</v>
      </c>
      <c r="AT33" s="20">
        <v>24</v>
      </c>
      <c r="AV33" s="15" t="s">
        <v>920</v>
      </c>
      <c r="AW33" s="279"/>
      <c r="AX33" s="262">
        <v>4326</v>
      </c>
      <c r="AY33" s="253">
        <v>117</v>
      </c>
      <c r="BA33" s="278">
        <f>(AX33+SUM(武器!$AE33,武器!$AE45,武器!$AE57,武器!$AE69,武器!$AE81)*武器!AZ59+SUM(武器!G29:G37)*武器!$AZ$64)/(9*SUM(武器!$BD59:$BH59)*武器!AZ59+9*武器!$AZ$64)*100</f>
        <v>585.92592592592587</v>
      </c>
      <c r="BB33" s="278">
        <f>(AY33+SUM(武器!$AE33,武器!$AE45,武器!$AE57,武器!$AE69,武器!$AE81)*武器!BA59)/(9*SUM(武器!$BD59:$BH59)*武器!BA59)*100</f>
        <v>694.44444444444446</v>
      </c>
      <c r="BD33" s="278">
        <f>(AX33+SUM(武器!$AE33:$AF33)*武器!AZ59+SUM(武器!$F29:$G37)*武器!$AZ$64)/(9*SUM(武器!$BD59:$BM59)*武器!AZ59+2*9*武器!$AZ$64)*100</f>
        <v>39.420289855072468</v>
      </c>
      <c r="BE33" s="278">
        <f>(AY33+SUM(武器!$AE33:$AF33)*武器!BA59)/(9*SUM(武器!$BD59:$BM59)*武器!BA59)*100</f>
        <v>39.814814814814817</v>
      </c>
    </row>
    <row r="34" spans="12:57" x14ac:dyDescent="0.25">
      <c r="L34" s="317" t="s">
        <v>66</v>
      </c>
      <c r="M34" s="127" t="s">
        <v>57</v>
      </c>
      <c r="N34" s="16">
        <v>0</v>
      </c>
      <c r="O34" s="17">
        <v>0</v>
      </c>
      <c r="P34" s="18">
        <v>0</v>
      </c>
      <c r="Q34" s="19">
        <v>0</v>
      </c>
      <c r="R34" s="20">
        <v>0</v>
      </c>
      <c r="V34" s="46"/>
      <c r="W34" s="2"/>
      <c r="X34" s="2"/>
      <c r="Y34" s="2"/>
      <c r="AG34" s="315"/>
      <c r="AH34" s="296">
        <f>(AH28+武器!AD10+武器!AE10)/(5*武器!$AU$11+5*武器!$AV$11)*100</f>
        <v>25.898901098901099</v>
      </c>
      <c r="AI34" s="296">
        <f>(AI28+武器!AD9+武器!AE9)/(5*武器!$AU$11+5*武器!$AV$11)*100</f>
        <v>27.969230769230769</v>
      </c>
      <c r="AJ34" s="296">
        <f>(AJ28+武器!AD11+武器!AE11)/(5*武器!$AU$11+5*武器!$AV$11)*100</f>
        <v>34.162637362637362</v>
      </c>
      <c r="AK34" s="296"/>
      <c r="AL34" s="296">
        <f>(AL28+武器!AD13+武器!AE13)/(5*武器!$AU$11+5*武器!$AV$11)*100</f>
        <v>6.8747252747252743</v>
      </c>
      <c r="AO34" s="46"/>
      <c r="AP34" s="2"/>
      <c r="AQ34" s="2"/>
      <c r="AR34" s="2"/>
      <c r="AV34" s="15" t="s">
        <v>921</v>
      </c>
      <c r="AW34" s="279"/>
      <c r="AX34" s="262">
        <v>4355</v>
      </c>
      <c r="AY34" s="253">
        <v>128</v>
      </c>
      <c r="BA34" s="278">
        <f>(AX34+SUM(武器!$AE34,武器!$AE46,武器!$AE58,武器!$AE70,武器!$AE82)*武器!AZ60+SUM(武器!G53:G61)*武器!$AZ$64)/(9*SUM(武器!$BD60:$BH60)*武器!AZ60+9*武器!$AZ$64)*100</f>
        <v>589.50617283950612</v>
      </c>
      <c r="BB34" s="278">
        <f>(AY34+SUM(武器!$AE34,武器!$AE46,武器!$AE58,武器!$AE70,武器!$AE82)*武器!BA60)/(9*SUM(武器!$BD60:$BH60)*武器!BA60)*100</f>
        <v>755.55555555555554</v>
      </c>
      <c r="BD34" s="278">
        <f>(AX34+SUM(武器!$AE58:$AF58)*武器!AZ60+SUM(武器!$F53:$G61)*武器!$AZ$64)/(9*SUM(武器!$BD60:$BM60)*武器!AZ60+2*9*武器!$AZ$64)*100</f>
        <v>38.446054750402574</v>
      </c>
      <c r="BE34" s="278">
        <f>(AY34+SUM(武器!$AE58:$AF58)*武器!BA60)/(9*SUM(武器!$BD60:$BM60)*武器!BA60)*100</f>
        <v>41.975308641975303</v>
      </c>
    </row>
    <row r="35" spans="12:57" ht="13.95" customHeight="1" x14ac:dyDescent="0.25">
      <c r="L35" s="317"/>
      <c r="M35" s="127" t="s">
        <v>30</v>
      </c>
      <c r="N35" s="127">
        <v>30</v>
      </c>
      <c r="O35" s="127">
        <v>30</v>
      </c>
      <c r="P35" s="127">
        <v>30</v>
      </c>
      <c r="Q35" s="127">
        <v>30</v>
      </c>
      <c r="R35" s="127">
        <v>30</v>
      </c>
      <c r="V35" s="46"/>
      <c r="W35" s="2"/>
      <c r="X35" s="2"/>
      <c r="Y35" s="2"/>
      <c r="AN35" s="317" t="s">
        <v>971</v>
      </c>
      <c r="AO35" s="317"/>
      <c r="AP35" s="317"/>
      <c r="AQ35" s="317"/>
      <c r="AR35" s="317"/>
      <c r="AS35" s="317"/>
      <c r="AT35" s="317"/>
      <c r="AV35" s="15" t="s">
        <v>922</v>
      </c>
      <c r="AW35" s="279"/>
      <c r="AX35" s="262">
        <v>4827</v>
      </c>
      <c r="AY35" s="253">
        <v>127</v>
      </c>
      <c r="BA35" s="278">
        <f>(AX35+SUM(武器!$AE35,武器!$AE47,武器!$AE59,武器!$AE71,武器!$AE83)*武器!AZ61+SUM(武器!G77:G85)*武器!$AZ$64)/(9*SUM(武器!$BD61:$BH61)*武器!AZ61+9*武器!$AZ$64)*100</f>
        <v>647.77777777777783</v>
      </c>
      <c r="BB35" s="278">
        <f>(AY35+SUM(武器!$AE35,武器!$AE47,武器!$AE59,武器!$AE71,武器!$AE83)*武器!BA61)/(9*SUM(武器!$BD61:$BH61)*武器!BA61)*100</f>
        <v>750</v>
      </c>
      <c r="BD35" s="278">
        <f>(AX35+SUM(武器!$AE83:$AF83)*武器!AZ61+SUM(武器!$F77:$G85)*武器!$AZ$64)/(9*SUM(武器!$BD61:$BM61)*武器!AZ61+2*9*武器!$AZ$64)*100</f>
        <v>42.246376811594203</v>
      </c>
      <c r="BE35" s="278">
        <f>(AY35+SUM(武器!$AE83:$AF83)*武器!BA61)/(9*SUM(武器!$BD61:$BM61)*武器!BA61)*100</f>
        <v>41.666666666666671</v>
      </c>
    </row>
    <row r="36" spans="12:57" x14ac:dyDescent="0.25">
      <c r="V36" s="46"/>
      <c r="W36" s="2"/>
      <c r="X36" s="2"/>
      <c r="Y36" s="2"/>
      <c r="AN36" s="315" t="s">
        <v>939</v>
      </c>
      <c r="AO36" s="271" t="s">
        <v>13</v>
      </c>
      <c r="AP36" s="288">
        <f>(AP31+SUM(武器!C100:H100))/(9*武器!$AZ92)*100</f>
        <v>194.34920634920633</v>
      </c>
      <c r="AQ36" s="288">
        <f>(AQ31+SUM(武器!I100:N100))/(9*武器!$AZ92)*100</f>
        <v>117.84126984126983</v>
      </c>
      <c r="AR36" s="288">
        <f>(AR31+SUM(武器!O100:T100))/(9*武器!$AZ92)*100</f>
        <v>138.47619047619048</v>
      </c>
      <c r="AS36" s="288">
        <f>(AS31+SUM(武器!U100:Z100))/(9*武器!$AZ92)*100</f>
        <v>147.30158730158732</v>
      </c>
      <c r="AT36" s="288">
        <f>(AT31+SUM(武器!AA100:AF100))/(9*武器!$AZ92)*100</f>
        <v>128.63492063492063</v>
      </c>
      <c r="AV36" s="15" t="s">
        <v>923</v>
      </c>
      <c r="AW36" s="279"/>
      <c r="AX36" s="262">
        <v>3989</v>
      </c>
      <c r="AY36" s="253">
        <v>130</v>
      </c>
      <c r="BA36" s="278">
        <f>(AX36+SUM(武器!$AE36,武器!$AE48,武器!$AE60,武器!$AE72,武器!$AE84)*武器!AZ62+SUM(武器!G65:G73)*武器!$AZ$64)/(9*SUM(武器!$BD62:$BH62)*武器!AZ62+9*武器!$AZ$64)*100</f>
        <v>544.32098765432102</v>
      </c>
      <c r="BB36" s="278">
        <f>(AY36+SUM(武器!$AE36,武器!$AE48,武器!$AE60,武器!$AE72,武器!$AE84)*武器!BA62)/(9*SUM(武器!$BD62:$BH62)*武器!BA62)*100</f>
        <v>766.66666666666674</v>
      </c>
      <c r="BD36" s="278">
        <f>(AX36+SUM(武器!$AE72:$AF72)*武器!AZ62+SUM(武器!$F65:$G73)*武器!$AZ$64)/(9*SUM(武器!$BD62:$BM62)*武器!AZ62+2*9*武器!$AZ$64)*100</f>
        <v>35.499194847020931</v>
      </c>
      <c r="BE36" s="278">
        <f>(AY36+SUM(武器!$AE72:$AF72)*武器!BA62)/(9*SUM(武器!$BD62:$BM62)*武器!BA62)*100</f>
        <v>42.592592592592595</v>
      </c>
    </row>
    <row r="37" spans="12:57" x14ac:dyDescent="0.25">
      <c r="AD37" s="318" t="s">
        <v>849</v>
      </c>
      <c r="AE37" s="314"/>
      <c r="AF37" s="314"/>
      <c r="AG37" s="314"/>
      <c r="AH37" s="314"/>
      <c r="AI37" s="314"/>
      <c r="AJ37" s="314"/>
      <c r="AN37" s="315"/>
      <c r="AO37" s="271" t="s">
        <v>11</v>
      </c>
      <c r="AP37" s="288">
        <f>(AP32+SUM(武器!C101:H101))/(9*武器!$AZ93)*100</f>
        <v>196.22222222222223</v>
      </c>
      <c r="AQ37" s="288">
        <f>(AQ32+SUM(武器!I101:N101))/(9*武器!$AZ93)*100</f>
        <v>144.44444444444443</v>
      </c>
      <c r="AR37" s="288">
        <f>(AR32+SUM(武器!O101:T101))/(9*武器!$AZ93)*100</f>
        <v>188.88888888888889</v>
      </c>
      <c r="AS37" s="288">
        <f>(AS32+SUM(武器!U101:Z101))/(9*武器!$AZ93)*100</f>
        <v>193.33333333333334</v>
      </c>
      <c r="AT37" s="288">
        <f>(AT32+SUM(武器!AA101:AF101))/(9*武器!$AZ93)*100</f>
        <v>167.55555555555554</v>
      </c>
      <c r="AV37" s="15" t="s">
        <v>924</v>
      </c>
      <c r="AW37" s="283"/>
      <c r="AX37" s="263">
        <v>3763</v>
      </c>
      <c r="AY37" s="256">
        <v>125</v>
      </c>
      <c r="BA37" s="278">
        <f>(AX37+SUM(武器!$AE37,武器!$AE49,武器!$AE61,武器!$AE73,武器!$AE85)*武器!AZ63+SUM(武器!G41:G49)*武器!$AZ$64)/(9*SUM(武器!$BD63:$BH63)*武器!AZ63+9*武器!$AZ$64)*100</f>
        <v>516.41975308641975</v>
      </c>
      <c r="BB37" s="278">
        <f>(AY37+SUM(武器!$AE37,武器!$AE49,武器!$AE61,武器!$AE73,武器!$AE85)*武器!BA63)/(9*SUM(武器!$BD63:$BH63)*武器!BA63)*100</f>
        <v>738.88888888888891</v>
      </c>
      <c r="BD37" s="278">
        <f>(AX37+SUM(武器!$AE49:$AF49)*武器!AZ63+SUM(武器!$F41:$G49)*武器!$AZ$64)/(9*SUM(武器!$BD63:$BM63)*武器!AZ63+2*9*武器!$AZ$64)*100</f>
        <v>33.679549114331728</v>
      </c>
      <c r="BE37" s="278">
        <f>(AY37+SUM(武器!$AE49:$AF49)*武器!BA63)/(9*SUM(武器!$BD63:$BM63)*武器!BA63)*100</f>
        <v>41.049382716049379</v>
      </c>
    </row>
    <row r="38" spans="12:57" x14ac:dyDescent="0.25">
      <c r="AD38" s="3" t="s">
        <v>814</v>
      </c>
      <c r="AE38" s="16">
        <v>364</v>
      </c>
      <c r="AF38" s="17">
        <v>252</v>
      </c>
      <c r="AG38" s="18">
        <v>345</v>
      </c>
      <c r="AH38" s="19">
        <v>292</v>
      </c>
      <c r="AI38" s="20">
        <v>370</v>
      </c>
      <c r="AJ38" s="264">
        <v>765</v>
      </c>
      <c r="AN38" s="315"/>
      <c r="AO38" s="257" t="s">
        <v>12</v>
      </c>
      <c r="AP38" s="288">
        <f>(AP33+SUM(武器!C102:H102))/(9*武器!$AZ94)*100</f>
        <v>159.25925925925927</v>
      </c>
      <c r="AQ38" s="288">
        <f>(AQ33+SUM(武器!I102:N102))/(9*武器!$AZ94)*100</f>
        <v>113.58024691358024</v>
      </c>
      <c r="AR38" s="288">
        <f>(AR33+SUM(武器!O102:T102))/(9*武器!$AZ94)*100</f>
        <v>101.23456790123457</v>
      </c>
      <c r="AS38" s="288">
        <f>(AS33+SUM(武器!U102:Z102))/(9*武器!$AZ94)*100</f>
        <v>132.09876543209879</v>
      </c>
      <c r="AT38" s="288">
        <f>(AT33+SUM(武器!AA102:AF102))/(9*武器!$AZ94)*100</f>
        <v>118.5185185185185</v>
      </c>
    </row>
    <row r="39" spans="12:57" x14ac:dyDescent="0.25">
      <c r="AJ39">
        <f>4*(J18-H18)+5*(J19-H19)+6*(J20-H20)</f>
        <v>283</v>
      </c>
      <c r="AK39">
        <f>4*(I18-H18)+5*(I19-H19)+6*(I20-H20)</f>
        <v>1131</v>
      </c>
      <c r="AN39" s="314" t="s">
        <v>931</v>
      </c>
      <c r="AO39" s="314"/>
      <c r="AP39" s="314"/>
      <c r="AQ39" s="314"/>
      <c r="AR39" s="314"/>
      <c r="AS39" s="314"/>
      <c r="AT39" s="314"/>
      <c r="AV39" s="3"/>
    </row>
    <row r="40" spans="12:57" x14ac:dyDescent="0.25">
      <c r="AD40" s="318" t="s">
        <v>944</v>
      </c>
      <c r="AE40" s="318"/>
      <c r="AF40" s="318"/>
      <c r="AG40" s="318"/>
      <c r="AH40" s="318"/>
      <c r="AI40" s="318"/>
      <c r="AJ40" s="318"/>
      <c r="AN40" s="315" t="s">
        <v>939</v>
      </c>
      <c r="AO40" s="271" t="s">
        <v>13</v>
      </c>
      <c r="AP40" s="288">
        <f>(AP31+SUM(武器!C100:H100)+SUM(武器!C103:H103))/(9*武器!$AZ92+9*武器!$BA92)*100</f>
        <v>21.942652329749105</v>
      </c>
      <c r="AQ40" s="288">
        <f>(AQ31+SUM(武器!I100:N100)+SUM(武器!I103:N103))/(9*武器!$AZ92+9*武器!$BA92)*100</f>
        <v>13.304659498207885</v>
      </c>
      <c r="AR40" s="288">
        <f>(AR31+SUM(武器!O100:T100)+SUM(武器!O103:T103))/(9*武器!$AZ92+9*武器!$BA92)*100</f>
        <v>16.172043010752688</v>
      </c>
      <c r="AS40" s="288">
        <f>(AS31+SUM(武器!U100:Z100)+SUM(武器!U103:Z103))/(9*武器!$AZ92+9*武器!$BA92)*100</f>
        <v>16.630824372759857</v>
      </c>
      <c r="AT40" s="288">
        <f>(AT31+SUM(武器!AA100:AF100)+SUM(武器!AA103:AF103))/(9*武器!$AZ92+9*武器!$BA92)*100</f>
        <v>17.749103942652329</v>
      </c>
      <c r="AV40" s="3"/>
    </row>
    <row r="41" spans="12:57" x14ac:dyDescent="0.25">
      <c r="AC41">
        <v>87.5</v>
      </c>
      <c r="AD41" t="s">
        <v>939</v>
      </c>
      <c r="AE41" s="288">
        <f>(AE38+SUM(武器!C122:H122))/(9*武器!$AZ114)*100</f>
        <v>62.361111111111114</v>
      </c>
      <c r="AF41" s="288">
        <f>(AF38+SUM(武器!I122:N122))/(9*武器!$AZ114)*100</f>
        <v>85</v>
      </c>
      <c r="AG41" s="288">
        <f>(AG38+SUM(武器!O122:T122))/(9*武器!$AZ114)*100</f>
        <v>68.75</v>
      </c>
      <c r="AH41" s="288">
        <f>(AH38+SUM(武器!U122:Z122))/(9*武器!$AZ114)*100</f>
        <v>90.555555555555557</v>
      </c>
      <c r="AI41" s="288">
        <f>(AI38+SUM(武器!AA122:AF122))/(9*武器!$AZ114)*100</f>
        <v>72.222222222222214</v>
      </c>
      <c r="AN41" s="315"/>
      <c r="AO41" s="271" t="s">
        <v>11</v>
      </c>
      <c r="AP41" s="288">
        <f>(AP32+SUM(武器!C101:H101)+SUM(武器!C104:H104))/(9*武器!$AZ93+9*武器!$BA93)*100</f>
        <v>23.359788359788361</v>
      </c>
      <c r="AQ41" s="288">
        <f>(AQ32+SUM(武器!I101:N101)+SUM(武器!I104:N104))/(9*武器!$AZ93+9*武器!$BA93)*100</f>
        <v>17.195767195767196</v>
      </c>
      <c r="AR41" s="288">
        <f>(AR32+SUM(武器!O101:T101)+SUM(武器!O104:T104))/(9*武器!$AZ93+9*武器!$BA93)*100</f>
        <v>23.015873015873016</v>
      </c>
      <c r="AS41" s="288">
        <f>(AS32+SUM(武器!U101:Z101)+SUM(武器!U104:Z104))/(9*武器!$AZ93+9*武器!$BA93)*100</f>
        <v>23.015873015873016</v>
      </c>
      <c r="AT41" s="288">
        <f>(AT32+SUM(武器!AA101:AF101)+SUM(武器!AA104:AF104))/(9*武器!$AZ93+9*武器!$BA93)*100</f>
        <v>23.12169312169312</v>
      </c>
      <c r="AV41" s="3"/>
    </row>
    <row r="42" spans="12:57" x14ac:dyDescent="0.25">
      <c r="M42" s="46" t="s">
        <v>292</v>
      </c>
      <c r="N42" s="46" t="s">
        <v>302</v>
      </c>
      <c r="O42" s="46" t="s">
        <v>295</v>
      </c>
      <c r="P42" s="46" t="s">
        <v>294</v>
      </c>
      <c r="Q42" s="46" t="s">
        <v>298</v>
      </c>
      <c r="R42" s="46" t="s">
        <v>293</v>
      </c>
      <c r="AD42" s="318" t="s">
        <v>882</v>
      </c>
      <c r="AE42" s="318"/>
      <c r="AF42" s="318"/>
      <c r="AG42" s="318"/>
      <c r="AH42" s="318"/>
      <c r="AI42" s="318"/>
      <c r="AJ42" s="318"/>
      <c r="AN42" s="315"/>
      <c r="AO42" s="257" t="s">
        <v>12</v>
      </c>
      <c r="AP42" s="288">
        <f>(AP33+SUM(武器!C102:H102)+SUM(武器!C105:H105))/(9*武器!$AZ94+9*武器!$BA94)*100</f>
        <v>22.75132275132275</v>
      </c>
      <c r="AQ42" s="288">
        <f>(AQ33+SUM(武器!I102:N102)+SUM(武器!I105:N105))/(9*武器!$AZ94+9*武器!$BA94)*100</f>
        <v>16.225749559082892</v>
      </c>
      <c r="AR42" s="288">
        <f>(AR33+SUM(武器!O102:T102)+SUM(武器!O105:T105))/(9*武器!$AZ94+9*武器!$BA94)*100</f>
        <v>14.991181657848324</v>
      </c>
      <c r="AS42" s="288">
        <f>(AS33+SUM(武器!U102:Z102)+SUM(武器!U105:Z105))/(9*武器!$AZ94+9*武器!$BA94)*100</f>
        <v>18.871252204585538</v>
      </c>
      <c r="AT42" s="288">
        <f>(AT33+SUM(武器!AA102:AF102)+SUM(武器!AA105:AF105))/(9*武器!$AZ94+9*武器!$BA94)*100</f>
        <v>20.105820105820104</v>
      </c>
      <c r="AV42" s="3"/>
    </row>
    <row r="43" spans="12:57" x14ac:dyDescent="0.25">
      <c r="M43" s="2"/>
      <c r="N43" s="2"/>
      <c r="O43" s="46" t="s">
        <v>297</v>
      </c>
      <c r="P43" s="46" t="s">
        <v>296</v>
      </c>
      <c r="Q43" s="2"/>
      <c r="R43" s="46" t="s">
        <v>299</v>
      </c>
      <c r="AD43" t="s">
        <v>939</v>
      </c>
      <c r="AE43" s="288">
        <f>(AE38+SUM(武器!C122:H122)+SUM(武器!C127:H127))/(9*武器!$AZ114+9*武器!$BA114)*100</f>
        <v>8.5493827160493829</v>
      </c>
      <c r="AF43" s="288">
        <f>(AF38+SUM(武器!I122:N122)+SUM(武器!I127:N127))/(9*武器!$AZ114+9*武器!$BA114)*100</f>
        <v>11.064814814814815</v>
      </c>
      <c r="AG43" s="288">
        <f>(AG38+SUM(武器!O122:T122)+SUM(武器!O127:T127))/(9*武器!$AZ114+9*武器!$BA114)*100</f>
        <v>10.87962962962963</v>
      </c>
      <c r="AH43" s="288">
        <f>(AH38+SUM(武器!U122:Z122)+SUM(武器!U127:Z127))/(9*武器!$AZ114+9*武器!$BA114)*100</f>
        <v>11.682098765432098</v>
      </c>
      <c r="AI43" s="288">
        <f>(AI38+SUM(武器!AA122:AF122)+SUM(武器!AA127:AF127))/(9*武器!$AZ114+9*武器!$BA114)*100</f>
        <v>9.6450617283950617</v>
      </c>
      <c r="AV43" s="3"/>
    </row>
    <row r="44" spans="12:57" x14ac:dyDescent="0.25">
      <c r="M44" s="2"/>
      <c r="N44" s="2"/>
      <c r="O44" s="46" t="s">
        <v>304</v>
      </c>
      <c r="P44" s="46" t="s">
        <v>300</v>
      </c>
      <c r="Q44" s="2"/>
      <c r="R44" s="46" t="s">
        <v>301</v>
      </c>
    </row>
    <row r="45" spans="12:57" x14ac:dyDescent="0.25">
      <c r="M45" s="2"/>
      <c r="N45" s="2"/>
      <c r="O45" s="2"/>
      <c r="P45" s="46" t="s">
        <v>303</v>
      </c>
      <c r="Q45" s="2"/>
      <c r="R45" s="2"/>
    </row>
  </sheetData>
  <mergeCells count="83">
    <mergeCell ref="AD40:AJ40"/>
    <mergeCell ref="AD42:AJ42"/>
    <mergeCell ref="V32:Y32"/>
    <mergeCell ref="U21:AA21"/>
    <mergeCell ref="U22:U24"/>
    <mergeCell ref="AD28:AF28"/>
    <mergeCell ref="AD26:AF26"/>
    <mergeCell ref="AD37:AJ37"/>
    <mergeCell ref="AG24:AL24"/>
    <mergeCell ref="AG25:AG28"/>
    <mergeCell ref="AG29:AL29"/>
    <mergeCell ref="U2:AA2"/>
    <mergeCell ref="U3:U5"/>
    <mergeCell ref="U7:U8"/>
    <mergeCell ref="U9:U10"/>
    <mergeCell ref="AC19:AI19"/>
    <mergeCell ref="AC2:AI2"/>
    <mergeCell ref="AC3:AC4"/>
    <mergeCell ref="AC5:AC6"/>
    <mergeCell ref="AC16:AI16"/>
    <mergeCell ref="AC8:AC14"/>
    <mergeCell ref="AD13:AD14"/>
    <mergeCell ref="AH13:AH14"/>
    <mergeCell ref="U14:AA14"/>
    <mergeCell ref="U15:U17"/>
    <mergeCell ref="AC17:AC18"/>
    <mergeCell ref="L26:L27"/>
    <mergeCell ref="L31:L33"/>
    <mergeCell ref="U18:U20"/>
    <mergeCell ref="U25:U27"/>
    <mergeCell ref="AC20:AC21"/>
    <mergeCell ref="L34:L35"/>
    <mergeCell ref="L28:L29"/>
    <mergeCell ref="B21:C21"/>
    <mergeCell ref="L25:R25"/>
    <mergeCell ref="B2:C2"/>
    <mergeCell ref="L2:R2"/>
    <mergeCell ref="L3:L5"/>
    <mergeCell ref="L6:L8"/>
    <mergeCell ref="L16:L22"/>
    <mergeCell ref="L11:L14"/>
    <mergeCell ref="B3:B5"/>
    <mergeCell ref="B6:B8"/>
    <mergeCell ref="B9:B11"/>
    <mergeCell ref="B12:B14"/>
    <mergeCell ref="B15:B17"/>
    <mergeCell ref="B18:B20"/>
    <mergeCell ref="AZ1:BB1"/>
    <mergeCell ref="AN2:AT2"/>
    <mergeCell ref="AN8:AN10"/>
    <mergeCell ref="AN19:AT19"/>
    <mergeCell ref="AN13:AN15"/>
    <mergeCell ref="AN12:AT12"/>
    <mergeCell ref="AN16:AN18"/>
    <mergeCell ref="AZ2:BB2"/>
    <mergeCell ref="AW16:AW18"/>
    <mergeCell ref="AZ16:AZ18"/>
    <mergeCell ref="AW13:AW14"/>
    <mergeCell ref="AZ13:AZ14"/>
    <mergeCell ref="AW8:AW11"/>
    <mergeCell ref="AN3:AN6"/>
    <mergeCell ref="AZ8:AZ11"/>
    <mergeCell ref="AW4:AW6"/>
    <mergeCell ref="BC31:BE31"/>
    <mergeCell ref="AG32:AL32"/>
    <mergeCell ref="AG33:AG34"/>
    <mergeCell ref="AG30:AG31"/>
    <mergeCell ref="AW2:AY2"/>
    <mergeCell ref="AZ4:AZ6"/>
    <mergeCell ref="BA28:BA31"/>
    <mergeCell ref="AX24:AX26"/>
    <mergeCell ref="BA24:BA26"/>
    <mergeCell ref="AX20:AX22"/>
    <mergeCell ref="BA20:BA22"/>
    <mergeCell ref="AX28:AX31"/>
    <mergeCell ref="AN20:AN23"/>
    <mergeCell ref="AN24:AN27"/>
    <mergeCell ref="AN39:AT39"/>
    <mergeCell ref="AN40:AN42"/>
    <mergeCell ref="AN36:AN38"/>
    <mergeCell ref="AN30:AT30"/>
    <mergeCell ref="AN31:AN33"/>
    <mergeCell ref="AN35:AT3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1282-8EE9-4992-A291-5F6189DA1125}">
  <dimension ref="A2:BN164"/>
  <sheetViews>
    <sheetView topLeftCell="A109" zoomScale="70" zoomScaleNormal="70" workbookViewId="0">
      <selection activeCell="C138" sqref="C138"/>
    </sheetView>
  </sheetViews>
  <sheetFormatPr defaultRowHeight="13.8" x14ac:dyDescent="0.25"/>
  <cols>
    <col min="1" max="1" width="6" bestFit="1" customWidth="1"/>
    <col min="2" max="2" width="9" style="123" bestFit="1" customWidth="1"/>
    <col min="3" max="3" width="3.77734375" bestFit="1" customWidth="1"/>
    <col min="4" max="5" width="6" bestFit="1" customWidth="1"/>
    <col min="6" max="7" width="7.21875" bestFit="1" customWidth="1"/>
    <col min="8" max="10" width="6" bestFit="1" customWidth="1"/>
    <col min="11" max="11" width="7.44140625" bestFit="1" customWidth="1"/>
    <col min="12" max="12" width="6" bestFit="1" customWidth="1"/>
    <col min="13" max="13" width="7.77734375" bestFit="1" customWidth="1"/>
    <col min="14" max="14" width="7.109375" bestFit="1" customWidth="1"/>
    <col min="15" max="15" width="6" bestFit="1" customWidth="1"/>
    <col min="16" max="16" width="7.21875" bestFit="1" customWidth="1"/>
    <col min="17" max="18" width="6" bestFit="1" customWidth="1"/>
    <col min="19" max="19" width="7.21875" bestFit="1" customWidth="1"/>
    <col min="20" max="20" width="6" bestFit="1" customWidth="1"/>
    <col min="21" max="21" width="7.21875" bestFit="1" customWidth="1"/>
    <col min="22" max="24" width="6" bestFit="1" customWidth="1"/>
    <col min="25" max="26" width="7.21875" bestFit="1" customWidth="1"/>
    <col min="27" max="29" width="6" bestFit="1" customWidth="1"/>
    <col min="30" max="30" width="10.109375" bestFit="1" customWidth="1"/>
    <col min="31" max="31" width="7.21875" bestFit="1" customWidth="1"/>
    <col min="32" max="34" width="6" bestFit="1" customWidth="1"/>
    <col min="35" max="35" width="6.6640625" customWidth="1"/>
    <col min="36" max="37" width="6" bestFit="1" customWidth="1"/>
    <col min="38" max="38" width="3.77734375" bestFit="1" customWidth="1"/>
    <col min="39" max="39" width="5.77734375" bestFit="1" customWidth="1"/>
    <col min="40" max="40" width="6" bestFit="1" customWidth="1"/>
    <col min="41" max="41" width="4.6640625" bestFit="1" customWidth="1"/>
    <col min="42" max="42" width="6" bestFit="1" customWidth="1"/>
    <col min="43" max="43" width="10" bestFit="1" customWidth="1"/>
    <col min="44" max="44" width="6" bestFit="1" customWidth="1"/>
    <col min="45" max="45" width="7.109375" bestFit="1" customWidth="1"/>
    <col min="46" max="46" width="6" bestFit="1" customWidth="1"/>
    <col min="47" max="47" width="4.6640625" bestFit="1" customWidth="1"/>
    <col min="48" max="48" width="6" bestFit="1" customWidth="1"/>
    <col min="49" max="49" width="4.6640625" bestFit="1" customWidth="1"/>
    <col min="50" max="50" width="6" bestFit="1" customWidth="1"/>
    <col min="51" max="51" width="7.44140625" bestFit="1" customWidth="1"/>
    <col min="52" max="52" width="5" customWidth="1"/>
    <col min="53" max="53" width="7.109375" customWidth="1"/>
    <col min="54" max="55" width="5" customWidth="1"/>
    <col min="56" max="56" width="6.21875" bestFit="1" customWidth="1"/>
    <col min="57" max="65" width="3.77734375" bestFit="1" customWidth="1"/>
  </cols>
  <sheetData>
    <row r="2" spans="1:54" x14ac:dyDescent="0.25"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</row>
    <row r="3" spans="1:54" s="123" customFormat="1" x14ac:dyDescent="0.25">
      <c r="B3" s="200" t="s">
        <v>46</v>
      </c>
      <c r="C3" s="359" t="s">
        <v>630</v>
      </c>
      <c r="D3" s="360"/>
      <c r="E3" s="360"/>
      <c r="F3" s="360"/>
      <c r="G3" s="361"/>
      <c r="H3" s="362" t="s">
        <v>632</v>
      </c>
      <c r="I3" s="363"/>
      <c r="J3" s="363"/>
      <c r="K3" s="363"/>
      <c r="L3" s="364"/>
      <c r="M3" s="365" t="s">
        <v>634</v>
      </c>
      <c r="N3" s="366"/>
      <c r="O3" s="366"/>
      <c r="P3" s="366"/>
      <c r="Q3" s="367"/>
      <c r="R3" s="371" t="s">
        <v>635</v>
      </c>
      <c r="S3" s="372"/>
      <c r="T3" s="372"/>
      <c r="U3" s="372"/>
      <c r="V3" s="373"/>
      <c r="W3" s="368" t="s">
        <v>636</v>
      </c>
      <c r="X3" s="369"/>
      <c r="Y3" s="369"/>
      <c r="Z3" s="369"/>
      <c r="AA3" s="370"/>
      <c r="AD3" s="318" t="s">
        <v>982</v>
      </c>
      <c r="AE3" s="314"/>
    </row>
    <row r="4" spans="1:54" s="123" customFormat="1" x14ac:dyDescent="0.25">
      <c r="B4" s="128" t="s">
        <v>871</v>
      </c>
      <c r="C4" s="135" t="s">
        <v>5</v>
      </c>
      <c r="D4" s="136" t="s">
        <v>813</v>
      </c>
      <c r="E4" s="137" t="s">
        <v>844</v>
      </c>
      <c r="F4" s="137" t="s">
        <v>846</v>
      </c>
      <c r="G4" s="138" t="s">
        <v>814</v>
      </c>
      <c r="H4" s="144" t="s">
        <v>5</v>
      </c>
      <c r="I4" s="145" t="s">
        <v>813</v>
      </c>
      <c r="J4" s="146" t="s">
        <v>844</v>
      </c>
      <c r="K4" s="146" t="s">
        <v>846</v>
      </c>
      <c r="L4" s="147" t="s">
        <v>814</v>
      </c>
      <c r="M4" s="153" t="s">
        <v>5</v>
      </c>
      <c r="N4" s="154" t="s">
        <v>813</v>
      </c>
      <c r="O4" s="155" t="s">
        <v>844</v>
      </c>
      <c r="P4" s="155" t="s">
        <v>846</v>
      </c>
      <c r="Q4" s="156" t="s">
        <v>814</v>
      </c>
      <c r="R4" s="162" t="s">
        <v>5</v>
      </c>
      <c r="S4" s="163" t="s">
        <v>813</v>
      </c>
      <c r="T4" s="164" t="s">
        <v>844</v>
      </c>
      <c r="U4" s="164" t="s">
        <v>846</v>
      </c>
      <c r="V4" s="165" t="s">
        <v>814</v>
      </c>
      <c r="W4" s="171" t="s">
        <v>5</v>
      </c>
      <c r="X4" s="172" t="s">
        <v>813</v>
      </c>
      <c r="Y4" s="173" t="s">
        <v>844</v>
      </c>
      <c r="Z4" s="173" t="s">
        <v>846</v>
      </c>
      <c r="AA4" s="174" t="s">
        <v>814</v>
      </c>
      <c r="AD4" s="4" t="s">
        <v>880</v>
      </c>
      <c r="AE4" s="236" t="s">
        <v>881</v>
      </c>
      <c r="AO4" s="123" t="s">
        <v>875</v>
      </c>
      <c r="AQ4" s="123" t="s">
        <v>875</v>
      </c>
    </row>
    <row r="5" spans="1:54" x14ac:dyDescent="0.25">
      <c r="B5" s="200" t="s">
        <v>1</v>
      </c>
      <c r="C5" s="201">
        <v>35</v>
      </c>
      <c r="D5" s="202">
        <v>1</v>
      </c>
      <c r="E5" s="202">
        <v>0</v>
      </c>
      <c r="F5" s="202">
        <v>0</v>
      </c>
      <c r="G5" s="203">
        <v>1</v>
      </c>
      <c r="H5" s="204">
        <v>30</v>
      </c>
      <c r="I5" s="205">
        <v>0</v>
      </c>
      <c r="J5" s="205">
        <v>0</v>
      </c>
      <c r="K5" s="205">
        <v>0</v>
      </c>
      <c r="L5" s="206">
        <v>1</v>
      </c>
      <c r="M5" s="207">
        <v>30</v>
      </c>
      <c r="N5" s="208">
        <v>0</v>
      </c>
      <c r="O5" s="208">
        <v>0</v>
      </c>
      <c r="P5" s="208">
        <v>0</v>
      </c>
      <c r="Q5" s="209">
        <v>1</v>
      </c>
      <c r="R5" s="210">
        <v>30</v>
      </c>
      <c r="S5" s="211">
        <v>0</v>
      </c>
      <c r="T5" s="211">
        <v>0</v>
      </c>
      <c r="U5" s="211">
        <v>0</v>
      </c>
      <c r="V5" s="212">
        <v>1</v>
      </c>
      <c r="W5" s="213">
        <v>30</v>
      </c>
      <c r="X5" s="214">
        <v>0</v>
      </c>
      <c r="Y5" s="214">
        <v>0</v>
      </c>
      <c r="Z5" s="214">
        <v>0</v>
      </c>
      <c r="AA5" s="215">
        <v>1</v>
      </c>
      <c r="AD5">
        <f>225*SUM(D5,I5,N5,S5,X5)+25*SUM(F5,K5,P5,U5,Z5)+225*(COUNTIF(G5,"&gt;=1")+COUNTIF(L5,"&gt;=1")+COUNTIF(Q5,"&gt;=1")+COUNTIF(V5,"&gt;=1")+COUNTIF(AA5,"&gt;=1"))</f>
        <v>1350</v>
      </c>
      <c r="AE5">
        <f>25*SUM(E5,J5,O5,T5,Y5)+1125*(COUNTIF(G5,"&gt;=2")+COUNTIF(L5,"&gt;=2")+COUNTIF(Q5,"&gt;=2")+COUNTIF(V5,"&gt;=2")+COUNTIF(AA5,"&gt;=2") + COUNTIF(G5,"&gt;=3")+COUNTIF(L5,"&gt;=3")+COUNTIF(Q5,"&gt;=3")+COUNTIF(V5,"&gt;=3")+COUNTIF(AA5,"&gt;=3") + (COUNTIF(G5,"&gt;=4")+COUNTIF(L5,"&gt;=4")+COUNTIF(Q5,"&gt;=4")+COUNTIF(V5,"&gt;=4")+COUNTIF(AA5,"&gt;=4")))</f>
        <v>0</v>
      </c>
      <c r="AI5" s="132"/>
      <c r="AJ5" s="132"/>
      <c r="AK5" s="124" t="s">
        <v>645</v>
      </c>
      <c r="AL5" s="132"/>
      <c r="AM5" s="132"/>
      <c r="AN5" s="132"/>
      <c r="AQ5" s="4" t="s">
        <v>814</v>
      </c>
      <c r="AU5" s="4" t="s">
        <v>129</v>
      </c>
      <c r="AX5" s="3"/>
    </row>
    <row r="6" spans="1:54" x14ac:dyDescent="0.25">
      <c r="B6" s="14" t="s">
        <v>806</v>
      </c>
      <c r="C6" s="180">
        <v>50</v>
      </c>
      <c r="D6" s="181">
        <v>4</v>
      </c>
      <c r="E6" s="181">
        <v>0</v>
      </c>
      <c r="F6" s="181">
        <v>0</v>
      </c>
      <c r="G6" s="182">
        <v>1</v>
      </c>
      <c r="H6" s="183">
        <v>30</v>
      </c>
      <c r="I6" s="184">
        <v>0</v>
      </c>
      <c r="J6" s="184">
        <v>0</v>
      </c>
      <c r="K6" s="184">
        <v>0</v>
      </c>
      <c r="L6" s="185">
        <v>1</v>
      </c>
      <c r="M6" s="186">
        <v>30</v>
      </c>
      <c r="N6" s="187">
        <v>0</v>
      </c>
      <c r="O6" s="187">
        <v>0</v>
      </c>
      <c r="P6" s="187">
        <v>0</v>
      </c>
      <c r="Q6" s="188">
        <v>1</v>
      </c>
      <c r="R6" s="192">
        <v>30</v>
      </c>
      <c r="S6" s="193">
        <v>0</v>
      </c>
      <c r="T6" s="193">
        <v>0</v>
      </c>
      <c r="U6" s="193">
        <v>0</v>
      </c>
      <c r="V6" s="196">
        <v>1</v>
      </c>
      <c r="W6" s="194">
        <v>30</v>
      </c>
      <c r="X6" s="195">
        <v>0</v>
      </c>
      <c r="Y6" s="195">
        <v>0</v>
      </c>
      <c r="Z6" s="195">
        <v>0</v>
      </c>
      <c r="AA6" s="197">
        <v>1</v>
      </c>
      <c r="AD6">
        <f t="shared" ref="AD6:AD13" si="0">225*SUM(D6,I6,N6,S6,X6)+25*SUM(F6,K6,P6,U6,Z6)+225*(COUNTIF(G6,"&gt;=1")+COUNTIF(L6,"&gt;=1")+COUNTIF(Q6,"&gt;=1")+COUNTIF(V6,"&gt;=1")+COUNTIF(AA6,"&gt;=1"))</f>
        <v>2025</v>
      </c>
      <c r="AE6">
        <f t="shared" ref="AE6:AE13" si="1">25*SUM(E6,J6,O6,T6,Y6)+1125*(COUNTIF(G6,"&gt;=2")+COUNTIF(L6,"&gt;=2")+COUNTIF(Q6,"&gt;=2")+COUNTIF(V6,"&gt;=2")+COUNTIF(AA6,"&gt;=2") + COUNTIF(G6,"&gt;=3")+COUNTIF(L6,"&gt;=3")+COUNTIF(Q6,"&gt;=3")+COUNTIF(V6,"&gt;=3")+COUNTIF(AA6,"&gt;=3") + (COUNTIF(G6,"&gt;=4")+COUNTIF(L6,"&gt;=4")+COUNTIF(Q6,"&gt;=4")+COUNTIF(V6,"&gt;=4")+COUNTIF(AA6,"&gt;=4")))</f>
        <v>0</v>
      </c>
      <c r="AI6" s="123"/>
      <c r="AJ6" s="124" t="s">
        <v>840</v>
      </c>
      <c r="AK6" s="123">
        <v>1</v>
      </c>
      <c r="AL6" s="123">
        <v>2</v>
      </c>
      <c r="AM6" s="123">
        <v>3</v>
      </c>
      <c r="AN6" s="123">
        <v>4</v>
      </c>
      <c r="AO6" s="124" t="s">
        <v>126</v>
      </c>
      <c r="AP6" s="124" t="s">
        <v>848</v>
      </c>
      <c r="AQ6">
        <v>2</v>
      </c>
      <c r="AR6">
        <v>3</v>
      </c>
      <c r="AS6">
        <v>4</v>
      </c>
      <c r="AU6" s="4" t="s">
        <v>880</v>
      </c>
      <c r="AV6" s="236" t="s">
        <v>881</v>
      </c>
      <c r="AX6" s="3"/>
      <c r="AY6" s="3"/>
      <c r="AZ6" s="3"/>
      <c r="BA6" s="3"/>
      <c r="BB6" s="3"/>
    </row>
    <row r="7" spans="1:54" x14ac:dyDescent="0.25">
      <c r="B7" s="14" t="s">
        <v>807</v>
      </c>
      <c r="C7" s="180">
        <v>30</v>
      </c>
      <c r="D7" s="181">
        <v>0</v>
      </c>
      <c r="E7" s="181">
        <v>0</v>
      </c>
      <c r="F7" s="181">
        <v>0</v>
      </c>
      <c r="G7" s="182">
        <v>1</v>
      </c>
      <c r="H7" s="183">
        <v>30</v>
      </c>
      <c r="I7" s="184">
        <v>0</v>
      </c>
      <c r="J7" s="184">
        <v>0</v>
      </c>
      <c r="K7" s="184">
        <v>0</v>
      </c>
      <c r="L7" s="185">
        <v>1</v>
      </c>
      <c r="M7" s="186">
        <v>30</v>
      </c>
      <c r="N7" s="187">
        <v>0</v>
      </c>
      <c r="O7" s="187">
        <v>0</v>
      </c>
      <c r="P7" s="187">
        <v>0</v>
      </c>
      <c r="Q7" s="188">
        <v>1</v>
      </c>
      <c r="R7" s="192">
        <v>30</v>
      </c>
      <c r="S7" s="193">
        <v>0</v>
      </c>
      <c r="T7" s="193">
        <v>0</v>
      </c>
      <c r="U7" s="193">
        <v>0</v>
      </c>
      <c r="V7" s="196">
        <v>1</v>
      </c>
      <c r="W7" s="194">
        <v>30</v>
      </c>
      <c r="X7" s="195">
        <v>0</v>
      </c>
      <c r="Y7" s="195">
        <v>0</v>
      </c>
      <c r="Z7" s="195">
        <v>0</v>
      </c>
      <c r="AA7" s="197">
        <v>1</v>
      </c>
      <c r="AD7">
        <f t="shared" si="0"/>
        <v>1125</v>
      </c>
      <c r="AE7">
        <f t="shared" si="1"/>
        <v>0</v>
      </c>
      <c r="AI7" s="240" t="s">
        <v>841</v>
      </c>
      <c r="AJ7" s="123">
        <v>300</v>
      </c>
      <c r="AK7" s="123"/>
      <c r="AL7" s="123"/>
      <c r="AM7" s="123"/>
      <c r="AN7" s="123"/>
      <c r="AO7" s="123"/>
      <c r="AP7" s="123"/>
      <c r="AQ7">
        <v>300</v>
      </c>
      <c r="AR7">
        <v>300</v>
      </c>
      <c r="AS7">
        <v>300</v>
      </c>
      <c r="AU7">
        <f>SUM(AJ7:AO7)</f>
        <v>300</v>
      </c>
      <c r="AV7">
        <f>SUM(AP7:AS7)</f>
        <v>900</v>
      </c>
    </row>
    <row r="8" spans="1:54" x14ac:dyDescent="0.25">
      <c r="B8" s="200" t="s">
        <v>808</v>
      </c>
      <c r="C8" s="201">
        <v>30</v>
      </c>
      <c r="D8" s="202">
        <v>0</v>
      </c>
      <c r="E8" s="202">
        <v>0</v>
      </c>
      <c r="F8" s="202">
        <v>0</v>
      </c>
      <c r="G8" s="203">
        <v>1</v>
      </c>
      <c r="H8" s="204">
        <v>30</v>
      </c>
      <c r="I8" s="205">
        <v>0</v>
      </c>
      <c r="J8" s="205">
        <v>0</v>
      </c>
      <c r="K8" s="205">
        <v>0</v>
      </c>
      <c r="L8" s="206">
        <v>1</v>
      </c>
      <c r="M8" s="207">
        <v>30</v>
      </c>
      <c r="N8" s="208">
        <v>0</v>
      </c>
      <c r="O8" s="208">
        <v>0</v>
      </c>
      <c r="P8" s="208">
        <v>0</v>
      </c>
      <c r="Q8" s="209">
        <v>1</v>
      </c>
      <c r="R8" s="210">
        <v>30</v>
      </c>
      <c r="S8" s="211">
        <v>0</v>
      </c>
      <c r="T8" s="211">
        <v>0</v>
      </c>
      <c r="U8" s="211">
        <v>0</v>
      </c>
      <c r="V8" s="212">
        <v>1</v>
      </c>
      <c r="W8" s="213">
        <v>30</v>
      </c>
      <c r="X8" s="214">
        <v>0</v>
      </c>
      <c r="Y8" s="214">
        <v>0</v>
      </c>
      <c r="Z8" s="214">
        <v>0</v>
      </c>
      <c r="AA8" s="215">
        <v>1</v>
      </c>
      <c r="AD8">
        <f t="shared" si="0"/>
        <v>1125</v>
      </c>
      <c r="AE8">
        <f t="shared" si="1"/>
        <v>0</v>
      </c>
      <c r="AI8" s="240" t="s">
        <v>847</v>
      </c>
      <c r="AK8" s="123">
        <v>60</v>
      </c>
      <c r="AL8" s="123">
        <v>120</v>
      </c>
      <c r="AM8" s="123">
        <v>180</v>
      </c>
      <c r="AN8" s="123">
        <v>240</v>
      </c>
      <c r="AO8" s="4"/>
      <c r="AQ8">
        <v>600</v>
      </c>
      <c r="AR8">
        <v>600</v>
      </c>
      <c r="AS8">
        <v>600</v>
      </c>
      <c r="AU8">
        <f t="shared" ref="AU8:AU11" si="2">SUM(AJ8:AO8)</f>
        <v>600</v>
      </c>
      <c r="AV8">
        <f t="shared" ref="AV8:AV11" si="3">SUM(AP8:AS8)</f>
        <v>1800</v>
      </c>
    </row>
    <row r="9" spans="1:54" x14ac:dyDescent="0.25">
      <c r="B9" s="14" t="s">
        <v>809</v>
      </c>
      <c r="C9" s="180">
        <v>30</v>
      </c>
      <c r="D9" s="181">
        <v>0</v>
      </c>
      <c r="E9" s="181">
        <v>0</v>
      </c>
      <c r="F9" s="181">
        <v>0</v>
      </c>
      <c r="G9" s="182">
        <v>1</v>
      </c>
      <c r="H9" s="183">
        <v>35</v>
      </c>
      <c r="I9" s="184">
        <v>1</v>
      </c>
      <c r="J9" s="184">
        <v>0</v>
      </c>
      <c r="K9" s="184">
        <v>0</v>
      </c>
      <c r="L9" s="185">
        <v>1</v>
      </c>
      <c r="M9" s="186">
        <v>30</v>
      </c>
      <c r="N9" s="187">
        <v>0</v>
      </c>
      <c r="O9" s="187">
        <v>0</v>
      </c>
      <c r="P9" s="187">
        <v>0</v>
      </c>
      <c r="Q9" s="188">
        <v>1</v>
      </c>
      <c r="R9" s="192">
        <v>30</v>
      </c>
      <c r="S9" s="193">
        <v>0</v>
      </c>
      <c r="T9" s="193">
        <v>0</v>
      </c>
      <c r="U9" s="193">
        <v>0</v>
      </c>
      <c r="V9" s="196">
        <v>1</v>
      </c>
      <c r="W9" s="194">
        <v>30</v>
      </c>
      <c r="X9" s="195">
        <v>0</v>
      </c>
      <c r="Y9" s="195">
        <v>0</v>
      </c>
      <c r="Z9" s="195">
        <v>0</v>
      </c>
      <c r="AA9" s="197">
        <v>1</v>
      </c>
      <c r="AD9">
        <f t="shared" si="0"/>
        <v>1350</v>
      </c>
      <c r="AE9">
        <f t="shared" si="1"/>
        <v>0</v>
      </c>
      <c r="AI9" s="240" t="s">
        <v>842</v>
      </c>
      <c r="AJ9">
        <v>7</v>
      </c>
      <c r="AK9">
        <v>7</v>
      </c>
      <c r="AL9">
        <v>7</v>
      </c>
      <c r="AM9">
        <v>7</v>
      </c>
      <c r="AN9">
        <v>7</v>
      </c>
      <c r="AO9">
        <v>1</v>
      </c>
      <c r="AP9">
        <v>1</v>
      </c>
      <c r="AQ9">
        <v>35</v>
      </c>
      <c r="AR9">
        <v>35</v>
      </c>
      <c r="AS9">
        <v>35</v>
      </c>
      <c r="AU9">
        <f t="shared" si="2"/>
        <v>36</v>
      </c>
      <c r="AV9">
        <f t="shared" si="3"/>
        <v>106</v>
      </c>
    </row>
    <row r="10" spans="1:54" x14ac:dyDescent="0.25">
      <c r="B10" s="133" t="s">
        <v>810</v>
      </c>
      <c r="C10" s="135">
        <v>30</v>
      </c>
      <c r="D10" s="137">
        <v>0</v>
      </c>
      <c r="E10" s="137">
        <v>0</v>
      </c>
      <c r="F10" s="137">
        <v>0</v>
      </c>
      <c r="G10" s="189">
        <v>1</v>
      </c>
      <c r="H10" s="144">
        <v>30</v>
      </c>
      <c r="I10" s="146">
        <v>0</v>
      </c>
      <c r="J10" s="146">
        <v>0</v>
      </c>
      <c r="K10" s="146">
        <v>0</v>
      </c>
      <c r="L10" s="190">
        <v>1</v>
      </c>
      <c r="M10" s="153">
        <v>30</v>
      </c>
      <c r="N10" s="155">
        <v>0</v>
      </c>
      <c r="O10" s="155">
        <v>0</v>
      </c>
      <c r="P10" s="155">
        <v>0</v>
      </c>
      <c r="Q10" s="191">
        <v>1</v>
      </c>
      <c r="R10" s="162">
        <v>30</v>
      </c>
      <c r="S10" s="164">
        <v>0</v>
      </c>
      <c r="T10" s="164">
        <v>0</v>
      </c>
      <c r="U10" s="164">
        <v>0</v>
      </c>
      <c r="V10" s="198">
        <v>1</v>
      </c>
      <c r="W10" s="171">
        <v>30</v>
      </c>
      <c r="X10" s="173">
        <v>0</v>
      </c>
      <c r="Y10" s="173">
        <v>0</v>
      </c>
      <c r="Z10" s="173">
        <v>0</v>
      </c>
      <c r="AA10" s="199">
        <v>1</v>
      </c>
      <c r="AD10">
        <f t="shared" si="0"/>
        <v>1125</v>
      </c>
      <c r="AE10">
        <f t="shared" si="1"/>
        <v>0</v>
      </c>
      <c r="AI10" s="240" t="s">
        <v>869</v>
      </c>
      <c r="AJ10">
        <v>155</v>
      </c>
      <c r="AK10" s="130">
        <v>155</v>
      </c>
      <c r="AL10" s="130">
        <v>155</v>
      </c>
      <c r="AM10" s="130">
        <v>155</v>
      </c>
      <c r="AN10" s="130">
        <v>155</v>
      </c>
      <c r="AO10" s="130">
        <v>25</v>
      </c>
      <c r="AP10" s="130">
        <v>25</v>
      </c>
      <c r="AQ10" s="130">
        <v>775</v>
      </c>
      <c r="AR10" s="130">
        <v>775</v>
      </c>
      <c r="AS10" s="130">
        <v>775</v>
      </c>
      <c r="AU10">
        <f>SUM(AJ10:AO10)</f>
        <v>800</v>
      </c>
      <c r="AV10">
        <f t="shared" si="3"/>
        <v>2350</v>
      </c>
    </row>
    <row r="11" spans="1:54" x14ac:dyDescent="0.25">
      <c r="B11" s="14" t="s">
        <v>811</v>
      </c>
      <c r="C11" s="180">
        <v>30</v>
      </c>
      <c r="D11" s="181">
        <v>0</v>
      </c>
      <c r="E11" s="181">
        <v>0</v>
      </c>
      <c r="F11" s="181">
        <v>0</v>
      </c>
      <c r="G11" s="182">
        <v>1</v>
      </c>
      <c r="H11" s="183">
        <v>30</v>
      </c>
      <c r="I11" s="184">
        <v>0</v>
      </c>
      <c r="J11" s="184">
        <v>0</v>
      </c>
      <c r="K11" s="184">
        <v>0</v>
      </c>
      <c r="L11" s="185">
        <v>1</v>
      </c>
      <c r="M11" s="186">
        <v>30</v>
      </c>
      <c r="N11" s="187">
        <v>0</v>
      </c>
      <c r="O11" s="187">
        <v>0</v>
      </c>
      <c r="P11" s="187">
        <v>0</v>
      </c>
      <c r="Q11" s="188">
        <v>1</v>
      </c>
      <c r="R11" s="192">
        <v>30</v>
      </c>
      <c r="S11" s="193">
        <v>0</v>
      </c>
      <c r="T11" s="193">
        <v>0</v>
      </c>
      <c r="U11" s="193">
        <v>0</v>
      </c>
      <c r="V11" s="196">
        <v>1</v>
      </c>
      <c r="W11" s="194">
        <v>30</v>
      </c>
      <c r="X11" s="195">
        <v>0</v>
      </c>
      <c r="Y11" s="195">
        <v>0</v>
      </c>
      <c r="Z11" s="195">
        <v>0</v>
      </c>
      <c r="AA11" s="197">
        <v>1</v>
      </c>
      <c r="AD11">
        <f t="shared" si="0"/>
        <v>1125</v>
      </c>
      <c r="AE11">
        <f t="shared" si="1"/>
        <v>0</v>
      </c>
      <c r="AI11" s="240" t="s">
        <v>870</v>
      </c>
      <c r="AJ11">
        <v>225</v>
      </c>
      <c r="AK11" s="130">
        <v>225</v>
      </c>
      <c r="AL11" s="130">
        <v>225</v>
      </c>
      <c r="AM11" s="130">
        <v>225</v>
      </c>
      <c r="AN11" s="130">
        <v>225</v>
      </c>
      <c r="AO11" s="130">
        <v>25</v>
      </c>
      <c r="AP11" s="130">
        <v>25</v>
      </c>
      <c r="AQ11" s="130">
        <v>1125</v>
      </c>
      <c r="AR11" s="130">
        <v>1125</v>
      </c>
      <c r="AS11" s="130">
        <v>1125</v>
      </c>
      <c r="AU11">
        <f t="shared" si="2"/>
        <v>1150</v>
      </c>
      <c r="AV11">
        <f t="shared" si="3"/>
        <v>3400</v>
      </c>
      <c r="AW11" s="125"/>
      <c r="AY11" s="125"/>
      <c r="AZ11" s="125"/>
      <c r="BA11" s="125"/>
      <c r="BB11" s="126"/>
    </row>
    <row r="12" spans="1:54" x14ac:dyDescent="0.25">
      <c r="B12" s="14" t="s">
        <v>812</v>
      </c>
      <c r="C12" s="180">
        <v>50</v>
      </c>
      <c r="D12" s="181">
        <v>4</v>
      </c>
      <c r="E12" s="181">
        <v>0</v>
      </c>
      <c r="F12" s="181">
        <v>1</v>
      </c>
      <c r="G12" s="182">
        <v>1</v>
      </c>
      <c r="H12" s="183">
        <v>50</v>
      </c>
      <c r="I12" s="184">
        <v>4</v>
      </c>
      <c r="J12" s="184">
        <v>0</v>
      </c>
      <c r="K12" s="184">
        <v>1</v>
      </c>
      <c r="L12" s="185">
        <v>1</v>
      </c>
      <c r="M12" s="186">
        <v>50</v>
      </c>
      <c r="N12" s="187">
        <v>4</v>
      </c>
      <c r="O12" s="187">
        <v>0</v>
      </c>
      <c r="P12" s="187">
        <v>1</v>
      </c>
      <c r="Q12" s="188">
        <v>1</v>
      </c>
      <c r="R12" s="192">
        <v>50</v>
      </c>
      <c r="S12" s="193">
        <v>4</v>
      </c>
      <c r="T12" s="193">
        <v>0</v>
      </c>
      <c r="U12" s="193">
        <v>1</v>
      </c>
      <c r="V12" s="196">
        <v>1</v>
      </c>
      <c r="W12" s="194">
        <v>50</v>
      </c>
      <c r="X12" s="195">
        <v>4</v>
      </c>
      <c r="Y12" s="195">
        <v>0</v>
      </c>
      <c r="Z12" s="195">
        <v>1</v>
      </c>
      <c r="AA12" s="197">
        <v>1</v>
      </c>
      <c r="AD12">
        <f t="shared" si="0"/>
        <v>5750</v>
      </c>
      <c r="AE12">
        <f t="shared" si="1"/>
        <v>0</v>
      </c>
    </row>
    <row r="13" spans="1:54" x14ac:dyDescent="0.25">
      <c r="B13" s="133" t="s">
        <v>820</v>
      </c>
      <c r="C13" s="135">
        <v>30</v>
      </c>
      <c r="D13" s="137">
        <v>0</v>
      </c>
      <c r="E13" s="137">
        <v>0</v>
      </c>
      <c r="F13" s="137">
        <v>0</v>
      </c>
      <c r="G13" s="189">
        <v>1</v>
      </c>
      <c r="H13" s="144">
        <v>30</v>
      </c>
      <c r="I13" s="146">
        <v>0</v>
      </c>
      <c r="J13" s="146">
        <v>0</v>
      </c>
      <c r="K13" s="146">
        <v>0</v>
      </c>
      <c r="L13" s="190">
        <v>1</v>
      </c>
      <c r="M13" s="153">
        <v>30</v>
      </c>
      <c r="N13" s="155">
        <v>0</v>
      </c>
      <c r="O13" s="155">
        <v>0</v>
      </c>
      <c r="P13" s="155">
        <v>0</v>
      </c>
      <c r="Q13" s="191">
        <v>1</v>
      </c>
      <c r="R13" s="162">
        <v>30</v>
      </c>
      <c r="S13" s="164">
        <v>0</v>
      </c>
      <c r="T13" s="164">
        <v>0</v>
      </c>
      <c r="U13" s="164">
        <v>0</v>
      </c>
      <c r="V13" s="198">
        <v>1</v>
      </c>
      <c r="W13" s="171"/>
      <c r="X13" s="173"/>
      <c r="Y13" s="173"/>
      <c r="Z13" s="173"/>
      <c r="AA13" s="199"/>
      <c r="AD13">
        <f t="shared" si="0"/>
        <v>900</v>
      </c>
      <c r="AE13">
        <f t="shared" si="1"/>
        <v>0</v>
      </c>
    </row>
    <row r="14" spans="1:54" x14ac:dyDescent="0.25">
      <c r="B14" s="239" t="s">
        <v>949</v>
      </c>
      <c r="D14" t="s">
        <v>957</v>
      </c>
      <c r="E14" t="s">
        <v>961</v>
      </c>
      <c r="F14" t="s">
        <v>958</v>
      </c>
      <c r="G14" t="s">
        <v>962</v>
      </c>
    </row>
    <row r="15" spans="1:54" x14ac:dyDescent="0.25">
      <c r="A15" s="355" t="s">
        <v>959</v>
      </c>
      <c r="B15" s="240" t="s">
        <v>841</v>
      </c>
      <c r="D15">
        <f>COUNTIF(D$5:D$13,"=1")*$AK7+COUNTIF(D$5:D$13,"=2")*($AK7+$AL7)+COUNTIF(D$5:D$13,"=3")*($AK7+$AL7+$AM7)+COUNTIF(D$5:D$13,"=4")*($AK7+$AL7+$AM7+$AN7)</f>
        <v>0</v>
      </c>
      <c r="F15">
        <f>SUM(F$5:F$13)*$AO7</f>
        <v>0</v>
      </c>
      <c r="G15">
        <f>COUNTIF(G$5:G$13,"&gt;=1")*$AJ7</f>
        <v>2700</v>
      </c>
      <c r="I15">
        <f>COUNTIF(I$5:I$13,"=1")*$AK7+COUNTIF(I$5:I$13,"=2")*($AK7+$AL7)+COUNTIF(I$5:I$13,"=3")*($AK7+$AL7+$AM7)+COUNTIF(I$5:I$13,"=4")*($AK7+$AL7+$AM7+$AN7)</f>
        <v>0</v>
      </c>
      <c r="K15">
        <f>SUM(K$5:K$13)*$AO7</f>
        <v>0</v>
      </c>
      <c r="L15">
        <f>COUNTIF(L$5:L$13,"&gt;=1")*$AJ7</f>
        <v>2700</v>
      </c>
      <c r="N15">
        <f>COUNTIF(N$5:N$13,"=1")*$AK7+COUNTIF(N$5:N$13,"=2")*($AK7+$AL7)+COUNTIF(N$5:N$13,"=3")*($AK7+$AL7+$AM7)+COUNTIF(N$5:N$13,"=4")*($AK7+$AL7+$AM7+$AN7)</f>
        <v>0</v>
      </c>
      <c r="P15">
        <f>SUM(P$5:P$13)*$AO7</f>
        <v>0</v>
      </c>
      <c r="Q15">
        <f>COUNTIF(Q$5:Q$13,"&gt;=1")*$AJ7</f>
        <v>2700</v>
      </c>
      <c r="S15">
        <f>COUNTIF(S$5:S$13,"=1")*$AK7+COUNTIF(S$5:S$13,"=2")*($AK7+$AL7)+COUNTIF(S$5:S$13,"=3")*($AK7+$AL7+$AM7)+COUNTIF(S$5:S$13,"=4")*($AK7+$AL7+$AM7+$AN7)</f>
        <v>0</v>
      </c>
      <c r="U15">
        <f>SUM(U$5:U$13)*$AO7</f>
        <v>0</v>
      </c>
      <c r="V15">
        <f>COUNTIF(V$5:V$13,"&gt;=1")*$AJ7</f>
        <v>2700</v>
      </c>
      <c r="X15">
        <f>COUNTIF(X$5:X$13,"=1")*$AK7+COUNTIF(X$5:X$13,"=2")*($AK7+$AL7)+COUNTIF(X$5:X$13,"=3")*($AK7+$AL7+$AM7)+COUNTIF(X$5:X$13,"=4")*($AK7+$AL7+$AM7+$AN7)</f>
        <v>0</v>
      </c>
      <c r="Z15">
        <f>SUM(Z$5:Z$13)*$AO7</f>
        <v>0</v>
      </c>
      <c r="AA15">
        <f>COUNTIF(AA$5:AA$13,"&gt;=1")*$AJ7</f>
        <v>2400</v>
      </c>
    </row>
    <row r="16" spans="1:54" x14ac:dyDescent="0.25">
      <c r="A16" s="355"/>
      <c r="B16" s="240" t="s">
        <v>847</v>
      </c>
      <c r="D16">
        <f t="shared" ref="D16:D19" si="4">COUNTIF(D$5:D$13,"=1")*$AK8+COUNTIF(D$5:D$13,"=2")*($AK8+$AL8)+COUNTIF(D$5:D$13,"=3")*($AK8+$AL8+$AM8)+COUNTIF(D$5:D$13,"=4")*($AK8+$AL8+$AM8+$AN8)</f>
        <v>1260</v>
      </c>
      <c r="F16">
        <f>SUM(F$5:F$13)*$AO8</f>
        <v>0</v>
      </c>
      <c r="G16">
        <f t="shared" ref="G16:G19" si="5">COUNTIF(G$5:G$13,"&gt;=1")*$AJ8</f>
        <v>0</v>
      </c>
      <c r="I16">
        <f t="shared" ref="I16:I19" si="6">COUNTIF(I$5:I$13,"=1")*$AK8+COUNTIF(I$5:I$13,"=2")*($AK8+$AL8)+COUNTIF(I$5:I$13,"=3")*($AK8+$AL8+$AM8)+COUNTIF(I$5:I$13,"=4")*($AK8+$AL8+$AM8+$AN8)</f>
        <v>660</v>
      </c>
      <c r="K16">
        <f>SUM(K$5:K$13)*$AO8</f>
        <v>0</v>
      </c>
      <c r="L16">
        <f t="shared" ref="L16:L19" si="7">COUNTIF(L$5:L$13,"&gt;=1")*$AJ8</f>
        <v>0</v>
      </c>
      <c r="N16">
        <f t="shared" ref="N16:N19" si="8">COUNTIF(N$5:N$13,"=1")*$AK8+COUNTIF(N$5:N$13,"=2")*($AK8+$AL8)+COUNTIF(N$5:N$13,"=3")*($AK8+$AL8+$AM8)+COUNTIF(N$5:N$13,"=4")*($AK8+$AL8+$AM8+$AN8)</f>
        <v>600</v>
      </c>
      <c r="P16">
        <f>SUM(P$5:P$13)*$AO8</f>
        <v>0</v>
      </c>
      <c r="Q16">
        <f t="shared" ref="Q16:Q18" si="9">COUNTIF(Q$5:Q$13,"&gt;=1")*$AJ8</f>
        <v>0</v>
      </c>
      <c r="S16">
        <f t="shared" ref="S16:S19" si="10">COUNTIF(S$5:S$13,"=1")*$AK8+COUNTIF(S$5:S$13,"=2")*($AK8+$AL8)+COUNTIF(S$5:S$13,"=3")*($AK8+$AL8+$AM8)+COUNTIF(S$5:S$13,"=4")*($AK8+$AL8+$AM8+$AN8)</f>
        <v>600</v>
      </c>
      <c r="U16">
        <f>SUM(U$5:U$13)*$AO8</f>
        <v>0</v>
      </c>
      <c r="V16">
        <f t="shared" ref="V16:V19" si="11">COUNTIF(V$5:V$13,"&gt;=1")*$AJ8</f>
        <v>0</v>
      </c>
      <c r="X16">
        <f t="shared" ref="X16:X19" si="12">COUNTIF(X$5:X$13,"=1")*$AK8+COUNTIF(X$5:X$13,"=2")*($AK8+$AL8)+COUNTIF(X$5:X$13,"=3")*($AK8+$AL8+$AM8)+COUNTIF(X$5:X$13,"=4")*($AK8+$AL8+$AM8+$AN8)</f>
        <v>600</v>
      </c>
      <c r="Z16">
        <f>SUM(Z$5:Z$13)*$AO8</f>
        <v>0</v>
      </c>
      <c r="AA16">
        <f t="shared" ref="AA16:AA19" si="13">COUNTIF(AA$5:AA$13,"&gt;=1")*$AJ8</f>
        <v>0</v>
      </c>
    </row>
    <row r="17" spans="1:66" x14ac:dyDescent="0.25">
      <c r="A17" s="355"/>
      <c r="B17" s="240" t="s">
        <v>842</v>
      </c>
      <c r="D17">
        <f t="shared" si="4"/>
        <v>63</v>
      </c>
      <c r="F17">
        <f>SUM(F$5:F$13)*$AO9</f>
        <v>1</v>
      </c>
      <c r="G17">
        <f t="shared" si="5"/>
        <v>63</v>
      </c>
      <c r="I17">
        <f t="shared" si="6"/>
        <v>35</v>
      </c>
      <c r="K17">
        <f>SUM(K$5:K$13)*$AO9</f>
        <v>1</v>
      </c>
      <c r="L17">
        <f t="shared" si="7"/>
        <v>63</v>
      </c>
      <c r="N17">
        <f t="shared" si="8"/>
        <v>28</v>
      </c>
      <c r="P17">
        <f>SUM(P$5:P$13)*$AO9</f>
        <v>1</v>
      </c>
      <c r="Q17">
        <f t="shared" si="9"/>
        <v>63</v>
      </c>
      <c r="S17">
        <f t="shared" si="10"/>
        <v>28</v>
      </c>
      <c r="U17">
        <f>SUM(U$5:U$13)*$AO9</f>
        <v>1</v>
      </c>
      <c r="V17">
        <f t="shared" si="11"/>
        <v>63</v>
      </c>
      <c r="X17">
        <f t="shared" si="12"/>
        <v>28</v>
      </c>
      <c r="Z17">
        <f>SUM(Z$5:Z$13)*$AO9</f>
        <v>1</v>
      </c>
      <c r="AA17">
        <f t="shared" si="13"/>
        <v>56</v>
      </c>
    </row>
    <row r="18" spans="1:66" x14ac:dyDescent="0.25">
      <c r="A18" s="355"/>
      <c r="B18" s="240" t="s">
        <v>869</v>
      </c>
      <c r="D18">
        <f t="shared" si="4"/>
        <v>1395</v>
      </c>
      <c r="F18">
        <f>SUM(F$5:F$13)*$AO10</f>
        <v>25</v>
      </c>
      <c r="G18">
        <f t="shared" si="5"/>
        <v>1395</v>
      </c>
      <c r="I18">
        <f t="shared" si="6"/>
        <v>775</v>
      </c>
      <c r="K18">
        <f>SUM(K$5:K$13)*$AO10</f>
        <v>25</v>
      </c>
      <c r="L18">
        <f t="shared" si="7"/>
        <v>1395</v>
      </c>
      <c r="N18">
        <f t="shared" si="8"/>
        <v>620</v>
      </c>
      <c r="P18">
        <f>SUM(P$5:P$13)*$AO10</f>
        <v>25</v>
      </c>
      <c r="Q18">
        <f t="shared" si="9"/>
        <v>1395</v>
      </c>
      <c r="S18">
        <f t="shared" si="10"/>
        <v>620</v>
      </c>
      <c r="U18">
        <f>SUM(U$5:U$13)*$AO10</f>
        <v>25</v>
      </c>
      <c r="V18">
        <f t="shared" si="11"/>
        <v>1395</v>
      </c>
      <c r="X18">
        <f t="shared" si="12"/>
        <v>620</v>
      </c>
      <c r="Z18">
        <f>SUM(Z$5:Z$13)*$AO10</f>
        <v>25</v>
      </c>
      <c r="AA18">
        <f t="shared" si="13"/>
        <v>1240</v>
      </c>
    </row>
    <row r="19" spans="1:66" x14ac:dyDescent="0.25">
      <c r="A19" s="355"/>
      <c r="B19" s="240" t="s">
        <v>870</v>
      </c>
      <c r="D19">
        <f t="shared" si="4"/>
        <v>2025</v>
      </c>
      <c r="F19">
        <f>SUM(F$5:F$13)*$AO11</f>
        <v>25</v>
      </c>
      <c r="G19">
        <f t="shared" si="5"/>
        <v>2025</v>
      </c>
      <c r="I19">
        <f t="shared" si="6"/>
        <v>1125</v>
      </c>
      <c r="K19">
        <f>SUM(K$5:K$13)*$AO11</f>
        <v>25</v>
      </c>
      <c r="L19">
        <f t="shared" si="7"/>
        <v>2025</v>
      </c>
      <c r="N19">
        <f t="shared" si="8"/>
        <v>900</v>
      </c>
      <c r="P19">
        <f>SUM(P$5:P$13)*$AO11</f>
        <v>25</v>
      </c>
      <c r="Q19">
        <f>COUNTIF(Q$5:Q$13,"&gt;=1")*$AJ11</f>
        <v>2025</v>
      </c>
      <c r="S19">
        <f t="shared" si="10"/>
        <v>900</v>
      </c>
      <c r="U19">
        <f>SUM(U$5:U$13)*$AO11</f>
        <v>25</v>
      </c>
      <c r="V19">
        <f t="shared" si="11"/>
        <v>2025</v>
      </c>
      <c r="X19">
        <f t="shared" si="12"/>
        <v>900</v>
      </c>
      <c r="Z19">
        <f>SUM(Z$5:Z$13)*$AO11</f>
        <v>25</v>
      </c>
      <c r="AA19">
        <f t="shared" si="13"/>
        <v>1800</v>
      </c>
    </row>
    <row r="20" spans="1:66" x14ac:dyDescent="0.25">
      <c r="A20" s="355" t="s">
        <v>960</v>
      </c>
      <c r="B20" s="243" t="s">
        <v>841</v>
      </c>
      <c r="E20">
        <f>SUM(E$5:E$13)*$AP7</f>
        <v>0</v>
      </c>
      <c r="G20">
        <f>+COUNTIF(G$5:G$13,"=2")*($AQ7)+COUNTIF(G$5:G$13,"=3")*($AQ7+$AR7)+COUNTIF(G$5:G$13,"=4")*($AQ7+$AR7+$AS7)</f>
        <v>0</v>
      </c>
      <c r="J20">
        <f>SUM(J$5:J$13)*$AP7</f>
        <v>0</v>
      </c>
      <c r="L20">
        <f>+COUNTIF(L$5:L$13,"=2")*($AQ7)+COUNTIF(L$5:L$13,"=3")*($AQ7+$AR7)+COUNTIF(L$5:L$13,"=4")*($AQ7+$AR7+$AS7)</f>
        <v>0</v>
      </c>
      <c r="O20">
        <f>SUM(O$5:O$13)*$AP7</f>
        <v>0</v>
      </c>
      <c r="Q20">
        <f>+COUNTIF(Q$5:Q$13,"=2")*($AQ7)+COUNTIF(Q$5:Q$13,"=3")*($AQ7+$AR7)+COUNTIF(Q$5:Q$13,"=4")*($AQ7+$AR7+$AS7)</f>
        <v>0</v>
      </c>
      <c r="T20">
        <f>SUM(T$5:T$13)*$AP7</f>
        <v>0</v>
      </c>
      <c r="V20">
        <f>+COUNTIF(V$5:V$13,"=2")*($AQ7)+COUNTIF(V$5:V$13,"=3")*($AQ7+$AR7)+COUNTIF(V$5:V$13,"=4")*($AQ7+$AR7+$AS7)</f>
        <v>0</v>
      </c>
      <c r="Y20">
        <f>SUM(Y$5:Y$13)*$AP7</f>
        <v>0</v>
      </c>
      <c r="AA20">
        <f>+COUNTIF(AA$5:AA$13,"=2")*($AQ7)+COUNTIF(AA$5:AA$13,"=3")*($AQ7+$AR7)+COUNTIF(AA$5:AA$13,"=4")*($AQ7+$AR7+$AS7)</f>
        <v>0</v>
      </c>
    </row>
    <row r="21" spans="1:66" x14ac:dyDescent="0.25">
      <c r="A21" s="355"/>
      <c r="B21" s="243" t="s">
        <v>847</v>
      </c>
      <c r="E21">
        <f>SUM(E$5:E$13)*$AP8</f>
        <v>0</v>
      </c>
      <c r="G21">
        <f>+COUNTIF(G$5:G$13,"=2")*($AQ8)+COUNTIF(G$5:G$13,"=3")*($AQ8+$AR8)+COUNTIF(G$5:G$13,"=4")*($AQ8+$AR8+$AS8)</f>
        <v>0</v>
      </c>
      <c r="J21">
        <f>SUM(J$5:J$13)*$AP8</f>
        <v>0</v>
      </c>
      <c r="L21">
        <f>+COUNTIF(L$5:L$13,"=2")*($AQ8)+COUNTIF(L$5:L$13,"=3")*($AQ8+$AR8)+COUNTIF(L$5:L$13,"=4")*($AQ8+$AR8+$AS8)</f>
        <v>0</v>
      </c>
      <c r="O21">
        <f>SUM(O$5:O$13)*$AP8</f>
        <v>0</v>
      </c>
      <c r="Q21">
        <f>+COUNTIF(Q$5:Q$13,"=2")*($AQ8)+COUNTIF(Q$5:Q$13,"=3")*($AQ8+$AR8)+COUNTIF(Q$5:Q$13,"=4")*($AQ8+$AR8+$AS8)</f>
        <v>0</v>
      </c>
      <c r="T21">
        <f>SUM(T$5:T$13)*$AP8</f>
        <v>0</v>
      </c>
      <c r="V21">
        <f>+COUNTIF(V$5:V$13,"=2")*($AQ8)+COUNTIF(V$5:V$13,"=3")*($AQ8+$AR8)+COUNTIF(V$5:V$13,"=4")*($AQ8+$AR8+$AS8)</f>
        <v>0</v>
      </c>
      <c r="Y21">
        <f>SUM(Y$5:Y$13)*$AP8</f>
        <v>0</v>
      </c>
      <c r="AA21">
        <f>+COUNTIF(AA$5:AA$13,"=2")*($AQ8)+COUNTIF(AA$5:AA$13,"=3")*($AQ8+$AR8)+COUNTIF(AA$5:AA$13,"=4")*($AQ8+$AR8+$AS8)</f>
        <v>0</v>
      </c>
    </row>
    <row r="22" spans="1:66" x14ac:dyDescent="0.25">
      <c r="A22" s="355"/>
      <c r="B22" s="243" t="s">
        <v>842</v>
      </c>
      <c r="E22">
        <f>SUM(E$5:E$13)*$AP9</f>
        <v>0</v>
      </c>
      <c r="G22">
        <f t="shared" ref="G22:G24" si="14">+COUNTIF(G$5:G$13,"=2")*($AQ9)+COUNTIF(G$5:G$13,"=3")*($AQ9+$AR9)+COUNTIF(G$5:G$13,"=4")*($AQ9+$AR9+$AS9)</f>
        <v>0</v>
      </c>
      <c r="J22">
        <f>SUM(J$5:J$13)*$AP9</f>
        <v>0</v>
      </c>
      <c r="L22">
        <f t="shared" ref="L22:L24" si="15">+COUNTIF(L$5:L$13,"=2")*($AQ9)+COUNTIF(L$5:L$13,"=3")*($AQ9+$AR9)+COUNTIF(L$5:L$13,"=4")*($AQ9+$AR9+$AS9)</f>
        <v>0</v>
      </c>
      <c r="O22">
        <f>SUM(O$5:O$13)*$AP9</f>
        <v>0</v>
      </c>
      <c r="Q22">
        <f t="shared" ref="Q22:Q24" si="16">+COUNTIF(Q$5:Q$13,"=2")*($AQ9)+COUNTIF(Q$5:Q$13,"=3")*($AQ9+$AR9)+COUNTIF(Q$5:Q$13,"=4")*($AQ9+$AR9+$AS9)</f>
        <v>0</v>
      </c>
      <c r="T22">
        <f>SUM(T$5:T$13)*$AP9</f>
        <v>0</v>
      </c>
      <c r="V22">
        <f t="shared" ref="V22:V24" si="17">+COUNTIF(V$5:V$13,"=2")*($AQ9)+COUNTIF(V$5:V$13,"=3")*($AQ9+$AR9)+COUNTIF(V$5:V$13,"=4")*($AQ9+$AR9+$AS9)</f>
        <v>0</v>
      </c>
      <c r="Y22">
        <f>SUM(Y$5:Y$13)*$AP9</f>
        <v>0</v>
      </c>
      <c r="AA22">
        <f t="shared" ref="AA22:AA24" si="18">+COUNTIF(AA$5:AA$13,"=2")*($AQ9)+COUNTIF(AA$5:AA$13,"=3")*($AQ9+$AR9)+COUNTIF(AA$5:AA$13,"=4")*($AQ9+$AR9+$AS9)</f>
        <v>0</v>
      </c>
    </row>
    <row r="23" spans="1:66" x14ac:dyDescent="0.25">
      <c r="A23" s="355"/>
      <c r="B23" s="243" t="s">
        <v>869</v>
      </c>
      <c r="E23">
        <f>SUM(E$5:E$13)*$AP10</f>
        <v>0</v>
      </c>
      <c r="G23">
        <f t="shared" si="14"/>
        <v>0</v>
      </c>
      <c r="J23">
        <f>SUM(J$5:J$13)*$AP10</f>
        <v>0</v>
      </c>
      <c r="L23">
        <f t="shared" si="15"/>
        <v>0</v>
      </c>
      <c r="O23">
        <f>SUM(O$5:O$13)*$AP10</f>
        <v>0</v>
      </c>
      <c r="Q23">
        <f t="shared" si="16"/>
        <v>0</v>
      </c>
      <c r="T23">
        <f>SUM(T$5:T$13)*$AP10</f>
        <v>0</v>
      </c>
      <c r="V23">
        <f t="shared" si="17"/>
        <v>0</v>
      </c>
      <c r="Y23">
        <f>SUM(Y$5:Y$13)*$AP10</f>
        <v>0</v>
      </c>
      <c r="AA23">
        <f t="shared" si="18"/>
        <v>0</v>
      </c>
    </row>
    <row r="24" spans="1:66" x14ac:dyDescent="0.25">
      <c r="A24" s="355"/>
      <c r="B24" s="243" t="s">
        <v>870</v>
      </c>
      <c r="E24">
        <f>SUM(E$5:E$13)*$AP11</f>
        <v>0</v>
      </c>
      <c r="G24">
        <f t="shared" si="14"/>
        <v>0</v>
      </c>
      <c r="J24">
        <f>SUM(J$5:J$13)*$AP11</f>
        <v>0</v>
      </c>
      <c r="L24">
        <f t="shared" si="15"/>
        <v>0</v>
      </c>
      <c r="O24">
        <f>SUM(O$5:O$13)*$AP11</f>
        <v>0</v>
      </c>
      <c r="Q24">
        <f t="shared" si="16"/>
        <v>0</v>
      </c>
      <c r="T24">
        <f>SUM(T$5:T$13)*$AP11</f>
        <v>0</v>
      </c>
      <c r="V24">
        <f t="shared" si="17"/>
        <v>0</v>
      </c>
      <c r="Y24">
        <f>SUM(Y$5:Y$13)*$AP11</f>
        <v>0</v>
      </c>
      <c r="AA24">
        <f t="shared" si="18"/>
        <v>0</v>
      </c>
    </row>
    <row r="25" spans="1:66" x14ac:dyDescent="0.25">
      <c r="B25" s="243"/>
    </row>
    <row r="27" spans="1:66" x14ac:dyDescent="0.25">
      <c r="B27" s="200" t="s">
        <v>47</v>
      </c>
      <c r="C27" s="359" t="s">
        <v>630</v>
      </c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5"/>
      <c r="X27" s="318" t="s">
        <v>970</v>
      </c>
      <c r="Y27" s="314"/>
      <c r="Z27" s="314"/>
      <c r="AA27" s="314"/>
      <c r="AB27" s="314"/>
      <c r="AC27" s="314"/>
      <c r="AD27" s="314"/>
      <c r="AE27" s="314"/>
      <c r="AT27" t="s">
        <v>873</v>
      </c>
    </row>
    <row r="28" spans="1:66" x14ac:dyDescent="0.25">
      <c r="B28" s="128" t="s">
        <v>872</v>
      </c>
      <c r="C28" s="135" t="s">
        <v>5</v>
      </c>
      <c r="D28" s="136" t="s">
        <v>813</v>
      </c>
      <c r="E28" s="136" t="s">
        <v>815</v>
      </c>
      <c r="F28" s="137" t="s">
        <v>844</v>
      </c>
      <c r="G28" s="137" t="s">
        <v>846</v>
      </c>
      <c r="H28" s="136" t="s">
        <v>814</v>
      </c>
      <c r="I28" s="139" t="s">
        <v>821</v>
      </c>
      <c r="J28" s="140" t="s">
        <v>822</v>
      </c>
      <c r="K28" s="140" t="s">
        <v>823</v>
      </c>
      <c r="L28" s="140" t="s">
        <v>824</v>
      </c>
      <c r="M28" s="141" t="s">
        <v>825</v>
      </c>
      <c r="N28" s="142" t="s">
        <v>26</v>
      </c>
      <c r="O28" s="141" t="s">
        <v>826</v>
      </c>
      <c r="P28" s="142" t="s">
        <v>8</v>
      </c>
      <c r="Q28" s="143" t="s">
        <v>827</v>
      </c>
      <c r="X28" s="15" t="s">
        <v>898</v>
      </c>
      <c r="Y28">
        <f>COUNTIF(H29:H37,"&gt;=1")</f>
        <v>8</v>
      </c>
      <c r="Z28" s="15"/>
      <c r="AB28" s="15" t="s">
        <v>910</v>
      </c>
      <c r="AC28">
        <f>COUNTIF(D29:D37,"&gt;=3")</f>
        <v>8</v>
      </c>
      <c r="AD28" s="15" t="s">
        <v>916</v>
      </c>
      <c r="AE28">
        <f>COUNTIF(P29:P37,"=1")</f>
        <v>0</v>
      </c>
      <c r="AI28" s="123"/>
      <c r="AJ28" s="124" t="s">
        <v>645</v>
      </c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X28" s="2"/>
      <c r="AY28" s="2" t="s">
        <v>886</v>
      </c>
      <c r="AZ28" s="2"/>
      <c r="BA28" s="2"/>
      <c r="BB28" s="2" t="s">
        <v>887</v>
      </c>
      <c r="BC28" s="2"/>
      <c r="BD28" s="317" t="s">
        <v>888</v>
      </c>
      <c r="BE28" s="317"/>
      <c r="BF28" s="317"/>
      <c r="BG28" s="317"/>
      <c r="BH28" s="317"/>
      <c r="BI28" s="317" t="s">
        <v>889</v>
      </c>
      <c r="BJ28" s="317"/>
      <c r="BK28" s="317"/>
      <c r="BL28" s="317"/>
      <c r="BM28" s="317"/>
      <c r="BN28" s="130"/>
    </row>
    <row r="29" spans="1:66" x14ac:dyDescent="0.25">
      <c r="B29" s="14" t="s">
        <v>1</v>
      </c>
      <c r="C29" s="180">
        <v>55</v>
      </c>
      <c r="D29" s="181">
        <v>5</v>
      </c>
      <c r="E29" s="181">
        <v>1</v>
      </c>
      <c r="F29" s="181">
        <v>0</v>
      </c>
      <c r="G29" s="181">
        <v>1</v>
      </c>
      <c r="H29" s="181">
        <v>1</v>
      </c>
      <c r="I29" s="180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2">
        <v>0</v>
      </c>
      <c r="X29" s="15" t="s">
        <v>899</v>
      </c>
      <c r="Y29">
        <f>COUNTIF(J29:J37,"=1")</f>
        <v>0</v>
      </c>
      <c r="Z29" s="15"/>
      <c r="AB29" s="15" t="s">
        <v>911</v>
      </c>
      <c r="AC29">
        <f>COUNTIF(N29:N37,"=1")</f>
        <v>0</v>
      </c>
      <c r="AD29" s="15" t="s">
        <v>917</v>
      </c>
      <c r="AE29">
        <f>COUNTIF(D29:D37,"&gt;=5")</f>
        <v>8</v>
      </c>
      <c r="AI29" s="124" t="s">
        <v>840</v>
      </c>
      <c r="AJ29" s="123">
        <v>1</v>
      </c>
      <c r="AK29" s="123">
        <v>2</v>
      </c>
      <c r="AL29" s="123">
        <v>3</v>
      </c>
      <c r="AM29" s="123">
        <v>4</v>
      </c>
      <c r="AN29" s="124" t="s">
        <v>815</v>
      </c>
      <c r="AO29" s="123">
        <v>5</v>
      </c>
      <c r="AP29" s="123">
        <v>6</v>
      </c>
      <c r="AQ29" s="123">
        <v>7</v>
      </c>
      <c r="AR29" s="123">
        <v>8</v>
      </c>
      <c r="AS29" s="124" t="s">
        <v>848</v>
      </c>
      <c r="AT29" s="124" t="s">
        <v>126</v>
      </c>
      <c r="AX29" s="2"/>
      <c r="AY29" s="2" t="s">
        <v>890</v>
      </c>
      <c r="AZ29" s="2" t="s">
        <v>56</v>
      </c>
      <c r="BA29" s="2" t="s">
        <v>57</v>
      </c>
      <c r="BB29" s="2" t="s">
        <v>891</v>
      </c>
      <c r="BC29" s="2" t="s">
        <v>885</v>
      </c>
      <c r="BD29" s="127" t="s">
        <v>892</v>
      </c>
      <c r="BE29" s="127" t="s">
        <v>893</v>
      </c>
      <c r="BF29" s="127" t="s">
        <v>894</v>
      </c>
      <c r="BG29" s="127" t="s">
        <v>895</v>
      </c>
      <c r="BH29" s="127" t="s">
        <v>896</v>
      </c>
      <c r="BI29" s="127" t="s">
        <v>897</v>
      </c>
      <c r="BJ29" s="127" t="s">
        <v>893</v>
      </c>
      <c r="BK29" s="127" t="s">
        <v>894</v>
      </c>
      <c r="BL29" s="127" t="s">
        <v>895</v>
      </c>
      <c r="BM29" s="127" t="s">
        <v>896</v>
      </c>
      <c r="BN29" s="130"/>
    </row>
    <row r="30" spans="1:66" x14ac:dyDescent="0.25">
      <c r="B30" s="14" t="s">
        <v>806</v>
      </c>
      <c r="C30" s="180">
        <v>55</v>
      </c>
      <c r="D30" s="181">
        <v>5</v>
      </c>
      <c r="E30" s="181">
        <v>1</v>
      </c>
      <c r="F30" s="181">
        <v>0</v>
      </c>
      <c r="G30" s="181">
        <v>1</v>
      </c>
      <c r="H30" s="181">
        <v>1</v>
      </c>
      <c r="I30" s="180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2">
        <v>0</v>
      </c>
      <c r="X30" s="15"/>
      <c r="Z30" s="15"/>
      <c r="AB30" s="15"/>
      <c r="AD30" s="15" t="s">
        <v>918</v>
      </c>
      <c r="AE30">
        <f>COUNTIF(D29:D37,"&gt;=6")</f>
        <v>4</v>
      </c>
      <c r="AI30" s="4" t="s">
        <v>852</v>
      </c>
      <c r="AJ30" s="4" t="s">
        <v>105</v>
      </c>
      <c r="AK30" s="4" t="s">
        <v>853</v>
      </c>
      <c r="AL30" s="4" t="s">
        <v>106</v>
      </c>
      <c r="AM30" s="4" t="s">
        <v>257</v>
      </c>
      <c r="AN30" s="4" t="s">
        <v>854</v>
      </c>
      <c r="AO30" s="4" t="s">
        <v>28</v>
      </c>
      <c r="AP30" s="4" t="s">
        <v>45</v>
      </c>
      <c r="AQ30" s="4" t="s">
        <v>855</v>
      </c>
      <c r="AR30" s="4" t="s">
        <v>855</v>
      </c>
      <c r="AS30" s="4" t="s">
        <v>855</v>
      </c>
      <c r="AT30" s="4" t="s">
        <v>855</v>
      </c>
      <c r="AX30" s="15" t="s">
        <v>898</v>
      </c>
      <c r="AY30" s="2">
        <v>30</v>
      </c>
      <c r="AZ30" s="2">
        <v>7</v>
      </c>
      <c r="BA30" s="2">
        <v>1</v>
      </c>
      <c r="BB30" s="2">
        <f>SUM(BD30:BH30)</f>
        <v>3</v>
      </c>
      <c r="BC30" s="2"/>
      <c r="BD30" s="127">
        <v>1</v>
      </c>
      <c r="BE30" s="127">
        <v>1</v>
      </c>
      <c r="BF30" s="127"/>
      <c r="BG30" s="127">
        <v>1</v>
      </c>
      <c r="BH30" s="127"/>
      <c r="BI30" s="127"/>
      <c r="BJ30" s="127"/>
      <c r="BK30" s="127"/>
      <c r="BL30" s="127"/>
      <c r="BM30" s="127"/>
      <c r="BN30" s="130"/>
    </row>
    <row r="31" spans="1:66" x14ac:dyDescent="0.25">
      <c r="B31" s="14" t="s">
        <v>807</v>
      </c>
      <c r="C31" s="180">
        <v>55</v>
      </c>
      <c r="D31" s="181">
        <v>5</v>
      </c>
      <c r="E31" s="181">
        <v>1</v>
      </c>
      <c r="F31" s="181">
        <v>0</v>
      </c>
      <c r="G31" s="181">
        <v>1</v>
      </c>
      <c r="H31" s="181">
        <v>1</v>
      </c>
      <c r="I31" s="180">
        <v>1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2">
        <v>0</v>
      </c>
      <c r="T31" s="4"/>
      <c r="X31" s="15"/>
      <c r="Z31" s="15" t="s">
        <v>907</v>
      </c>
      <c r="AA31">
        <f>COUNTIF(D29:D37,"&gt;=2")</f>
        <v>8</v>
      </c>
      <c r="AB31" s="15"/>
      <c r="AD31" s="15" t="s">
        <v>919</v>
      </c>
      <c r="AE31">
        <f>COUNTIF(E29:E37,"&gt;=1")</f>
        <v>8</v>
      </c>
      <c r="AX31" s="15" t="s">
        <v>899</v>
      </c>
      <c r="AY31" s="2">
        <v>30</v>
      </c>
      <c r="AZ31" s="2">
        <v>7</v>
      </c>
      <c r="BA31" s="2">
        <v>1</v>
      </c>
      <c r="BB31" s="2">
        <f>SUM(BD31:BH31)</f>
        <v>3</v>
      </c>
      <c r="BC31" s="2"/>
      <c r="BD31" s="127">
        <v>1</v>
      </c>
      <c r="BE31" s="127">
        <v>1</v>
      </c>
      <c r="BF31" s="127">
        <v>1</v>
      </c>
      <c r="BG31" s="127"/>
      <c r="BH31" s="127"/>
      <c r="BI31" s="127"/>
      <c r="BJ31" s="127"/>
      <c r="BK31" s="127"/>
      <c r="BL31" s="127"/>
      <c r="BM31" s="127"/>
      <c r="BN31" s="130"/>
    </row>
    <row r="32" spans="1:66" x14ac:dyDescent="0.25">
      <c r="B32" s="200" t="s">
        <v>808</v>
      </c>
      <c r="C32" s="201">
        <v>55</v>
      </c>
      <c r="D32" s="202">
        <v>5</v>
      </c>
      <c r="E32" s="202">
        <v>1</v>
      </c>
      <c r="F32" s="202">
        <v>0</v>
      </c>
      <c r="G32" s="202">
        <v>1</v>
      </c>
      <c r="H32" s="202">
        <v>1</v>
      </c>
      <c r="I32" s="201">
        <v>0</v>
      </c>
      <c r="J32" s="202">
        <v>0</v>
      </c>
      <c r="K32" s="202">
        <v>0</v>
      </c>
      <c r="L32" s="202">
        <v>0</v>
      </c>
      <c r="M32" s="202">
        <v>0</v>
      </c>
      <c r="N32" s="202">
        <v>0</v>
      </c>
      <c r="O32" s="202">
        <v>0</v>
      </c>
      <c r="P32" s="202">
        <v>0</v>
      </c>
      <c r="Q32" s="203">
        <v>0</v>
      </c>
      <c r="T32" s="4"/>
      <c r="X32" s="15"/>
      <c r="Z32" s="15" t="s">
        <v>908</v>
      </c>
      <c r="AA32">
        <f>COUNTIF(L29:L37,"=1")</f>
        <v>0</v>
      </c>
      <c r="AB32" s="15" t="s">
        <v>913</v>
      </c>
      <c r="AC32">
        <f>COUNTIF(D29:D37,"&gt;=4")</f>
        <v>8</v>
      </c>
      <c r="AF32" s="3" t="s">
        <v>968</v>
      </c>
      <c r="AI32" t="s">
        <v>875</v>
      </c>
      <c r="AJ32" t="s">
        <v>875</v>
      </c>
      <c r="AK32" t="s">
        <v>875</v>
      </c>
      <c r="AL32" t="s">
        <v>876</v>
      </c>
      <c r="AM32" t="s">
        <v>877</v>
      </c>
      <c r="AN32" t="s">
        <v>877</v>
      </c>
      <c r="AO32" t="s">
        <v>873</v>
      </c>
      <c r="AP32" t="s">
        <v>873</v>
      </c>
      <c r="AQ32" t="s">
        <v>873</v>
      </c>
      <c r="AR32" t="s">
        <v>873</v>
      </c>
      <c r="AS32" t="s">
        <v>873</v>
      </c>
      <c r="AT32" t="s">
        <v>879</v>
      </c>
      <c r="AX32" s="15" t="s">
        <v>900</v>
      </c>
      <c r="AY32" s="2">
        <v>35</v>
      </c>
      <c r="AZ32" s="2"/>
      <c r="BA32" s="2">
        <v>1</v>
      </c>
      <c r="BB32" s="2">
        <f>SUM(BD32:BH32)</f>
        <v>3</v>
      </c>
      <c r="BC32" s="2"/>
      <c r="BD32" s="127"/>
      <c r="BE32" s="127">
        <v>1</v>
      </c>
      <c r="BF32" s="127">
        <v>1</v>
      </c>
      <c r="BG32" s="127">
        <v>1</v>
      </c>
      <c r="BH32" s="127"/>
      <c r="BI32" s="127"/>
      <c r="BJ32" s="127"/>
      <c r="BK32" s="127"/>
      <c r="BL32" s="127"/>
      <c r="BM32" s="127"/>
      <c r="BN32" s="130"/>
    </row>
    <row r="33" spans="2:66" x14ac:dyDescent="0.25">
      <c r="B33" s="14" t="s">
        <v>809</v>
      </c>
      <c r="C33" s="180">
        <v>60</v>
      </c>
      <c r="D33" s="181">
        <v>6</v>
      </c>
      <c r="E33" s="181">
        <v>1</v>
      </c>
      <c r="F33" s="181">
        <v>0</v>
      </c>
      <c r="G33" s="181">
        <v>1</v>
      </c>
      <c r="H33" s="181">
        <v>1</v>
      </c>
      <c r="I33" s="180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2">
        <v>1</v>
      </c>
      <c r="T33" s="4"/>
      <c r="X33" s="15" t="s">
        <v>902</v>
      </c>
      <c r="Y33">
        <f>COUNTIF(D29:D37,"&gt;=1")</f>
        <v>8</v>
      </c>
      <c r="Z33" s="15" t="s">
        <v>909</v>
      </c>
      <c r="AA33">
        <f>COUNTIF(M29:M37,"=1")</f>
        <v>0</v>
      </c>
      <c r="AB33" s="15"/>
      <c r="AD33" s="15" t="s">
        <v>920</v>
      </c>
      <c r="AE33">
        <f>COUNTIF(Q29:Q37,"=1")</f>
        <v>4</v>
      </c>
      <c r="AF33">
        <f>COUNTIF(D29:D37,"&gt;=7")+COUNTIF(D29:D37,"=8")+5*(COUNTIF(H29:H37,"&gt;=2")+COUNTIF(H29:H37,"&gt;=3")+COUNTIF(H29:H37,"=4"))</f>
        <v>2</v>
      </c>
      <c r="AI33" s="124" t="s">
        <v>814</v>
      </c>
      <c r="AJ33" s="123"/>
      <c r="AK33" s="123"/>
      <c r="AX33" s="15"/>
      <c r="AY33" s="2"/>
      <c r="AZ33" s="2"/>
      <c r="BA33" s="2"/>
      <c r="BB33" s="2"/>
      <c r="BC33" s="2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30"/>
    </row>
    <row r="34" spans="2:66" x14ac:dyDescent="0.25">
      <c r="B34" s="133" t="s">
        <v>810</v>
      </c>
      <c r="C34" s="135">
        <v>60</v>
      </c>
      <c r="D34" s="137">
        <v>6</v>
      </c>
      <c r="E34" s="137">
        <v>1</v>
      </c>
      <c r="F34" s="137">
        <v>0</v>
      </c>
      <c r="G34" s="137">
        <v>1</v>
      </c>
      <c r="H34" s="137">
        <v>1</v>
      </c>
      <c r="I34" s="135">
        <v>1</v>
      </c>
      <c r="J34" s="137">
        <v>0</v>
      </c>
      <c r="K34" s="137">
        <v>0</v>
      </c>
      <c r="L34" s="137">
        <v>0</v>
      </c>
      <c r="M34" s="137">
        <v>0</v>
      </c>
      <c r="N34" s="137">
        <v>0</v>
      </c>
      <c r="O34" s="137">
        <v>0</v>
      </c>
      <c r="P34" s="137">
        <v>0</v>
      </c>
      <c r="Q34" s="189">
        <v>1</v>
      </c>
      <c r="T34" s="4"/>
      <c r="X34" s="15" t="s">
        <v>903</v>
      </c>
      <c r="Y34">
        <f>COUNTIF(I29:I37,"=1")</f>
        <v>4</v>
      </c>
      <c r="AB34" s="15" t="s">
        <v>915</v>
      </c>
      <c r="AC34">
        <f>COUNTIF(O29:O37,"=1")</f>
        <v>0</v>
      </c>
      <c r="AD34" s="15"/>
      <c r="AI34" s="123">
        <v>2</v>
      </c>
      <c r="AJ34" s="123">
        <v>3</v>
      </c>
      <c r="AK34" s="123">
        <v>4</v>
      </c>
      <c r="AL34" s="234" t="s">
        <v>821</v>
      </c>
      <c r="AM34" s="234" t="s">
        <v>822</v>
      </c>
      <c r="AN34" s="234" t="s">
        <v>823</v>
      </c>
      <c r="AO34" s="234" t="s">
        <v>824</v>
      </c>
      <c r="AP34" s="235" t="s">
        <v>825</v>
      </c>
      <c r="AQ34" s="5" t="s">
        <v>26</v>
      </c>
      <c r="AR34" s="235" t="s">
        <v>826</v>
      </c>
      <c r="AS34" s="5" t="s">
        <v>8</v>
      </c>
      <c r="AT34" s="235" t="s">
        <v>827</v>
      </c>
      <c r="AX34" s="15" t="s">
        <v>901</v>
      </c>
      <c r="AY34" s="2">
        <v>30</v>
      </c>
      <c r="AZ34" s="2">
        <v>7</v>
      </c>
      <c r="BA34" s="2">
        <v>1</v>
      </c>
      <c r="BB34" s="2">
        <f>SUM(BD34:BH34)</f>
        <v>3</v>
      </c>
      <c r="BC34" s="2"/>
      <c r="BD34" s="127"/>
      <c r="BE34" s="127"/>
      <c r="BF34" s="127">
        <v>1</v>
      </c>
      <c r="BG34" s="127">
        <v>1</v>
      </c>
      <c r="BH34" s="127">
        <v>1</v>
      </c>
      <c r="BI34" s="127"/>
      <c r="BJ34" s="127"/>
      <c r="BK34" s="127"/>
      <c r="BL34" s="127"/>
      <c r="BM34" s="127"/>
      <c r="BN34" s="130"/>
    </row>
    <row r="35" spans="2:66" x14ac:dyDescent="0.25">
      <c r="B35" s="14" t="s">
        <v>811</v>
      </c>
      <c r="C35" s="180">
        <v>60</v>
      </c>
      <c r="D35" s="181">
        <v>6</v>
      </c>
      <c r="E35" s="181">
        <v>1</v>
      </c>
      <c r="F35" s="181">
        <v>0</v>
      </c>
      <c r="G35" s="181">
        <v>1</v>
      </c>
      <c r="H35" s="181">
        <v>1</v>
      </c>
      <c r="I35" s="180">
        <v>1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2">
        <v>1</v>
      </c>
      <c r="T35" s="4"/>
      <c r="X35" s="15" t="s">
        <v>904</v>
      </c>
      <c r="Y35">
        <f>COUNTIF(K29:K37,"=1")</f>
        <v>0</v>
      </c>
      <c r="AB35" s="15"/>
      <c r="AD35" s="15"/>
      <c r="AI35" s="4" t="s">
        <v>855</v>
      </c>
      <c r="AJ35" s="4" t="s">
        <v>855</v>
      </c>
      <c r="AK35" s="4" t="s">
        <v>855</v>
      </c>
      <c r="AL35" s="4" t="s">
        <v>31</v>
      </c>
      <c r="AM35" s="4" t="s">
        <v>14</v>
      </c>
      <c r="AN35" s="4" t="s">
        <v>16</v>
      </c>
      <c r="AO35" s="4" t="s">
        <v>15</v>
      </c>
      <c r="AP35" s="4" t="s">
        <v>856</v>
      </c>
      <c r="AQ35" s="4" t="s">
        <v>857</v>
      </c>
      <c r="AR35" s="4" t="s">
        <v>858</v>
      </c>
      <c r="AS35" s="4" t="s">
        <v>40</v>
      </c>
      <c r="AT35" s="4" t="s">
        <v>855</v>
      </c>
      <c r="AX35" s="15" t="s">
        <v>902</v>
      </c>
      <c r="AY35" s="2">
        <v>30</v>
      </c>
      <c r="AZ35" s="2">
        <v>7</v>
      </c>
      <c r="BA35" s="2">
        <v>1</v>
      </c>
      <c r="BB35" s="2">
        <f>SUM(BD35:BH35)</f>
        <v>3</v>
      </c>
      <c r="BC35" s="2"/>
      <c r="BD35" s="127">
        <v>1</v>
      </c>
      <c r="BE35" s="127">
        <v>1</v>
      </c>
      <c r="BF35" s="127">
        <v>1</v>
      </c>
      <c r="BG35" s="127"/>
      <c r="BH35" s="127"/>
      <c r="BI35" s="127"/>
      <c r="BJ35" s="127"/>
      <c r="BK35" s="127"/>
      <c r="BL35" s="127"/>
      <c r="BM35" s="127"/>
      <c r="BN35" s="130"/>
    </row>
    <row r="36" spans="2:66" x14ac:dyDescent="0.25">
      <c r="B36" s="14" t="s">
        <v>812</v>
      </c>
      <c r="C36" s="180">
        <v>70</v>
      </c>
      <c r="D36" s="181">
        <v>8</v>
      </c>
      <c r="E36" s="181">
        <v>1</v>
      </c>
      <c r="F36" s="181">
        <v>0</v>
      </c>
      <c r="G36" s="181">
        <v>1</v>
      </c>
      <c r="H36" s="181">
        <v>1</v>
      </c>
      <c r="I36" s="180">
        <v>1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2">
        <v>1</v>
      </c>
      <c r="X36" s="15"/>
      <c r="AD36" s="15"/>
      <c r="AX36" s="15" t="s">
        <v>903</v>
      </c>
      <c r="AY36" s="2">
        <v>30</v>
      </c>
      <c r="AZ36" s="2">
        <v>7</v>
      </c>
      <c r="BA36" s="2">
        <v>1</v>
      </c>
      <c r="BB36" s="2">
        <f>SUM(BD36:BH36)</f>
        <v>3</v>
      </c>
      <c r="BC36" s="2"/>
      <c r="BD36" s="127">
        <v>1</v>
      </c>
      <c r="BE36" s="127">
        <v>1</v>
      </c>
      <c r="BF36" s="127"/>
      <c r="BG36" s="127">
        <v>1</v>
      </c>
      <c r="BH36" s="127"/>
      <c r="BI36" s="127"/>
      <c r="BJ36" s="127"/>
      <c r="BK36" s="127"/>
      <c r="BL36" s="127"/>
      <c r="BM36" s="127"/>
      <c r="BN36" s="130"/>
    </row>
    <row r="37" spans="2:66" x14ac:dyDescent="0.25">
      <c r="B37" s="133" t="s">
        <v>820</v>
      </c>
      <c r="C37" s="135"/>
      <c r="D37" s="137"/>
      <c r="E37" s="137"/>
      <c r="F37" s="137"/>
      <c r="G37" s="137"/>
      <c r="H37" s="137"/>
      <c r="I37" s="135"/>
      <c r="J37" s="137"/>
      <c r="K37" s="137"/>
      <c r="L37" s="137"/>
      <c r="M37" s="137"/>
      <c r="N37" s="137"/>
      <c r="O37" s="137"/>
      <c r="P37" s="137"/>
      <c r="Q37" s="189"/>
      <c r="AD37" s="15"/>
      <c r="AX37" s="15" t="s">
        <v>904</v>
      </c>
      <c r="AY37" s="2">
        <v>30</v>
      </c>
      <c r="AZ37" s="2">
        <v>7</v>
      </c>
      <c r="BA37" s="2">
        <v>1</v>
      </c>
      <c r="BB37" s="2">
        <f>SUM(BD37:BH37)</f>
        <v>3</v>
      </c>
      <c r="BC37" s="2"/>
      <c r="BD37" s="127">
        <v>1</v>
      </c>
      <c r="BE37" s="127">
        <v>1</v>
      </c>
      <c r="BF37" s="127"/>
      <c r="BG37" s="127"/>
      <c r="BH37" s="127">
        <v>1</v>
      </c>
      <c r="BI37" s="127"/>
      <c r="BJ37" s="127"/>
      <c r="BK37" s="127"/>
      <c r="BL37" s="127"/>
      <c r="BM37" s="127"/>
      <c r="BN37" s="130"/>
    </row>
    <row r="38" spans="2:66" x14ac:dyDescent="0.25">
      <c r="AX38" s="15"/>
      <c r="AY38" s="2"/>
      <c r="AZ38" s="2"/>
      <c r="BA38" s="2"/>
      <c r="BB38" s="2"/>
      <c r="BC38" s="2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30"/>
    </row>
    <row r="39" spans="2:66" x14ac:dyDescent="0.25">
      <c r="B39" s="200" t="s">
        <v>47</v>
      </c>
      <c r="C39" s="362" t="s">
        <v>632</v>
      </c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7"/>
      <c r="AT39" t="s">
        <v>873</v>
      </c>
      <c r="AX39" s="15" t="s">
        <v>905</v>
      </c>
      <c r="AY39" s="2">
        <v>40</v>
      </c>
      <c r="AZ39" s="2"/>
      <c r="BA39" s="2">
        <v>1</v>
      </c>
      <c r="BB39" s="2">
        <f>SUM(BD39:BH39)</f>
        <v>3</v>
      </c>
      <c r="BC39" s="2"/>
      <c r="BD39" s="127"/>
      <c r="BE39" s="127">
        <v>1</v>
      </c>
      <c r="BF39" s="127">
        <v>1</v>
      </c>
      <c r="BG39" s="127">
        <v>1</v>
      </c>
      <c r="BH39" s="127"/>
      <c r="BI39" s="127"/>
      <c r="BJ39" s="127"/>
      <c r="BK39" s="127"/>
      <c r="BL39" s="127"/>
      <c r="BM39" s="127"/>
      <c r="BN39" s="130"/>
    </row>
    <row r="40" spans="2:66" x14ac:dyDescent="0.25">
      <c r="B40" s="128" t="s">
        <v>872</v>
      </c>
      <c r="C40" s="144" t="s">
        <v>5</v>
      </c>
      <c r="D40" s="145" t="s">
        <v>813</v>
      </c>
      <c r="E40" s="145" t="s">
        <v>815</v>
      </c>
      <c r="F40" s="146" t="s">
        <v>843</v>
      </c>
      <c r="G40" s="146" t="s">
        <v>845</v>
      </c>
      <c r="H40" s="145" t="s">
        <v>814</v>
      </c>
      <c r="I40" s="148" t="s">
        <v>824</v>
      </c>
      <c r="J40" s="149" t="s">
        <v>821</v>
      </c>
      <c r="K40" s="149" t="s">
        <v>822</v>
      </c>
      <c r="L40" s="149" t="s">
        <v>823</v>
      </c>
      <c r="M40" s="150" t="s">
        <v>828</v>
      </c>
      <c r="N40" s="149" t="s">
        <v>829</v>
      </c>
      <c r="O40" s="149" t="s">
        <v>830</v>
      </c>
      <c r="P40" s="151" t="s">
        <v>7</v>
      </c>
      <c r="Q40" s="150" t="s">
        <v>826</v>
      </c>
      <c r="R40" s="151" t="s">
        <v>8</v>
      </c>
      <c r="S40" s="152" t="s">
        <v>831</v>
      </c>
      <c r="X40" s="15" t="s">
        <v>898</v>
      </c>
      <c r="Y40">
        <f>COUNTIF(K41:K49,"=1")</f>
        <v>0</v>
      </c>
      <c r="Z40" s="15" t="s">
        <v>905</v>
      </c>
      <c r="AA40">
        <f>COUNTIF(M41:M49,"=1")</f>
        <v>4</v>
      </c>
      <c r="AB40" s="15" t="s">
        <v>910</v>
      </c>
      <c r="AC40">
        <f>COUNTIF(P41:P49,"=1")</f>
        <v>0</v>
      </c>
      <c r="AD40" s="15" t="s">
        <v>916</v>
      </c>
      <c r="AE40">
        <f>COUNTIF(D41:D49,"&gt;=6")</f>
        <v>4</v>
      </c>
      <c r="AI40" s="123"/>
      <c r="AJ40" s="124" t="s">
        <v>645</v>
      </c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X40" s="15" t="s">
        <v>906</v>
      </c>
      <c r="AY40" s="2">
        <v>35</v>
      </c>
      <c r="AZ40" s="2">
        <v>7</v>
      </c>
      <c r="BA40" s="2">
        <v>1</v>
      </c>
      <c r="BB40" s="2">
        <f>SUM(BD40:BH40)</f>
        <v>3</v>
      </c>
      <c r="BC40" s="2"/>
      <c r="BD40" s="127"/>
      <c r="BE40" s="127"/>
      <c r="BF40" s="127">
        <v>1</v>
      </c>
      <c r="BG40" s="127">
        <v>1</v>
      </c>
      <c r="BH40" s="127">
        <v>1</v>
      </c>
      <c r="BI40" s="127"/>
      <c r="BJ40" s="127"/>
      <c r="BK40" s="127"/>
      <c r="BL40" s="127"/>
      <c r="BM40" s="127"/>
      <c r="BN40" s="130"/>
    </row>
    <row r="41" spans="2:66" x14ac:dyDescent="0.25">
      <c r="B41" s="14" t="s">
        <v>1</v>
      </c>
      <c r="C41" s="183">
        <v>60</v>
      </c>
      <c r="D41" s="184">
        <v>6</v>
      </c>
      <c r="E41" s="184">
        <v>1</v>
      </c>
      <c r="F41" s="184">
        <v>0</v>
      </c>
      <c r="G41" s="184">
        <v>1</v>
      </c>
      <c r="H41" s="184">
        <v>1</v>
      </c>
      <c r="I41" s="183">
        <v>0</v>
      </c>
      <c r="J41" s="184">
        <v>1</v>
      </c>
      <c r="K41" s="184">
        <v>0</v>
      </c>
      <c r="L41" s="184">
        <v>0</v>
      </c>
      <c r="M41" s="184">
        <v>1</v>
      </c>
      <c r="N41" s="184">
        <v>0</v>
      </c>
      <c r="O41" s="184">
        <v>0</v>
      </c>
      <c r="P41" s="184">
        <v>0</v>
      </c>
      <c r="Q41" s="184">
        <v>0</v>
      </c>
      <c r="R41" s="184">
        <v>0</v>
      </c>
      <c r="S41" s="185">
        <v>1</v>
      </c>
      <c r="X41" s="15" t="s">
        <v>899</v>
      </c>
      <c r="Y41">
        <f>COUNTIF(I41:I49,"=1")</f>
        <v>0</v>
      </c>
      <c r="Z41" s="15"/>
      <c r="AB41" s="15" t="s">
        <v>911</v>
      </c>
      <c r="AC41">
        <f>COUNTIF(O41:O49,"=1")</f>
        <v>4</v>
      </c>
      <c r="AD41" s="15" t="s">
        <v>917</v>
      </c>
      <c r="AE41">
        <f>COUNTIF(E41:E49,"=1")</f>
        <v>8</v>
      </c>
      <c r="AI41" s="124" t="s">
        <v>840</v>
      </c>
      <c r="AJ41" s="123">
        <v>1</v>
      </c>
      <c r="AK41" s="123">
        <v>2</v>
      </c>
      <c r="AL41" s="123">
        <v>3</v>
      </c>
      <c r="AM41" s="123">
        <v>4</v>
      </c>
      <c r="AN41" s="124" t="s">
        <v>815</v>
      </c>
      <c r="AO41" s="123">
        <v>5</v>
      </c>
      <c r="AP41" s="123">
        <v>6</v>
      </c>
      <c r="AQ41" s="123">
        <v>7</v>
      </c>
      <c r="AR41" s="123">
        <v>8</v>
      </c>
      <c r="AS41" s="124" t="s">
        <v>848</v>
      </c>
      <c r="AT41" s="124" t="s">
        <v>126</v>
      </c>
      <c r="AX41" s="15"/>
      <c r="AY41" s="1"/>
      <c r="AZ41" s="1"/>
      <c r="BA41" s="2"/>
      <c r="BB41" s="2"/>
      <c r="BC41" s="2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30"/>
    </row>
    <row r="42" spans="2:66" x14ac:dyDescent="0.25">
      <c r="B42" s="14" t="s">
        <v>806</v>
      </c>
      <c r="C42" s="183">
        <v>55</v>
      </c>
      <c r="D42" s="184">
        <v>5</v>
      </c>
      <c r="E42" s="184">
        <v>1</v>
      </c>
      <c r="F42" s="184">
        <v>0</v>
      </c>
      <c r="G42" s="184">
        <v>1</v>
      </c>
      <c r="H42" s="184">
        <v>1</v>
      </c>
      <c r="I42" s="183">
        <v>0</v>
      </c>
      <c r="J42" s="184">
        <v>0</v>
      </c>
      <c r="K42" s="184">
        <v>0</v>
      </c>
      <c r="L42" s="184">
        <v>0</v>
      </c>
      <c r="M42" s="184">
        <v>0</v>
      </c>
      <c r="N42" s="184">
        <v>0</v>
      </c>
      <c r="O42" s="184">
        <v>0</v>
      </c>
      <c r="P42" s="184">
        <v>0</v>
      </c>
      <c r="Q42" s="184">
        <v>0</v>
      </c>
      <c r="R42" s="184">
        <v>0</v>
      </c>
      <c r="S42" s="185">
        <v>0</v>
      </c>
      <c r="V42" s="15"/>
      <c r="X42" s="15" t="s">
        <v>900</v>
      </c>
      <c r="Y42">
        <f>COUNTIF(H41:H49,"&gt;=1")</f>
        <v>8</v>
      </c>
      <c r="Z42" s="15"/>
      <c r="AB42" s="15" t="s">
        <v>912</v>
      </c>
      <c r="AC42">
        <f>COUNTIF(D41:D49,"&gt;=3")</f>
        <v>8</v>
      </c>
      <c r="AD42" s="15" t="s">
        <v>918</v>
      </c>
      <c r="AE42">
        <f>COUNTIF(D41:D49,"&gt;=5")</f>
        <v>8</v>
      </c>
      <c r="AI42" s="4" t="s">
        <v>860</v>
      </c>
      <c r="AJ42" s="4" t="s">
        <v>16</v>
      </c>
      <c r="AK42" s="4" t="s">
        <v>856</v>
      </c>
      <c r="AL42" s="4" t="s">
        <v>260</v>
      </c>
      <c r="AM42" s="4" t="s">
        <v>261</v>
      </c>
      <c r="AN42" s="4" t="s">
        <v>28</v>
      </c>
      <c r="AO42" s="4" t="s">
        <v>45</v>
      </c>
      <c r="AP42" s="4" t="s">
        <v>40</v>
      </c>
      <c r="AQ42" s="4" t="s">
        <v>10</v>
      </c>
      <c r="AR42" s="4" t="s">
        <v>10</v>
      </c>
      <c r="AS42" s="4" t="s">
        <v>10</v>
      </c>
      <c r="AT42" s="4" t="s">
        <v>10</v>
      </c>
      <c r="AX42" s="15" t="s">
        <v>907</v>
      </c>
      <c r="AY42" s="2">
        <v>40</v>
      </c>
      <c r="AZ42" s="2"/>
      <c r="BA42" s="2">
        <v>1</v>
      </c>
      <c r="BB42" s="2">
        <f>SUM(BD42:BH42)</f>
        <v>4</v>
      </c>
      <c r="BC42" s="2"/>
      <c r="BD42" s="127">
        <v>1</v>
      </c>
      <c r="BE42" s="127"/>
      <c r="BF42" s="127">
        <v>1</v>
      </c>
      <c r="BG42" s="127">
        <v>1</v>
      </c>
      <c r="BH42" s="127">
        <v>1</v>
      </c>
      <c r="BI42" s="127"/>
      <c r="BJ42" s="127"/>
      <c r="BK42" s="127"/>
      <c r="BL42" s="127"/>
      <c r="BM42" s="127"/>
      <c r="BN42" s="130"/>
    </row>
    <row r="43" spans="2:66" x14ac:dyDescent="0.25">
      <c r="B43" s="14" t="s">
        <v>807</v>
      </c>
      <c r="C43" s="183">
        <v>55</v>
      </c>
      <c r="D43" s="184">
        <v>5</v>
      </c>
      <c r="E43" s="184">
        <v>1</v>
      </c>
      <c r="F43" s="184">
        <v>0</v>
      </c>
      <c r="G43" s="184">
        <v>1</v>
      </c>
      <c r="H43" s="184">
        <v>1</v>
      </c>
      <c r="I43" s="183">
        <v>0</v>
      </c>
      <c r="J43" s="184">
        <v>0</v>
      </c>
      <c r="K43" s="184">
        <v>0</v>
      </c>
      <c r="L43" s="184">
        <v>0</v>
      </c>
      <c r="M43" s="184">
        <v>0</v>
      </c>
      <c r="N43" s="184">
        <v>1</v>
      </c>
      <c r="O43" s="184">
        <v>1</v>
      </c>
      <c r="P43" s="184">
        <v>0</v>
      </c>
      <c r="Q43" s="184">
        <v>0</v>
      </c>
      <c r="R43" s="184">
        <v>0</v>
      </c>
      <c r="S43" s="185">
        <v>0</v>
      </c>
      <c r="X43" s="15"/>
      <c r="Z43" s="15"/>
      <c r="AB43" s="15"/>
      <c r="AD43" s="15" t="s">
        <v>919</v>
      </c>
      <c r="AE43">
        <f>COUNTIF(R41:R49,"=1")</f>
        <v>0</v>
      </c>
      <c r="AX43" s="15" t="s">
        <v>908</v>
      </c>
      <c r="AY43" s="2">
        <v>35</v>
      </c>
      <c r="AZ43" s="2">
        <v>7</v>
      </c>
      <c r="BA43" s="2">
        <v>1</v>
      </c>
      <c r="BB43" s="2">
        <f>SUM(BD43:BH43)</f>
        <v>3</v>
      </c>
      <c r="BC43" s="2"/>
      <c r="BD43" s="127">
        <v>1</v>
      </c>
      <c r="BE43" s="127"/>
      <c r="BF43" s="127">
        <v>1</v>
      </c>
      <c r="BG43" s="127"/>
      <c r="BH43" s="127">
        <v>1</v>
      </c>
      <c r="BI43" s="127"/>
      <c r="BJ43" s="127"/>
      <c r="BK43" s="127"/>
      <c r="BL43" s="127"/>
      <c r="BM43" s="127"/>
      <c r="BN43" s="130"/>
    </row>
    <row r="44" spans="2:66" x14ac:dyDescent="0.25">
      <c r="B44" s="200" t="s">
        <v>808</v>
      </c>
      <c r="C44" s="204">
        <v>60</v>
      </c>
      <c r="D44" s="205">
        <v>6</v>
      </c>
      <c r="E44" s="205">
        <v>1</v>
      </c>
      <c r="F44" s="205">
        <v>0</v>
      </c>
      <c r="G44" s="205">
        <v>1</v>
      </c>
      <c r="H44" s="205">
        <v>1</v>
      </c>
      <c r="I44" s="204">
        <v>0</v>
      </c>
      <c r="J44" s="205">
        <v>1</v>
      </c>
      <c r="K44" s="205">
        <v>0</v>
      </c>
      <c r="L44" s="205">
        <v>0</v>
      </c>
      <c r="M44" s="205">
        <v>1</v>
      </c>
      <c r="N44" s="205">
        <v>1</v>
      </c>
      <c r="O44" s="205">
        <v>1</v>
      </c>
      <c r="P44" s="205">
        <v>0</v>
      </c>
      <c r="Q44" s="205">
        <v>0</v>
      </c>
      <c r="R44" s="205">
        <v>0</v>
      </c>
      <c r="S44" s="206">
        <v>1</v>
      </c>
      <c r="X44" s="15"/>
      <c r="Z44" s="15"/>
      <c r="AB44" s="15" t="s">
        <v>913</v>
      </c>
      <c r="AC44">
        <f>COUNTIF(Q41:Q49,"=1")</f>
        <v>0</v>
      </c>
      <c r="AI44" t="s">
        <v>875</v>
      </c>
      <c r="AJ44" t="s">
        <v>875</v>
      </c>
      <c r="AK44" t="s">
        <v>875</v>
      </c>
      <c r="AM44" t="s">
        <v>876</v>
      </c>
      <c r="AN44" t="s">
        <v>877</v>
      </c>
      <c r="AO44" t="s">
        <v>877</v>
      </c>
      <c r="AP44" t="s">
        <v>878</v>
      </c>
      <c r="AQ44" t="s">
        <v>873</v>
      </c>
      <c r="AR44" t="s">
        <v>873</v>
      </c>
      <c r="AS44" t="s">
        <v>873</v>
      </c>
      <c r="AT44" t="s">
        <v>873</v>
      </c>
      <c r="AU44" t="s">
        <v>873</v>
      </c>
      <c r="AV44" t="s">
        <v>879</v>
      </c>
      <c r="AX44" s="15" t="s">
        <v>909</v>
      </c>
      <c r="AY44" s="15">
        <v>35</v>
      </c>
      <c r="AZ44" s="15">
        <v>7</v>
      </c>
      <c r="BA44" s="15">
        <v>1</v>
      </c>
      <c r="BB44" s="2">
        <f>SUM(BD44:BH44)</f>
        <v>4</v>
      </c>
      <c r="BC44" s="2"/>
      <c r="BD44" s="127">
        <v>1</v>
      </c>
      <c r="BE44" s="127">
        <v>1</v>
      </c>
      <c r="BF44" s="127">
        <v>1</v>
      </c>
      <c r="BG44" s="127"/>
      <c r="BH44" s="127">
        <v>1</v>
      </c>
      <c r="BI44" s="127"/>
      <c r="BJ44" s="127"/>
      <c r="BK44" s="127"/>
      <c r="BL44" s="127"/>
      <c r="BM44" s="127"/>
      <c r="BN44" s="130"/>
    </row>
    <row r="45" spans="2:66" x14ac:dyDescent="0.25">
      <c r="B45" s="14" t="s">
        <v>809</v>
      </c>
      <c r="C45" s="183">
        <v>55</v>
      </c>
      <c r="D45" s="184">
        <v>5</v>
      </c>
      <c r="E45" s="184">
        <v>1</v>
      </c>
      <c r="F45" s="184">
        <v>0</v>
      </c>
      <c r="G45" s="184">
        <v>1</v>
      </c>
      <c r="H45" s="184">
        <v>1</v>
      </c>
      <c r="I45" s="183">
        <v>0</v>
      </c>
      <c r="J45" s="184">
        <v>0</v>
      </c>
      <c r="K45" s="184">
        <v>0</v>
      </c>
      <c r="L45" s="184">
        <v>0</v>
      </c>
      <c r="M45" s="184">
        <v>0</v>
      </c>
      <c r="N45" s="184">
        <v>1</v>
      </c>
      <c r="O45" s="184">
        <v>1</v>
      </c>
      <c r="P45" s="184">
        <v>0</v>
      </c>
      <c r="Q45" s="184">
        <v>0</v>
      </c>
      <c r="R45" s="184">
        <v>0</v>
      </c>
      <c r="S45" s="185">
        <v>0</v>
      </c>
      <c r="X45" s="15" t="s">
        <v>902</v>
      </c>
      <c r="Y45">
        <f>COUNTIF(J41:J49,"=1")</f>
        <v>4</v>
      </c>
      <c r="Z45" s="15" t="s">
        <v>909</v>
      </c>
      <c r="AA45">
        <f>COUNTIF(D41:D49,"&gt;=2")</f>
        <v>8</v>
      </c>
      <c r="AB45" s="15" t="s">
        <v>914</v>
      </c>
      <c r="AC45">
        <f>COUNTIF(D41:D49,"&gt;=4")</f>
        <v>8</v>
      </c>
      <c r="AD45" s="15"/>
      <c r="AI45" s="124" t="s">
        <v>814</v>
      </c>
      <c r="AJ45" s="123"/>
      <c r="AK45" s="123"/>
      <c r="AX45" s="15"/>
      <c r="AY45" s="2"/>
      <c r="AZ45" s="2"/>
      <c r="BA45" s="2"/>
      <c r="BB45" s="2"/>
      <c r="BC45" s="2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30"/>
    </row>
    <row r="46" spans="2:66" x14ac:dyDescent="0.25">
      <c r="B46" s="133" t="s">
        <v>810</v>
      </c>
      <c r="C46" s="144">
        <v>55</v>
      </c>
      <c r="D46" s="146">
        <v>5</v>
      </c>
      <c r="E46" s="146">
        <v>1</v>
      </c>
      <c r="F46" s="146">
        <v>0</v>
      </c>
      <c r="G46" s="146">
        <v>1</v>
      </c>
      <c r="H46" s="146">
        <v>1</v>
      </c>
      <c r="I46" s="144">
        <v>0</v>
      </c>
      <c r="J46" s="146">
        <v>0</v>
      </c>
      <c r="K46" s="146">
        <v>0</v>
      </c>
      <c r="L46" s="146">
        <v>0</v>
      </c>
      <c r="M46" s="146">
        <v>0</v>
      </c>
      <c r="N46" s="146">
        <v>0</v>
      </c>
      <c r="O46" s="146">
        <v>0</v>
      </c>
      <c r="P46" s="146">
        <v>0</v>
      </c>
      <c r="Q46" s="146">
        <v>0</v>
      </c>
      <c r="R46" s="146">
        <v>0</v>
      </c>
      <c r="S46" s="190">
        <v>0</v>
      </c>
      <c r="X46" s="15" t="s">
        <v>903</v>
      </c>
      <c r="Y46">
        <f>COUNTIF(L41:L49,"=1")</f>
        <v>0</v>
      </c>
      <c r="AB46" s="15" t="s">
        <v>915</v>
      </c>
      <c r="AC46">
        <f>COUNTIF(N41:N49,"=1")</f>
        <v>4</v>
      </c>
      <c r="AD46" s="15"/>
      <c r="AI46" s="123">
        <v>2</v>
      </c>
      <c r="AJ46" s="123">
        <v>3</v>
      </c>
      <c r="AK46" s="123">
        <v>4</v>
      </c>
      <c r="AL46" s="234" t="s">
        <v>824</v>
      </c>
      <c r="AM46" s="234" t="s">
        <v>821</v>
      </c>
      <c r="AN46" s="234" t="s">
        <v>822</v>
      </c>
      <c r="AO46" s="234" t="s">
        <v>823</v>
      </c>
      <c r="AP46" s="235" t="s">
        <v>828</v>
      </c>
      <c r="AQ46" s="234" t="s">
        <v>829</v>
      </c>
      <c r="AR46" s="234" t="s">
        <v>830</v>
      </c>
      <c r="AS46" s="5" t="s">
        <v>7</v>
      </c>
      <c r="AT46" s="235" t="s">
        <v>826</v>
      </c>
      <c r="AU46" s="5" t="s">
        <v>8</v>
      </c>
      <c r="AV46" s="235" t="s">
        <v>831</v>
      </c>
      <c r="AX46" s="15" t="s">
        <v>910</v>
      </c>
      <c r="AY46" s="2"/>
      <c r="AZ46" s="2">
        <v>75</v>
      </c>
      <c r="BA46" s="2">
        <v>2</v>
      </c>
      <c r="BB46" s="2">
        <f>SUM(BD46:BH46)</f>
        <v>4</v>
      </c>
      <c r="BC46" s="2"/>
      <c r="BD46" s="127">
        <v>1</v>
      </c>
      <c r="BE46" s="127">
        <v>1</v>
      </c>
      <c r="BF46" s="127"/>
      <c r="BG46" s="127">
        <v>1</v>
      </c>
      <c r="BH46" s="127">
        <v>1</v>
      </c>
      <c r="BI46" s="127"/>
      <c r="BJ46" s="127"/>
      <c r="BK46" s="127"/>
      <c r="BL46" s="127"/>
      <c r="BM46" s="127"/>
      <c r="BN46" s="130"/>
    </row>
    <row r="47" spans="2:66" x14ac:dyDescent="0.25">
      <c r="B47" s="14" t="s">
        <v>811</v>
      </c>
      <c r="C47" s="183">
        <v>60</v>
      </c>
      <c r="D47" s="184">
        <v>6</v>
      </c>
      <c r="E47" s="184">
        <v>1</v>
      </c>
      <c r="F47" s="184">
        <v>0</v>
      </c>
      <c r="G47" s="184">
        <v>1</v>
      </c>
      <c r="H47" s="184">
        <v>1</v>
      </c>
      <c r="I47" s="183">
        <v>0</v>
      </c>
      <c r="J47" s="184">
        <v>1</v>
      </c>
      <c r="K47" s="184">
        <v>0</v>
      </c>
      <c r="L47" s="184">
        <v>0</v>
      </c>
      <c r="M47" s="184">
        <v>1</v>
      </c>
      <c r="N47" s="184">
        <v>0</v>
      </c>
      <c r="O47" s="184">
        <v>0</v>
      </c>
      <c r="P47" s="184">
        <v>0</v>
      </c>
      <c r="Q47" s="184">
        <v>0</v>
      </c>
      <c r="R47" s="184">
        <v>0</v>
      </c>
      <c r="S47" s="185">
        <v>1</v>
      </c>
      <c r="X47" s="15" t="s">
        <v>904</v>
      </c>
      <c r="Y47">
        <f>COUNTIF(D41:D49,"&gt;=1")</f>
        <v>8</v>
      </c>
      <c r="AB47" s="15"/>
      <c r="AD47" s="15"/>
      <c r="AI47" s="4" t="s">
        <v>10</v>
      </c>
      <c r="AJ47" s="4" t="s">
        <v>10</v>
      </c>
      <c r="AK47" s="4" t="s">
        <v>10</v>
      </c>
      <c r="AL47" s="4" t="s">
        <v>14</v>
      </c>
      <c r="AM47" s="4" t="s">
        <v>105</v>
      </c>
      <c r="AN47" s="4" t="s">
        <v>852</v>
      </c>
      <c r="AO47" s="4" t="s">
        <v>31</v>
      </c>
      <c r="AP47" s="4" t="s">
        <v>861</v>
      </c>
      <c r="AQ47" s="4" t="s">
        <v>858</v>
      </c>
      <c r="AR47" s="4" t="s">
        <v>857</v>
      </c>
      <c r="AS47" s="4" t="s">
        <v>106</v>
      </c>
      <c r="AT47" s="4" t="s">
        <v>257</v>
      </c>
      <c r="AU47" s="4" t="s">
        <v>854</v>
      </c>
      <c r="AV47" s="4" t="s">
        <v>10</v>
      </c>
      <c r="AX47" s="15" t="s">
        <v>911</v>
      </c>
      <c r="AY47" s="2"/>
      <c r="AZ47" s="2">
        <v>75</v>
      </c>
      <c r="BA47" s="2">
        <v>2</v>
      </c>
      <c r="BB47" s="2">
        <f>SUM(BD47:BH47)</f>
        <v>4</v>
      </c>
      <c r="BC47" s="2"/>
      <c r="BD47" s="127">
        <v>1</v>
      </c>
      <c r="BE47" s="127">
        <v>1</v>
      </c>
      <c r="BF47" s="127">
        <v>1</v>
      </c>
      <c r="BG47" s="127">
        <v>1</v>
      </c>
      <c r="BH47" s="127"/>
      <c r="BI47" s="127"/>
      <c r="BJ47" s="127"/>
      <c r="BK47" s="127"/>
      <c r="BL47" s="127"/>
      <c r="BM47" s="127"/>
      <c r="BN47" s="130"/>
    </row>
    <row r="48" spans="2:66" x14ac:dyDescent="0.25">
      <c r="B48" s="14" t="s">
        <v>812</v>
      </c>
      <c r="C48" s="183">
        <v>60</v>
      </c>
      <c r="D48" s="184">
        <v>6</v>
      </c>
      <c r="E48" s="184">
        <v>1</v>
      </c>
      <c r="F48" s="184">
        <v>0</v>
      </c>
      <c r="G48" s="184">
        <v>1</v>
      </c>
      <c r="H48" s="184">
        <v>1</v>
      </c>
      <c r="I48" s="183">
        <v>0</v>
      </c>
      <c r="J48" s="184">
        <v>1</v>
      </c>
      <c r="K48" s="184">
        <v>0</v>
      </c>
      <c r="L48" s="184">
        <v>0</v>
      </c>
      <c r="M48" s="184">
        <v>1</v>
      </c>
      <c r="N48" s="184">
        <v>1</v>
      </c>
      <c r="O48" s="184">
        <v>1</v>
      </c>
      <c r="P48" s="184">
        <v>0</v>
      </c>
      <c r="Q48" s="184">
        <v>0</v>
      </c>
      <c r="R48" s="184">
        <v>0</v>
      </c>
      <c r="S48" s="185">
        <v>1</v>
      </c>
      <c r="X48" s="15"/>
      <c r="AD48" s="15"/>
      <c r="AF48" s="3" t="s">
        <v>968</v>
      </c>
      <c r="AX48" s="15" t="s">
        <v>912</v>
      </c>
      <c r="AY48" s="2"/>
      <c r="AZ48" s="2">
        <v>75</v>
      </c>
      <c r="BA48" s="2">
        <v>2</v>
      </c>
      <c r="BB48" s="2">
        <f>SUM(BD48:BH48)</f>
        <v>4</v>
      </c>
      <c r="BC48" s="2"/>
      <c r="BD48" s="127"/>
      <c r="BE48" s="127">
        <v>1</v>
      </c>
      <c r="BF48" s="127">
        <v>1</v>
      </c>
      <c r="BG48" s="127">
        <v>1</v>
      </c>
      <c r="BH48" s="127">
        <v>1</v>
      </c>
      <c r="BI48" s="127"/>
      <c r="BJ48" s="127"/>
      <c r="BK48" s="127"/>
      <c r="BL48" s="127"/>
      <c r="BM48" s="127"/>
      <c r="BN48" s="130"/>
    </row>
    <row r="49" spans="2:66" x14ac:dyDescent="0.25">
      <c r="B49" s="133" t="s">
        <v>820</v>
      </c>
      <c r="C49" s="144"/>
      <c r="D49" s="146"/>
      <c r="E49" s="146"/>
      <c r="F49" s="146"/>
      <c r="G49" s="146"/>
      <c r="H49" s="146"/>
      <c r="I49" s="144">
        <v>0</v>
      </c>
      <c r="J49" s="146">
        <v>0</v>
      </c>
      <c r="K49" s="146">
        <v>0</v>
      </c>
      <c r="L49" s="146">
        <v>0</v>
      </c>
      <c r="M49" s="146">
        <v>0</v>
      </c>
      <c r="N49" s="146">
        <v>0</v>
      </c>
      <c r="O49" s="146">
        <v>0</v>
      </c>
      <c r="P49" s="146">
        <v>0</v>
      </c>
      <c r="Q49" s="146">
        <v>0</v>
      </c>
      <c r="R49" s="146">
        <v>0</v>
      </c>
      <c r="S49" s="190">
        <v>0</v>
      </c>
      <c r="AD49" s="15" t="s">
        <v>924</v>
      </c>
      <c r="AE49">
        <f>COUNTIF(S41:S49,"=1")</f>
        <v>4</v>
      </c>
      <c r="AF49">
        <f>COUNTIF(D41:D49,"&gt;=7")+COUNTIF(D41:D49,"=8")+5*(COUNTIF(H41:H49,"&gt;=2")+COUNTIF(H41:H49,"&gt;=3")+COUNTIF(H41:H49,"=4"))</f>
        <v>0</v>
      </c>
      <c r="AX49" s="15"/>
      <c r="AY49" s="2"/>
      <c r="AZ49" s="2">
        <v>75</v>
      </c>
      <c r="BA49" s="2">
        <v>2</v>
      </c>
      <c r="BB49" s="2"/>
      <c r="BC49" s="2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30"/>
    </row>
    <row r="50" spans="2:66" x14ac:dyDescent="0.25">
      <c r="AX50" s="15" t="s">
        <v>913</v>
      </c>
      <c r="AY50" s="2"/>
      <c r="AZ50" s="2">
        <v>75</v>
      </c>
      <c r="BA50" s="2">
        <v>2</v>
      </c>
      <c r="BB50" s="2">
        <f>SUM(BD50:BH50)</f>
        <v>4</v>
      </c>
      <c r="BC50" s="2"/>
      <c r="BD50" s="127">
        <v>1</v>
      </c>
      <c r="BE50" s="127">
        <v>1</v>
      </c>
      <c r="BF50" s="127"/>
      <c r="BG50" s="127">
        <v>1</v>
      </c>
      <c r="BH50" s="127">
        <v>1</v>
      </c>
      <c r="BI50" s="127"/>
      <c r="BJ50" s="127"/>
      <c r="BK50" s="127"/>
      <c r="BL50" s="127"/>
      <c r="BM50" s="127"/>
      <c r="BN50" s="130"/>
    </row>
    <row r="51" spans="2:66" x14ac:dyDescent="0.25">
      <c r="B51" s="200" t="s">
        <v>47</v>
      </c>
      <c r="C51" s="365" t="s">
        <v>634</v>
      </c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9"/>
      <c r="AT51" t="s">
        <v>873</v>
      </c>
      <c r="AX51" s="15" t="s">
        <v>914</v>
      </c>
      <c r="AY51" s="2"/>
      <c r="AZ51" s="2">
        <v>75</v>
      </c>
      <c r="BA51" s="2">
        <v>2</v>
      </c>
      <c r="BB51" s="2">
        <f>SUM(BD51:BH51)</f>
        <v>4</v>
      </c>
      <c r="BC51" s="2"/>
      <c r="BD51" s="127"/>
      <c r="BE51" s="127">
        <v>1</v>
      </c>
      <c r="BF51" s="127">
        <v>1</v>
      </c>
      <c r="BG51" s="127">
        <v>1</v>
      </c>
      <c r="BH51" s="127">
        <v>1</v>
      </c>
      <c r="BI51" s="127"/>
      <c r="BJ51" s="127"/>
      <c r="BK51" s="127"/>
      <c r="BL51" s="127"/>
      <c r="BM51" s="127"/>
      <c r="BN51" s="130"/>
    </row>
    <row r="52" spans="2:66" x14ac:dyDescent="0.25">
      <c r="B52" s="128" t="s">
        <v>872</v>
      </c>
      <c r="C52" s="153" t="s">
        <v>5</v>
      </c>
      <c r="D52" s="154" t="s">
        <v>813</v>
      </c>
      <c r="E52" s="154" t="s">
        <v>815</v>
      </c>
      <c r="F52" s="155" t="s">
        <v>843</v>
      </c>
      <c r="G52" s="155" t="s">
        <v>845</v>
      </c>
      <c r="H52" s="154" t="s">
        <v>814</v>
      </c>
      <c r="I52" s="157" t="s">
        <v>837</v>
      </c>
      <c r="J52" s="158" t="s">
        <v>822</v>
      </c>
      <c r="K52" s="158" t="s">
        <v>823</v>
      </c>
      <c r="L52" s="159" t="s">
        <v>828</v>
      </c>
      <c r="M52" s="158" t="s">
        <v>829</v>
      </c>
      <c r="N52" s="158" t="s">
        <v>836</v>
      </c>
      <c r="O52" s="160" t="s">
        <v>6</v>
      </c>
      <c r="P52" s="159" t="s">
        <v>826</v>
      </c>
      <c r="Q52" s="160" t="s">
        <v>8</v>
      </c>
      <c r="R52" s="161" t="s">
        <v>832</v>
      </c>
      <c r="X52" s="15"/>
      <c r="Z52" s="15" t="s">
        <v>905</v>
      </c>
      <c r="AA52">
        <f>COUNTIF(D53:D61,"&gt;=1")</f>
        <v>8</v>
      </c>
      <c r="AB52" s="15"/>
      <c r="AD52" s="15" t="s">
        <v>916</v>
      </c>
      <c r="AE52">
        <f>COUNTIF(D53:D61,"&gt;=6")</f>
        <v>4</v>
      </c>
      <c r="AI52" s="123"/>
      <c r="AJ52" s="124" t="s">
        <v>645</v>
      </c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X52" s="15" t="s">
        <v>915</v>
      </c>
      <c r="AY52" s="2"/>
      <c r="AZ52" s="2">
        <v>75</v>
      </c>
      <c r="BA52" s="2">
        <v>2</v>
      </c>
      <c r="BB52" s="2">
        <f>SUM(BD52:BH52)</f>
        <v>4</v>
      </c>
      <c r="BC52" s="2"/>
      <c r="BD52" s="127">
        <v>1</v>
      </c>
      <c r="BE52" s="127">
        <v>1</v>
      </c>
      <c r="BF52" s="127">
        <v>1</v>
      </c>
      <c r="BG52" s="127"/>
      <c r="BH52" s="127">
        <v>1</v>
      </c>
      <c r="BI52" s="127"/>
      <c r="BJ52" s="127"/>
      <c r="BK52" s="127"/>
      <c r="BL52" s="127"/>
      <c r="BM52" s="127"/>
      <c r="BN52" s="130"/>
    </row>
    <row r="53" spans="2:66" s="123" customFormat="1" x14ac:dyDescent="0.25">
      <c r="B53" s="14" t="s">
        <v>1</v>
      </c>
      <c r="C53" s="186">
        <v>60</v>
      </c>
      <c r="D53" s="187">
        <v>6</v>
      </c>
      <c r="E53" s="187">
        <v>1</v>
      </c>
      <c r="F53" s="187">
        <v>0</v>
      </c>
      <c r="G53" s="187">
        <v>1</v>
      </c>
      <c r="H53" s="187">
        <v>1</v>
      </c>
      <c r="I53" s="186">
        <v>0</v>
      </c>
      <c r="J53" s="187">
        <v>0</v>
      </c>
      <c r="K53" s="187">
        <v>0</v>
      </c>
      <c r="L53" s="187">
        <v>1</v>
      </c>
      <c r="M53" s="187">
        <v>0</v>
      </c>
      <c r="N53" s="187">
        <v>0</v>
      </c>
      <c r="O53" s="187">
        <v>0</v>
      </c>
      <c r="P53" s="187">
        <v>0</v>
      </c>
      <c r="Q53" s="187">
        <v>0</v>
      </c>
      <c r="R53" s="188">
        <v>1</v>
      </c>
      <c r="U53"/>
      <c r="X53" s="15" t="s">
        <v>899</v>
      </c>
      <c r="Y53">
        <f>COUNTIF(H53:H61,"&gt;=1")</f>
        <v>8</v>
      </c>
      <c r="Z53" s="15" t="s">
        <v>906</v>
      </c>
      <c r="AA53">
        <f>COUNTIF(L53:L61,"=1")</f>
        <v>4</v>
      </c>
      <c r="AB53" s="15" t="s">
        <v>911</v>
      </c>
      <c r="AC53">
        <f>COUNTIF(D53:D61,"&gt;=3")</f>
        <v>8</v>
      </c>
      <c r="AD53" s="15" t="s">
        <v>917</v>
      </c>
      <c r="AE53">
        <f>COUNTIF(Q53:Q61,"=1")</f>
        <v>0</v>
      </c>
      <c r="AI53" s="124" t="s">
        <v>840</v>
      </c>
      <c r="AJ53" s="123">
        <v>1</v>
      </c>
      <c r="AK53" s="123">
        <v>2</v>
      </c>
      <c r="AL53" s="123">
        <v>3</v>
      </c>
      <c r="AM53" s="123">
        <v>4</v>
      </c>
      <c r="AN53" s="124" t="s">
        <v>815</v>
      </c>
      <c r="AO53" s="123">
        <v>5</v>
      </c>
      <c r="AP53" s="123">
        <v>6</v>
      </c>
      <c r="AQ53" s="123">
        <v>7</v>
      </c>
      <c r="AR53" s="123">
        <v>8</v>
      </c>
      <c r="AS53" s="124" t="s">
        <v>848</v>
      </c>
      <c r="AT53" s="124" t="s">
        <v>126</v>
      </c>
      <c r="AX53" s="15"/>
      <c r="AY53" s="127"/>
      <c r="AZ53" s="2"/>
      <c r="BA53" s="2"/>
      <c r="BB53" s="2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30"/>
    </row>
    <row r="54" spans="2:66" s="123" customFormat="1" x14ac:dyDescent="0.25">
      <c r="B54" s="14" t="s">
        <v>806</v>
      </c>
      <c r="C54" s="186">
        <v>55</v>
      </c>
      <c r="D54" s="187">
        <v>5</v>
      </c>
      <c r="E54" s="187">
        <v>1</v>
      </c>
      <c r="F54" s="187">
        <v>0</v>
      </c>
      <c r="G54" s="187">
        <v>1</v>
      </c>
      <c r="H54" s="187">
        <v>1</v>
      </c>
      <c r="I54" s="186">
        <v>0</v>
      </c>
      <c r="J54" s="187">
        <v>0</v>
      </c>
      <c r="K54" s="187">
        <v>0</v>
      </c>
      <c r="L54" s="187">
        <v>0</v>
      </c>
      <c r="M54" s="187">
        <v>0</v>
      </c>
      <c r="N54" s="187">
        <v>0</v>
      </c>
      <c r="O54" s="187">
        <v>0</v>
      </c>
      <c r="P54" s="187">
        <v>0</v>
      </c>
      <c r="Q54" s="187">
        <v>0</v>
      </c>
      <c r="R54" s="188">
        <v>0</v>
      </c>
      <c r="U54"/>
      <c r="X54" s="15" t="s">
        <v>900</v>
      </c>
      <c r="Y54">
        <f>COUNTIF(I53:I61,"=1")</f>
        <v>0</v>
      </c>
      <c r="Z54" s="15"/>
      <c r="AB54" s="15" t="s">
        <v>912</v>
      </c>
      <c r="AC54">
        <f>COUNTIF(O53:O61,"=1")</f>
        <v>0</v>
      </c>
      <c r="AD54" s="15" t="s">
        <v>918</v>
      </c>
      <c r="AE54">
        <f>COUNTIF(E53:E61,"=1")</f>
        <v>8</v>
      </c>
      <c r="AI54" s="4" t="s">
        <v>14</v>
      </c>
      <c r="AJ54" s="4" t="s">
        <v>861</v>
      </c>
      <c r="AK54" s="4" t="s">
        <v>15</v>
      </c>
      <c r="AL54" s="4" t="s">
        <v>857</v>
      </c>
      <c r="AM54" s="4" t="s">
        <v>858</v>
      </c>
      <c r="AN54" s="4" t="s">
        <v>45</v>
      </c>
      <c r="AO54" s="4" t="s">
        <v>854</v>
      </c>
      <c r="AP54" s="4" t="s">
        <v>40</v>
      </c>
      <c r="AQ54" s="4" t="s">
        <v>25</v>
      </c>
      <c r="AR54" s="4" t="s">
        <v>25</v>
      </c>
      <c r="AS54" s="4" t="s">
        <v>25</v>
      </c>
      <c r="AT54" s="4" t="s">
        <v>25</v>
      </c>
      <c r="AX54" s="15" t="s">
        <v>916</v>
      </c>
      <c r="AY54" s="127"/>
      <c r="AZ54" s="2">
        <v>75</v>
      </c>
      <c r="BA54" s="2">
        <v>2</v>
      </c>
      <c r="BB54" s="2">
        <f>SUM(BD54:BH54)</f>
        <v>5</v>
      </c>
      <c r="BC54" s="127"/>
      <c r="BD54" s="127">
        <v>1</v>
      </c>
      <c r="BE54" s="127">
        <v>1</v>
      </c>
      <c r="BF54" s="127">
        <v>1</v>
      </c>
      <c r="BG54" s="127">
        <v>1</v>
      </c>
      <c r="BH54" s="127">
        <v>1</v>
      </c>
      <c r="BI54" s="127"/>
      <c r="BJ54" s="127"/>
      <c r="BK54" s="127"/>
      <c r="BL54" s="127"/>
      <c r="BM54" s="127"/>
      <c r="BN54" s="130"/>
    </row>
    <row r="55" spans="2:66" x14ac:dyDescent="0.25">
      <c r="B55" s="14" t="s">
        <v>807</v>
      </c>
      <c r="C55" s="186">
        <v>55</v>
      </c>
      <c r="D55" s="187">
        <v>5</v>
      </c>
      <c r="E55" s="187">
        <v>1</v>
      </c>
      <c r="F55" s="187">
        <v>0</v>
      </c>
      <c r="G55" s="187">
        <v>1</v>
      </c>
      <c r="H55" s="187">
        <v>1</v>
      </c>
      <c r="I55" s="186">
        <v>0</v>
      </c>
      <c r="J55" s="187">
        <v>0</v>
      </c>
      <c r="K55" s="187">
        <v>0</v>
      </c>
      <c r="L55" s="187">
        <v>1</v>
      </c>
      <c r="M55" s="187">
        <v>0</v>
      </c>
      <c r="N55" s="187">
        <v>0</v>
      </c>
      <c r="O55" s="187">
        <v>0</v>
      </c>
      <c r="P55" s="187">
        <v>0</v>
      </c>
      <c r="Q55" s="187">
        <v>0</v>
      </c>
      <c r="R55" s="188">
        <v>0</v>
      </c>
      <c r="U55" s="4"/>
      <c r="X55" s="15"/>
      <c r="Z55" s="15" t="s">
        <v>907</v>
      </c>
      <c r="AA55">
        <f>COUNTIF(M53:M61,"=1")</f>
        <v>0</v>
      </c>
      <c r="AB55" s="15"/>
      <c r="AD55" s="15" t="s">
        <v>919</v>
      </c>
      <c r="AE55">
        <f>COUNTIF(D53:D61,"&gt;=5")</f>
        <v>8</v>
      </c>
      <c r="AX55" s="15" t="s">
        <v>917</v>
      </c>
      <c r="AY55" s="2"/>
      <c r="AZ55" s="2">
        <v>75</v>
      </c>
      <c r="BA55" s="2">
        <v>2</v>
      </c>
      <c r="BB55" s="2">
        <f>SUM(BD55:BH55)</f>
        <v>5</v>
      </c>
      <c r="BC55" s="2"/>
      <c r="BD55" s="127">
        <v>1</v>
      </c>
      <c r="BE55" s="127">
        <v>1</v>
      </c>
      <c r="BF55" s="127">
        <v>1</v>
      </c>
      <c r="BG55" s="127">
        <v>1</v>
      </c>
      <c r="BH55" s="127">
        <v>1</v>
      </c>
      <c r="BI55" s="127"/>
      <c r="BJ55" s="127"/>
      <c r="BK55" s="127"/>
      <c r="BL55" s="127"/>
      <c r="BM55" s="127"/>
      <c r="BN55" s="130"/>
    </row>
    <row r="56" spans="2:66" x14ac:dyDescent="0.25">
      <c r="B56" s="200" t="s">
        <v>808</v>
      </c>
      <c r="C56" s="207">
        <v>55</v>
      </c>
      <c r="D56" s="208">
        <v>5</v>
      </c>
      <c r="E56" s="208">
        <v>1</v>
      </c>
      <c r="F56" s="208">
        <v>0</v>
      </c>
      <c r="G56" s="208">
        <v>1</v>
      </c>
      <c r="H56" s="208">
        <v>1</v>
      </c>
      <c r="I56" s="207">
        <v>0</v>
      </c>
      <c r="J56" s="208">
        <v>0</v>
      </c>
      <c r="K56" s="208">
        <v>0</v>
      </c>
      <c r="L56" s="208">
        <v>0</v>
      </c>
      <c r="M56" s="208">
        <v>0</v>
      </c>
      <c r="N56" s="208">
        <v>0</v>
      </c>
      <c r="O56" s="208">
        <v>0</v>
      </c>
      <c r="P56" s="208">
        <v>0</v>
      </c>
      <c r="Q56" s="208">
        <v>0</v>
      </c>
      <c r="R56" s="209">
        <v>0</v>
      </c>
      <c r="U56" s="4"/>
      <c r="X56" s="15" t="s">
        <v>901</v>
      </c>
      <c r="Y56">
        <f>COUNTIF(J53:J61,"=1")</f>
        <v>0</v>
      </c>
      <c r="Z56" s="15" t="s">
        <v>908</v>
      </c>
      <c r="AA56">
        <f>COUNTIF(D53:D61,"&gt;=2")</f>
        <v>8</v>
      </c>
      <c r="AB56" s="15"/>
      <c r="AI56" t="s">
        <v>875</v>
      </c>
      <c r="AJ56" t="s">
        <v>875</v>
      </c>
      <c r="AK56" t="s">
        <v>875</v>
      </c>
      <c r="AM56" t="s">
        <v>877</v>
      </c>
      <c r="AN56" t="s">
        <v>877</v>
      </c>
      <c r="AO56" t="s">
        <v>878</v>
      </c>
      <c r="AP56" t="s">
        <v>873</v>
      </c>
      <c r="AQ56" t="s">
        <v>873</v>
      </c>
      <c r="AR56" t="s">
        <v>873</v>
      </c>
      <c r="AS56" t="s">
        <v>873</v>
      </c>
      <c r="AT56" t="s">
        <v>873</v>
      </c>
      <c r="AU56" t="s">
        <v>879</v>
      </c>
      <c r="AX56" s="15" t="s">
        <v>918</v>
      </c>
      <c r="AY56" s="2"/>
      <c r="AZ56" s="2">
        <v>75</v>
      </c>
      <c r="BA56" s="2">
        <v>2</v>
      </c>
      <c r="BB56" s="2">
        <f>SUM(BD56:BH56)</f>
        <v>5</v>
      </c>
      <c r="BC56" s="2"/>
      <c r="BD56" s="127">
        <v>1</v>
      </c>
      <c r="BE56" s="127">
        <v>1</v>
      </c>
      <c r="BF56" s="127">
        <v>1</v>
      </c>
      <c r="BG56" s="127">
        <v>1</v>
      </c>
      <c r="BH56" s="127">
        <v>1</v>
      </c>
      <c r="BI56" s="127"/>
      <c r="BJ56" s="127"/>
      <c r="BK56" s="127"/>
      <c r="BL56" s="127"/>
      <c r="BM56" s="127"/>
      <c r="BN56" s="130"/>
    </row>
    <row r="57" spans="2:66" x14ac:dyDescent="0.25">
      <c r="B57" s="14" t="s">
        <v>809</v>
      </c>
      <c r="C57" s="186">
        <v>55</v>
      </c>
      <c r="D57" s="187">
        <v>5</v>
      </c>
      <c r="E57" s="187">
        <v>1</v>
      </c>
      <c r="F57" s="187">
        <v>0</v>
      </c>
      <c r="G57" s="187">
        <v>1</v>
      </c>
      <c r="H57" s="187">
        <v>1</v>
      </c>
      <c r="I57" s="186">
        <v>0</v>
      </c>
      <c r="J57" s="187">
        <v>0</v>
      </c>
      <c r="K57" s="187">
        <v>0</v>
      </c>
      <c r="L57" s="187">
        <v>0</v>
      </c>
      <c r="M57" s="187">
        <v>0</v>
      </c>
      <c r="N57" s="187">
        <v>0</v>
      </c>
      <c r="O57" s="187">
        <v>0</v>
      </c>
      <c r="P57" s="187">
        <v>0</v>
      </c>
      <c r="Q57" s="187">
        <v>0</v>
      </c>
      <c r="R57" s="188">
        <v>0</v>
      </c>
      <c r="U57" s="4"/>
      <c r="X57" s="15" t="s">
        <v>902</v>
      </c>
      <c r="Y57">
        <f>COUNTIF(K53:K61,"=1")</f>
        <v>0</v>
      </c>
      <c r="Z57" s="15" t="s">
        <v>909</v>
      </c>
      <c r="AA57">
        <f>COUNTIF(N53:N61,"=1")</f>
        <v>0</v>
      </c>
      <c r="AB57" s="15" t="s">
        <v>914</v>
      </c>
      <c r="AC57">
        <f>COUNTIF(P53:P61,"=1")</f>
        <v>0</v>
      </c>
      <c r="AD57" s="15"/>
      <c r="AF57" s="3" t="s">
        <v>968</v>
      </c>
      <c r="AI57" s="124" t="s">
        <v>814</v>
      </c>
      <c r="AJ57" s="123"/>
      <c r="AK57" s="123"/>
      <c r="AX57" s="15" t="s">
        <v>919</v>
      </c>
      <c r="AY57" s="2"/>
      <c r="AZ57" s="2">
        <v>75</v>
      </c>
      <c r="BA57" s="2">
        <v>2</v>
      </c>
      <c r="BB57" s="2">
        <f>SUM(BD57:BH57)</f>
        <v>5</v>
      </c>
      <c r="BC57" s="2"/>
      <c r="BD57" s="127">
        <v>1</v>
      </c>
      <c r="BE57" s="127">
        <v>1</v>
      </c>
      <c r="BF57" s="127">
        <v>1</v>
      </c>
      <c r="BG57" s="127">
        <v>1</v>
      </c>
      <c r="BH57" s="127">
        <v>1</v>
      </c>
      <c r="BI57" s="127"/>
      <c r="BJ57" s="127"/>
      <c r="BK57" s="127"/>
      <c r="BL57" s="127"/>
      <c r="BM57" s="127"/>
      <c r="BN57" s="130"/>
    </row>
    <row r="58" spans="2:66" x14ac:dyDescent="0.25">
      <c r="B58" s="133" t="s">
        <v>810</v>
      </c>
      <c r="C58" s="153">
        <v>60</v>
      </c>
      <c r="D58" s="155">
        <v>6</v>
      </c>
      <c r="E58" s="155">
        <v>1</v>
      </c>
      <c r="F58" s="155">
        <v>0</v>
      </c>
      <c r="G58" s="155">
        <v>1</v>
      </c>
      <c r="H58" s="155">
        <v>1</v>
      </c>
      <c r="I58" s="153">
        <v>0</v>
      </c>
      <c r="J58" s="155">
        <v>0</v>
      </c>
      <c r="K58" s="155">
        <v>0</v>
      </c>
      <c r="L58" s="155">
        <v>0</v>
      </c>
      <c r="M58" s="155">
        <v>0</v>
      </c>
      <c r="N58" s="155">
        <v>0</v>
      </c>
      <c r="O58" s="155">
        <v>0</v>
      </c>
      <c r="P58" s="155">
        <v>0</v>
      </c>
      <c r="Q58" s="155">
        <v>0</v>
      </c>
      <c r="R58" s="191">
        <v>1</v>
      </c>
      <c r="X58" s="15"/>
      <c r="AB58" s="15" t="s">
        <v>915</v>
      </c>
      <c r="AC58">
        <f>COUNTIF(D53:D61,"&gt;=4")</f>
        <v>8</v>
      </c>
      <c r="AD58" s="15" t="s">
        <v>921</v>
      </c>
      <c r="AE58">
        <f>COUNTIF(R53:R61,"=1")</f>
        <v>4</v>
      </c>
      <c r="AF58">
        <f>COUNTIF(D53:D61,"&gt;=7")+COUNTIF(D53:D61,"=8")+5*(COUNTIF(H53:H61,"&gt;=2")+COUNTIF(H53:H61,"&gt;=3")+COUNTIF(H53:H61,"=4"))</f>
        <v>0</v>
      </c>
      <c r="AI58" s="123">
        <v>1</v>
      </c>
      <c r="AJ58" s="123">
        <v>2</v>
      </c>
      <c r="AK58" s="123">
        <v>3</v>
      </c>
      <c r="AL58" s="234" t="s">
        <v>837</v>
      </c>
      <c r="AM58" s="234" t="s">
        <v>822</v>
      </c>
      <c r="AN58" s="234" t="s">
        <v>823</v>
      </c>
      <c r="AO58" s="235" t="s">
        <v>828</v>
      </c>
      <c r="AP58" s="234" t="s">
        <v>829</v>
      </c>
      <c r="AQ58" s="234" t="s">
        <v>836</v>
      </c>
      <c r="AR58" s="5" t="s">
        <v>6</v>
      </c>
      <c r="AS58" s="235" t="s">
        <v>826</v>
      </c>
      <c r="AT58" s="5" t="s">
        <v>8</v>
      </c>
      <c r="AU58" s="235" t="s">
        <v>832</v>
      </c>
      <c r="AV58" s="123"/>
      <c r="BA58" s="2"/>
      <c r="BB58" s="2"/>
      <c r="BC58" s="2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30"/>
    </row>
    <row r="59" spans="2:66" x14ac:dyDescent="0.25">
      <c r="B59" s="14" t="s">
        <v>811</v>
      </c>
      <c r="C59" s="186">
        <v>60</v>
      </c>
      <c r="D59" s="187">
        <v>6</v>
      </c>
      <c r="E59" s="187">
        <v>1</v>
      </c>
      <c r="F59" s="187">
        <v>0</v>
      </c>
      <c r="G59" s="187">
        <v>1</v>
      </c>
      <c r="H59" s="187">
        <v>1</v>
      </c>
      <c r="I59" s="186">
        <v>0</v>
      </c>
      <c r="J59" s="187">
        <v>0</v>
      </c>
      <c r="K59" s="187">
        <v>0</v>
      </c>
      <c r="L59" s="187">
        <v>1</v>
      </c>
      <c r="M59" s="187">
        <v>0</v>
      </c>
      <c r="N59" s="187">
        <v>0</v>
      </c>
      <c r="O59" s="187">
        <v>0</v>
      </c>
      <c r="P59" s="187">
        <v>0</v>
      </c>
      <c r="Q59" s="187">
        <v>0</v>
      </c>
      <c r="R59" s="188">
        <v>1</v>
      </c>
      <c r="X59" s="15"/>
      <c r="AB59" s="15"/>
      <c r="AD59" s="15"/>
      <c r="AI59" s="4" t="s">
        <v>25</v>
      </c>
      <c r="AJ59" s="4" t="s">
        <v>25</v>
      </c>
      <c r="AK59" s="4" t="s">
        <v>25</v>
      </c>
      <c r="AL59" s="4" t="s">
        <v>860</v>
      </c>
      <c r="AM59" s="4" t="s">
        <v>862</v>
      </c>
      <c r="AN59" s="4" t="s">
        <v>105</v>
      </c>
      <c r="AO59" s="4" t="s">
        <v>29</v>
      </c>
      <c r="AP59" s="4" t="s">
        <v>853</v>
      </c>
      <c r="AQ59" s="4" t="s">
        <v>856</v>
      </c>
      <c r="AR59" s="4" t="s">
        <v>260</v>
      </c>
      <c r="AS59" s="4" t="s">
        <v>261</v>
      </c>
      <c r="AT59" s="4" t="s">
        <v>28</v>
      </c>
      <c r="AU59" s="4" t="s">
        <v>25</v>
      </c>
      <c r="AV59" s="123"/>
      <c r="AX59" s="15" t="s">
        <v>920</v>
      </c>
      <c r="AY59" s="2"/>
      <c r="AZ59" s="2">
        <v>75</v>
      </c>
      <c r="BA59" s="2">
        <v>2</v>
      </c>
      <c r="BB59" s="2">
        <f>SUM(BD59:BH59)</f>
        <v>1</v>
      </c>
      <c r="BC59" s="2">
        <f>SUM(BI59:BM59)</f>
        <v>17</v>
      </c>
      <c r="BD59" s="127">
        <v>1</v>
      </c>
      <c r="BE59" s="127"/>
      <c r="BF59" s="127"/>
      <c r="BG59" s="127"/>
      <c r="BH59" s="127"/>
      <c r="BI59" s="127">
        <v>17</v>
      </c>
      <c r="BJ59" s="127"/>
      <c r="BK59" s="127"/>
      <c r="BL59" s="127"/>
      <c r="BM59" s="127"/>
      <c r="BN59" s="130"/>
    </row>
    <row r="60" spans="2:66" x14ac:dyDescent="0.25">
      <c r="B60" s="14" t="s">
        <v>812</v>
      </c>
      <c r="C60" s="186">
        <v>60</v>
      </c>
      <c r="D60" s="187">
        <v>6</v>
      </c>
      <c r="E60" s="187">
        <v>1</v>
      </c>
      <c r="F60" s="187">
        <v>0</v>
      </c>
      <c r="G60" s="187">
        <v>1</v>
      </c>
      <c r="H60" s="187">
        <v>1</v>
      </c>
      <c r="I60" s="186">
        <v>0</v>
      </c>
      <c r="J60" s="187">
        <v>0</v>
      </c>
      <c r="K60" s="187">
        <v>0</v>
      </c>
      <c r="L60" s="187">
        <v>1</v>
      </c>
      <c r="M60" s="187">
        <v>0</v>
      </c>
      <c r="N60" s="187">
        <v>0</v>
      </c>
      <c r="O60" s="187">
        <v>0</v>
      </c>
      <c r="P60" s="187">
        <v>0</v>
      </c>
      <c r="Q60" s="187">
        <v>0</v>
      </c>
      <c r="R60" s="188">
        <v>1</v>
      </c>
      <c r="X60" s="15"/>
      <c r="AD60" s="15"/>
      <c r="AX60" s="15" t="s">
        <v>921</v>
      </c>
      <c r="AY60" s="2"/>
      <c r="AZ60" s="2">
        <v>75</v>
      </c>
      <c r="BA60" s="2">
        <v>2</v>
      </c>
      <c r="BB60" s="2">
        <f>SUM(BD60:BH60)</f>
        <v>1</v>
      </c>
      <c r="BC60" s="2">
        <f>SUM(BI60:BM60)</f>
        <v>17</v>
      </c>
      <c r="BD60" s="127"/>
      <c r="BE60" s="127"/>
      <c r="BF60" s="127">
        <v>1</v>
      </c>
      <c r="BG60" s="127"/>
      <c r="BH60" s="127"/>
      <c r="BI60" s="127"/>
      <c r="BJ60" s="127"/>
      <c r="BK60" s="127">
        <v>17</v>
      </c>
      <c r="BL60" s="127"/>
      <c r="BM60" s="127"/>
      <c r="BN60" s="130"/>
    </row>
    <row r="61" spans="2:66" x14ac:dyDescent="0.25">
      <c r="B61" s="133" t="s">
        <v>820</v>
      </c>
      <c r="C61" s="153"/>
      <c r="D61" s="155"/>
      <c r="E61" s="155"/>
      <c r="F61" s="155"/>
      <c r="G61" s="155"/>
      <c r="H61" s="155"/>
      <c r="I61" s="153">
        <v>0</v>
      </c>
      <c r="J61" s="155">
        <v>0</v>
      </c>
      <c r="K61" s="155">
        <v>0</v>
      </c>
      <c r="L61" s="155">
        <v>0</v>
      </c>
      <c r="M61" s="155">
        <v>0</v>
      </c>
      <c r="N61" s="155">
        <v>0</v>
      </c>
      <c r="O61" s="155">
        <v>0</v>
      </c>
      <c r="P61" s="155">
        <v>0</v>
      </c>
      <c r="Q61" s="155">
        <v>0</v>
      </c>
      <c r="R61" s="191">
        <v>0</v>
      </c>
      <c r="AD61" s="15"/>
      <c r="AX61" s="15" t="s">
        <v>922</v>
      </c>
      <c r="AY61" s="2"/>
      <c r="AZ61" s="2">
        <v>75</v>
      </c>
      <c r="BA61" s="2">
        <v>2</v>
      </c>
      <c r="BB61" s="2">
        <f>SUM(BD61:BH61)</f>
        <v>1</v>
      </c>
      <c r="BC61" s="2">
        <f>SUM(BI61:BM61)</f>
        <v>17</v>
      </c>
      <c r="BD61" s="127"/>
      <c r="BE61" s="127"/>
      <c r="BF61" s="127"/>
      <c r="BG61" s="127"/>
      <c r="BH61" s="127">
        <v>1</v>
      </c>
      <c r="BI61" s="127"/>
      <c r="BJ61" s="127"/>
      <c r="BK61" s="127"/>
      <c r="BL61" s="127"/>
      <c r="BM61" s="127">
        <v>17</v>
      </c>
      <c r="BN61" s="130"/>
    </row>
    <row r="62" spans="2:66" x14ac:dyDescent="0.25">
      <c r="AX62" s="15" t="s">
        <v>923</v>
      </c>
      <c r="AY62" s="2"/>
      <c r="AZ62" s="2">
        <v>75</v>
      </c>
      <c r="BA62" s="2">
        <v>2</v>
      </c>
      <c r="BB62" s="2">
        <f>SUM(BD62:BH62)</f>
        <v>1</v>
      </c>
      <c r="BC62" s="2">
        <f>SUM(BI62:BM62)</f>
        <v>17</v>
      </c>
      <c r="BD62" s="127"/>
      <c r="BE62" s="127"/>
      <c r="BF62" s="127"/>
      <c r="BG62" s="127">
        <v>1</v>
      </c>
      <c r="BH62" s="127"/>
      <c r="BI62" s="127"/>
      <c r="BJ62" s="127"/>
      <c r="BK62" s="127"/>
      <c r="BL62" s="127">
        <v>17</v>
      </c>
      <c r="BM62" s="127"/>
      <c r="BN62" s="130"/>
    </row>
    <row r="63" spans="2:66" x14ac:dyDescent="0.25">
      <c r="B63" s="200" t="s">
        <v>47</v>
      </c>
      <c r="C63" s="371" t="s">
        <v>635</v>
      </c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1"/>
      <c r="AT63" t="s">
        <v>873</v>
      </c>
      <c r="AX63" s="15" t="s">
        <v>924</v>
      </c>
      <c r="AY63" s="2"/>
      <c r="AZ63" s="2">
        <v>75</v>
      </c>
      <c r="BA63" s="2">
        <v>2</v>
      </c>
      <c r="BB63" s="2">
        <f>SUM(BD63:BH63)</f>
        <v>1</v>
      </c>
      <c r="BC63" s="2">
        <f>SUM(BI63:BM63)</f>
        <v>17</v>
      </c>
      <c r="BD63" s="127"/>
      <c r="BE63" s="127">
        <v>1</v>
      </c>
      <c r="BF63" s="127"/>
      <c r="BG63" s="127"/>
      <c r="BH63" s="127"/>
      <c r="BI63" s="127"/>
      <c r="BJ63" s="127">
        <v>17</v>
      </c>
      <c r="BK63" s="127"/>
      <c r="BL63" s="127"/>
      <c r="BM63" s="127"/>
      <c r="BN63" s="130"/>
    </row>
    <row r="64" spans="2:66" x14ac:dyDescent="0.25">
      <c r="B64" s="128" t="s">
        <v>872</v>
      </c>
      <c r="C64" s="162" t="s">
        <v>5</v>
      </c>
      <c r="D64" s="163" t="s">
        <v>813</v>
      </c>
      <c r="E64" s="163" t="s">
        <v>815</v>
      </c>
      <c r="F64" s="164" t="s">
        <v>843</v>
      </c>
      <c r="G64" s="164" t="s">
        <v>845</v>
      </c>
      <c r="H64" s="163" t="s">
        <v>814</v>
      </c>
      <c r="I64" s="166" t="s">
        <v>837</v>
      </c>
      <c r="J64" s="167" t="s">
        <v>824</v>
      </c>
      <c r="K64" s="167" t="s">
        <v>821</v>
      </c>
      <c r="L64" s="168" t="s">
        <v>828</v>
      </c>
      <c r="M64" s="167" t="s">
        <v>838</v>
      </c>
      <c r="N64" s="169" t="s">
        <v>41</v>
      </c>
      <c r="O64" s="168" t="s">
        <v>826</v>
      </c>
      <c r="P64" s="169" t="s">
        <v>8</v>
      </c>
      <c r="Q64" s="170" t="s">
        <v>834</v>
      </c>
      <c r="X64" s="15" t="s">
        <v>898</v>
      </c>
      <c r="Y64">
        <f>COUNTIF(I65:I73,"=1")</f>
        <v>0</v>
      </c>
      <c r="Z64" s="15" t="s">
        <v>905</v>
      </c>
      <c r="AA64">
        <f>COUNTIF(L65:L73,"=1")</f>
        <v>4</v>
      </c>
      <c r="AB64" s="15" t="s">
        <v>910</v>
      </c>
      <c r="AC64">
        <f>COUNTIF(N65:N73,"=1")</f>
        <v>0</v>
      </c>
      <c r="AD64" s="15" t="s">
        <v>916</v>
      </c>
      <c r="AE64">
        <f>COUNTIF(E65:E73,"=1")</f>
        <v>8</v>
      </c>
      <c r="AI64" s="123"/>
      <c r="AJ64" s="124" t="s">
        <v>645</v>
      </c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X64" s="15" t="s">
        <v>925</v>
      </c>
      <c r="AY64" s="2"/>
      <c r="AZ64" s="2">
        <v>15</v>
      </c>
    </row>
    <row r="65" spans="2:48" x14ac:dyDescent="0.25">
      <c r="B65" s="14" t="s">
        <v>1</v>
      </c>
      <c r="C65" s="216">
        <v>55</v>
      </c>
      <c r="D65" s="217">
        <v>5</v>
      </c>
      <c r="E65" s="217">
        <v>1</v>
      </c>
      <c r="F65" s="217">
        <v>0</v>
      </c>
      <c r="G65" s="217">
        <v>1</v>
      </c>
      <c r="H65" s="217">
        <v>1</v>
      </c>
      <c r="I65" s="216">
        <v>0</v>
      </c>
      <c r="J65" s="217">
        <v>0</v>
      </c>
      <c r="K65" s="217">
        <v>1</v>
      </c>
      <c r="L65" s="217">
        <v>0</v>
      </c>
      <c r="M65" s="217">
        <v>1</v>
      </c>
      <c r="N65" s="217">
        <v>0</v>
      </c>
      <c r="O65" s="217">
        <v>0</v>
      </c>
      <c r="P65" s="217">
        <v>0</v>
      </c>
      <c r="Q65" s="218">
        <v>0</v>
      </c>
      <c r="X65" s="15"/>
      <c r="Z65" s="15" t="s">
        <v>906</v>
      </c>
      <c r="AA65">
        <f>COUNTIF(D65:D73,"&gt;=1")</f>
        <v>8</v>
      </c>
      <c r="AB65" s="15" t="s">
        <v>911</v>
      </c>
      <c r="AC65">
        <f>COUNTIF(D65:D73,"&gt;=2")</f>
        <v>8</v>
      </c>
      <c r="AD65" s="15" t="s">
        <v>917</v>
      </c>
      <c r="AE65">
        <f>COUNTIF(D65:D73,"&gt;=5")</f>
        <v>8</v>
      </c>
      <c r="AI65" s="124" t="s">
        <v>840</v>
      </c>
      <c r="AJ65" s="123">
        <v>1</v>
      </c>
      <c r="AK65" s="123">
        <v>2</v>
      </c>
      <c r="AL65" s="123">
        <v>3</v>
      </c>
      <c r="AM65" s="123">
        <v>4</v>
      </c>
      <c r="AN65" s="124" t="s">
        <v>815</v>
      </c>
      <c r="AO65" s="123">
        <v>5</v>
      </c>
      <c r="AP65" s="123">
        <v>6</v>
      </c>
      <c r="AQ65" s="123">
        <v>7</v>
      </c>
      <c r="AR65" s="123">
        <v>8</v>
      </c>
      <c r="AS65" s="124" t="s">
        <v>848</v>
      </c>
      <c r="AT65" s="124" t="s">
        <v>126</v>
      </c>
    </row>
    <row r="66" spans="2:48" s="123" customFormat="1" x14ac:dyDescent="0.25">
      <c r="B66" s="14" t="s">
        <v>806</v>
      </c>
      <c r="C66" s="216">
        <v>60</v>
      </c>
      <c r="D66" s="217">
        <v>6</v>
      </c>
      <c r="E66" s="217">
        <v>1</v>
      </c>
      <c r="F66" s="217">
        <v>0</v>
      </c>
      <c r="G66" s="217">
        <v>1</v>
      </c>
      <c r="H66" s="217">
        <v>1</v>
      </c>
      <c r="I66" s="216">
        <v>0</v>
      </c>
      <c r="J66" s="217">
        <v>0</v>
      </c>
      <c r="K66" s="217">
        <v>0</v>
      </c>
      <c r="L66" s="217">
        <v>1</v>
      </c>
      <c r="M66" s="217">
        <v>0</v>
      </c>
      <c r="N66" s="217">
        <v>0</v>
      </c>
      <c r="O66" s="217">
        <v>0</v>
      </c>
      <c r="P66" s="217">
        <v>0</v>
      </c>
      <c r="Q66" s="218">
        <v>1</v>
      </c>
      <c r="T66"/>
      <c r="X66" s="15" t="s">
        <v>900</v>
      </c>
      <c r="Y66">
        <f>COUNTIF(K65:K73,"=1")</f>
        <v>4</v>
      </c>
      <c r="Z66" s="15"/>
      <c r="AA66"/>
      <c r="AB66" s="15" t="s">
        <v>912</v>
      </c>
      <c r="AC66">
        <f>COUNTIF(D65:D73,"&gt;=3")</f>
        <v>8</v>
      </c>
      <c r="AD66" s="15" t="s">
        <v>918</v>
      </c>
      <c r="AE66">
        <f>COUNTIF(P65:P73,"=1")</f>
        <v>0</v>
      </c>
      <c r="AF66" s="249"/>
      <c r="AI66" s="4" t="s">
        <v>31</v>
      </c>
      <c r="AJ66" s="4" t="s">
        <v>29</v>
      </c>
      <c r="AK66" s="4" t="s">
        <v>857</v>
      </c>
      <c r="AL66" s="4" t="s">
        <v>260</v>
      </c>
      <c r="AM66" s="4" t="s">
        <v>257</v>
      </c>
      <c r="AN66" s="4" t="s">
        <v>40</v>
      </c>
      <c r="AO66" s="4" t="s">
        <v>28</v>
      </c>
      <c r="AP66" s="4" t="s">
        <v>854</v>
      </c>
      <c r="AQ66" s="4" t="s">
        <v>863</v>
      </c>
      <c r="AR66" s="4" t="s">
        <v>863</v>
      </c>
      <c r="AS66" s="4" t="s">
        <v>863</v>
      </c>
      <c r="AT66" s="4" t="s">
        <v>863</v>
      </c>
    </row>
    <row r="67" spans="2:48" s="123" customFormat="1" x14ac:dyDescent="0.25">
      <c r="B67" s="14" t="s">
        <v>807</v>
      </c>
      <c r="C67" s="216">
        <v>60</v>
      </c>
      <c r="D67" s="217">
        <v>6</v>
      </c>
      <c r="E67" s="217">
        <v>1</v>
      </c>
      <c r="F67" s="217">
        <v>0</v>
      </c>
      <c r="G67" s="217">
        <v>1</v>
      </c>
      <c r="H67" s="217">
        <v>1</v>
      </c>
      <c r="I67" s="216">
        <v>0</v>
      </c>
      <c r="J67" s="217">
        <v>0</v>
      </c>
      <c r="K67" s="217">
        <v>1</v>
      </c>
      <c r="L67" s="217">
        <v>1</v>
      </c>
      <c r="M67" s="217">
        <v>1</v>
      </c>
      <c r="N67" s="217">
        <v>0</v>
      </c>
      <c r="O67" s="217">
        <v>0</v>
      </c>
      <c r="P67" s="217">
        <v>0</v>
      </c>
      <c r="Q67" s="218">
        <v>1</v>
      </c>
      <c r="T67" s="4"/>
      <c r="X67" s="15"/>
      <c r="Y67"/>
      <c r="Z67" s="15" t="s">
        <v>907</v>
      </c>
      <c r="AA67">
        <f>COUNTIF(M65:M73,"=1")</f>
        <v>3</v>
      </c>
      <c r="AB67" s="15"/>
      <c r="AC67"/>
      <c r="AD67" s="15" t="s">
        <v>919</v>
      </c>
      <c r="AE67">
        <f>COUNTIF(D65:D73,"&gt;=6")</f>
        <v>4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2:48" x14ac:dyDescent="0.25">
      <c r="B68" s="200" t="s">
        <v>808</v>
      </c>
      <c r="C68" s="222">
        <v>55</v>
      </c>
      <c r="D68" s="223">
        <v>5</v>
      </c>
      <c r="E68" s="223">
        <v>1</v>
      </c>
      <c r="F68" s="223">
        <v>0</v>
      </c>
      <c r="G68" s="223">
        <v>1</v>
      </c>
      <c r="H68" s="223">
        <v>1</v>
      </c>
      <c r="I68" s="222">
        <v>0</v>
      </c>
      <c r="J68" s="223">
        <v>0</v>
      </c>
      <c r="K68" s="223">
        <v>0</v>
      </c>
      <c r="L68" s="223">
        <v>0</v>
      </c>
      <c r="M68" s="223">
        <v>0</v>
      </c>
      <c r="N68" s="223">
        <v>0</v>
      </c>
      <c r="O68" s="223">
        <v>0</v>
      </c>
      <c r="P68" s="223">
        <v>0</v>
      </c>
      <c r="Q68" s="224">
        <v>0</v>
      </c>
      <c r="T68" s="4"/>
      <c r="X68" s="15" t="s">
        <v>901</v>
      </c>
      <c r="Y68">
        <f>COUNTIF(J65:J73,"=1")</f>
        <v>0</v>
      </c>
      <c r="Z68" s="15"/>
      <c r="AB68" s="15" t="s">
        <v>913</v>
      </c>
      <c r="AC68">
        <f>COUNTIF(D65:D73,"&gt;=4")</f>
        <v>8</v>
      </c>
      <c r="AI68" t="s">
        <v>875</v>
      </c>
      <c r="AJ68" t="s">
        <v>875</v>
      </c>
      <c r="AK68" t="s">
        <v>875</v>
      </c>
      <c r="AN68" t="s">
        <v>876</v>
      </c>
      <c r="AO68" t="s">
        <v>878</v>
      </c>
      <c r="AP68" t="s">
        <v>873</v>
      </c>
      <c r="AQ68" t="s">
        <v>873</v>
      </c>
      <c r="AR68" t="s">
        <v>873</v>
      </c>
      <c r="AS68" t="s">
        <v>873</v>
      </c>
      <c r="AT68" t="s">
        <v>879</v>
      </c>
    </row>
    <row r="69" spans="2:48" x14ac:dyDescent="0.25">
      <c r="B69" s="14" t="s">
        <v>809</v>
      </c>
      <c r="C69" s="216">
        <v>55</v>
      </c>
      <c r="D69" s="217">
        <v>5</v>
      </c>
      <c r="E69" s="217">
        <v>1</v>
      </c>
      <c r="F69" s="217">
        <v>0</v>
      </c>
      <c r="G69" s="217">
        <v>1</v>
      </c>
      <c r="H69" s="217">
        <v>1</v>
      </c>
      <c r="I69" s="216">
        <v>0</v>
      </c>
      <c r="J69" s="217">
        <v>0</v>
      </c>
      <c r="K69" s="217">
        <v>0</v>
      </c>
      <c r="L69" s="217">
        <v>0</v>
      </c>
      <c r="M69" s="217">
        <v>0</v>
      </c>
      <c r="N69" s="217">
        <v>0</v>
      </c>
      <c r="O69" s="217">
        <v>0</v>
      </c>
      <c r="P69" s="217">
        <v>0</v>
      </c>
      <c r="Q69" s="218">
        <v>0</v>
      </c>
      <c r="T69" s="4"/>
      <c r="X69" s="15"/>
      <c r="Z69" s="15"/>
      <c r="AB69" s="15" t="s">
        <v>914</v>
      </c>
      <c r="AC69">
        <f>COUNTIF(O65:O73,"=1")</f>
        <v>0</v>
      </c>
      <c r="AD69" s="15"/>
      <c r="AI69" s="124" t="s">
        <v>814</v>
      </c>
      <c r="AJ69" s="123"/>
      <c r="AK69" s="123"/>
    </row>
    <row r="70" spans="2:48" x14ac:dyDescent="0.25">
      <c r="B70" s="133" t="s">
        <v>810</v>
      </c>
      <c r="C70" s="228">
        <v>55</v>
      </c>
      <c r="D70" s="229">
        <v>5</v>
      </c>
      <c r="E70" s="229">
        <v>1</v>
      </c>
      <c r="F70" s="229">
        <v>0</v>
      </c>
      <c r="G70" s="229">
        <v>1</v>
      </c>
      <c r="H70" s="229">
        <v>1</v>
      </c>
      <c r="I70" s="228">
        <v>0</v>
      </c>
      <c r="J70" s="229">
        <v>0</v>
      </c>
      <c r="K70" s="229">
        <v>0</v>
      </c>
      <c r="L70" s="229">
        <v>0</v>
      </c>
      <c r="M70" s="229">
        <v>0</v>
      </c>
      <c r="N70" s="229">
        <v>0</v>
      </c>
      <c r="O70" s="229">
        <v>0</v>
      </c>
      <c r="P70" s="229">
        <v>0</v>
      </c>
      <c r="Q70" s="230">
        <v>0</v>
      </c>
      <c r="X70" s="15" t="s">
        <v>903</v>
      </c>
      <c r="Y70">
        <f>COUNTIF(H65:H73,"&gt;=1")</f>
        <v>8</v>
      </c>
      <c r="AB70" s="15"/>
      <c r="AD70" s="15"/>
      <c r="AI70" s="123">
        <v>1</v>
      </c>
      <c r="AJ70" s="123">
        <v>2</v>
      </c>
      <c r="AK70" s="123">
        <v>3</v>
      </c>
      <c r="AL70" s="234" t="s">
        <v>837</v>
      </c>
      <c r="AM70" s="234" t="s">
        <v>824</v>
      </c>
      <c r="AN70" s="234" t="s">
        <v>821</v>
      </c>
      <c r="AO70" s="235" t="s">
        <v>828</v>
      </c>
      <c r="AP70" s="234" t="s">
        <v>838</v>
      </c>
      <c r="AQ70" s="5" t="s">
        <v>41</v>
      </c>
      <c r="AR70" s="235" t="s">
        <v>826</v>
      </c>
      <c r="AS70" s="5" t="s">
        <v>8</v>
      </c>
      <c r="AT70" s="235" t="s">
        <v>834</v>
      </c>
    </row>
    <row r="71" spans="2:48" x14ac:dyDescent="0.25">
      <c r="B71" s="14" t="s">
        <v>811</v>
      </c>
      <c r="C71" s="216">
        <v>60</v>
      </c>
      <c r="D71" s="217">
        <v>6</v>
      </c>
      <c r="E71" s="217">
        <v>1</v>
      </c>
      <c r="F71" s="217">
        <v>0</v>
      </c>
      <c r="G71" s="217">
        <v>1</v>
      </c>
      <c r="H71" s="217">
        <v>1</v>
      </c>
      <c r="I71" s="216">
        <v>0</v>
      </c>
      <c r="J71" s="217">
        <v>0</v>
      </c>
      <c r="K71" s="217">
        <v>1</v>
      </c>
      <c r="L71" s="217">
        <v>1</v>
      </c>
      <c r="M71" s="217">
        <v>0</v>
      </c>
      <c r="N71" s="217">
        <v>0</v>
      </c>
      <c r="O71" s="217">
        <v>0</v>
      </c>
      <c r="P71" s="217">
        <v>0</v>
      </c>
      <c r="Q71" s="218">
        <v>1</v>
      </c>
      <c r="X71" s="15"/>
      <c r="AB71" s="15"/>
      <c r="AD71" s="15"/>
      <c r="AF71" s="3" t="s">
        <v>968</v>
      </c>
      <c r="AI71" s="4" t="s">
        <v>863</v>
      </c>
      <c r="AJ71" s="4" t="s">
        <v>863</v>
      </c>
      <c r="AK71" s="4" t="s">
        <v>863</v>
      </c>
      <c r="AL71" s="4" t="s">
        <v>852</v>
      </c>
      <c r="AM71" s="4" t="s">
        <v>862</v>
      </c>
      <c r="AN71" s="4" t="s">
        <v>860</v>
      </c>
      <c r="AO71" s="4" t="s">
        <v>861</v>
      </c>
      <c r="AP71" s="4" t="s">
        <v>853</v>
      </c>
      <c r="AQ71" s="4" t="s">
        <v>106</v>
      </c>
      <c r="AR71" s="4" t="s">
        <v>261</v>
      </c>
      <c r="AS71" s="4" t="s">
        <v>45</v>
      </c>
      <c r="AT71" s="4" t="s">
        <v>863</v>
      </c>
    </row>
    <row r="72" spans="2:48" x14ac:dyDescent="0.25">
      <c r="B72" s="14" t="s">
        <v>812</v>
      </c>
      <c r="C72" s="216">
        <v>60</v>
      </c>
      <c r="D72" s="217">
        <v>6</v>
      </c>
      <c r="E72" s="217">
        <v>1</v>
      </c>
      <c r="F72" s="217">
        <v>0</v>
      </c>
      <c r="G72" s="217">
        <v>1</v>
      </c>
      <c r="H72" s="217">
        <v>1</v>
      </c>
      <c r="I72" s="216">
        <v>0</v>
      </c>
      <c r="J72" s="217">
        <v>0</v>
      </c>
      <c r="K72" s="217">
        <v>1</v>
      </c>
      <c r="L72" s="217">
        <v>1</v>
      </c>
      <c r="M72" s="217">
        <v>1</v>
      </c>
      <c r="N72" s="217">
        <v>0</v>
      </c>
      <c r="O72" s="217">
        <v>0</v>
      </c>
      <c r="P72" s="217">
        <v>0</v>
      </c>
      <c r="Q72" s="218">
        <v>1</v>
      </c>
      <c r="X72" s="15"/>
      <c r="AD72" s="15" t="s">
        <v>923</v>
      </c>
      <c r="AE72">
        <f>COUNTIF(Q65:Q73,"=1")</f>
        <v>4</v>
      </c>
      <c r="AF72">
        <f>COUNTIF(D65:D73,"&gt;=7")+COUNTIF(D65:D73,"=8")+5*(COUNTIF(H65:H73,"&gt;=2")+COUNTIF(H65:H73,"&gt;=3")+COUNTIF(H65:H73,"=4"))</f>
        <v>0</v>
      </c>
    </row>
    <row r="73" spans="2:48" x14ac:dyDescent="0.25">
      <c r="B73" s="133" t="s">
        <v>820</v>
      </c>
      <c r="C73" s="162"/>
      <c r="D73" s="164"/>
      <c r="E73" s="164"/>
      <c r="F73" s="164"/>
      <c r="G73" s="164"/>
      <c r="H73" s="164"/>
      <c r="I73" s="162">
        <v>0</v>
      </c>
      <c r="J73" s="164">
        <v>0</v>
      </c>
      <c r="K73" s="164">
        <v>0</v>
      </c>
      <c r="L73" s="164">
        <v>0</v>
      </c>
      <c r="M73" s="164">
        <v>0</v>
      </c>
      <c r="N73" s="164">
        <v>0</v>
      </c>
      <c r="O73" s="164">
        <v>0</v>
      </c>
      <c r="P73" s="164">
        <v>0</v>
      </c>
      <c r="Q73" s="198">
        <v>0</v>
      </c>
      <c r="AD73" s="15"/>
    </row>
    <row r="75" spans="2:48" x14ac:dyDescent="0.25">
      <c r="B75" s="200" t="s">
        <v>47</v>
      </c>
      <c r="C75" s="368" t="s">
        <v>636</v>
      </c>
      <c r="D75" s="382"/>
      <c r="E75" s="382"/>
      <c r="F75" s="382"/>
      <c r="G75" s="382"/>
      <c r="H75" s="382"/>
      <c r="I75" s="382"/>
      <c r="J75" s="382"/>
      <c r="K75" s="382"/>
      <c r="L75" s="382"/>
      <c r="M75" s="382"/>
      <c r="N75" s="382"/>
      <c r="O75" s="382"/>
      <c r="P75" s="383"/>
      <c r="AT75" t="s">
        <v>873</v>
      </c>
    </row>
    <row r="76" spans="2:48" x14ac:dyDescent="0.25">
      <c r="B76" s="128" t="s">
        <v>872</v>
      </c>
      <c r="C76" s="171" t="s">
        <v>5</v>
      </c>
      <c r="D76" s="172" t="s">
        <v>813</v>
      </c>
      <c r="E76" s="172" t="s">
        <v>815</v>
      </c>
      <c r="F76" s="173" t="s">
        <v>843</v>
      </c>
      <c r="G76" s="173" t="s">
        <v>845</v>
      </c>
      <c r="H76" s="172" t="s">
        <v>814</v>
      </c>
      <c r="I76" s="175" t="s">
        <v>824</v>
      </c>
      <c r="J76" s="176" t="s">
        <v>828</v>
      </c>
      <c r="K76" s="177" t="s">
        <v>825</v>
      </c>
      <c r="L76" s="177" t="s">
        <v>839</v>
      </c>
      <c r="M76" s="178" t="s">
        <v>263</v>
      </c>
      <c r="N76" s="176" t="s">
        <v>826</v>
      </c>
      <c r="O76" s="178" t="s">
        <v>8</v>
      </c>
      <c r="P76" s="179" t="s">
        <v>833</v>
      </c>
      <c r="X76" s="15"/>
      <c r="Z76" s="15"/>
      <c r="AB76" s="15" t="s">
        <v>910</v>
      </c>
      <c r="AC76">
        <f>COUNTIF(D77:D85,"&gt;=2")</f>
        <v>8</v>
      </c>
      <c r="AD76" s="15" t="s">
        <v>916</v>
      </c>
      <c r="AE76">
        <f>COUNTIF(D77:D85,"&gt;=5")</f>
        <v>8</v>
      </c>
      <c r="AI76" s="123"/>
      <c r="AJ76" s="124" t="s">
        <v>645</v>
      </c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</row>
    <row r="77" spans="2:48" x14ac:dyDescent="0.25">
      <c r="B77" s="14" t="s">
        <v>1</v>
      </c>
      <c r="C77" s="219">
        <v>60</v>
      </c>
      <c r="D77" s="220">
        <v>6</v>
      </c>
      <c r="E77" s="220">
        <v>1</v>
      </c>
      <c r="F77" s="220">
        <v>0</v>
      </c>
      <c r="G77" s="220">
        <v>1</v>
      </c>
      <c r="H77" s="220">
        <v>1</v>
      </c>
      <c r="I77" s="219">
        <v>0</v>
      </c>
      <c r="J77" s="220">
        <v>1</v>
      </c>
      <c r="K77" s="220">
        <v>0</v>
      </c>
      <c r="L77" s="220">
        <v>1</v>
      </c>
      <c r="M77" s="220">
        <v>0</v>
      </c>
      <c r="N77" s="220">
        <v>0</v>
      </c>
      <c r="O77" s="220">
        <v>0</v>
      </c>
      <c r="P77" s="221">
        <v>1</v>
      </c>
      <c r="X77" s="15"/>
      <c r="Z77" s="15" t="s">
        <v>906</v>
      </c>
      <c r="AA77">
        <f>COUNTIF(J77:J85,"=1")</f>
        <v>4</v>
      </c>
      <c r="AB77" s="15"/>
      <c r="AD77" s="15" t="s">
        <v>917</v>
      </c>
      <c r="AE77">
        <f>COUNTIF(D77:D85,"&gt;=6")</f>
        <v>4</v>
      </c>
      <c r="AI77" s="124" t="s">
        <v>840</v>
      </c>
      <c r="AJ77" s="123">
        <v>1</v>
      </c>
      <c r="AK77" s="123">
        <v>2</v>
      </c>
      <c r="AL77" s="123">
        <v>3</v>
      </c>
      <c r="AM77" s="123">
        <v>4</v>
      </c>
      <c r="AN77" s="124" t="s">
        <v>815</v>
      </c>
      <c r="AO77" s="123">
        <v>5</v>
      </c>
      <c r="AP77" s="123">
        <v>6</v>
      </c>
      <c r="AQ77" s="123">
        <v>7</v>
      </c>
      <c r="AR77" s="123">
        <v>8</v>
      </c>
      <c r="AS77" s="124" t="s">
        <v>848</v>
      </c>
      <c r="AT77" s="124" t="s">
        <v>126</v>
      </c>
    </row>
    <row r="78" spans="2:48" x14ac:dyDescent="0.25">
      <c r="B78" s="14" t="s">
        <v>806</v>
      </c>
      <c r="C78" s="219">
        <v>55</v>
      </c>
      <c r="D78" s="220">
        <v>5</v>
      </c>
      <c r="E78" s="220">
        <v>1</v>
      </c>
      <c r="F78" s="220">
        <v>0</v>
      </c>
      <c r="G78" s="220">
        <v>1</v>
      </c>
      <c r="H78" s="220">
        <v>1</v>
      </c>
      <c r="I78" s="219">
        <v>0</v>
      </c>
      <c r="J78" s="220">
        <v>0</v>
      </c>
      <c r="K78" s="220">
        <v>0</v>
      </c>
      <c r="L78" s="220">
        <v>0</v>
      </c>
      <c r="M78" s="220">
        <v>0</v>
      </c>
      <c r="N78" s="220">
        <v>0</v>
      </c>
      <c r="O78" s="220">
        <v>0</v>
      </c>
      <c r="P78" s="221">
        <v>0</v>
      </c>
      <c r="X78" s="15"/>
      <c r="Z78" s="15"/>
      <c r="AB78" s="15" t="s">
        <v>912</v>
      </c>
      <c r="AC78">
        <f>COUNTIF(M77:M85,"=1")</f>
        <v>0</v>
      </c>
      <c r="AD78" s="15" t="s">
        <v>918</v>
      </c>
      <c r="AE78">
        <f>COUNTIF(O77:O85,"=1")</f>
        <v>0</v>
      </c>
      <c r="AF78" s="249"/>
      <c r="AI78" s="4" t="s">
        <v>862</v>
      </c>
      <c r="AJ78" s="4" t="s">
        <v>856</v>
      </c>
      <c r="AK78" s="4" t="s">
        <v>106</v>
      </c>
      <c r="AL78" s="4" t="s">
        <v>858</v>
      </c>
      <c r="AM78" s="4" t="s">
        <v>261</v>
      </c>
      <c r="AN78" s="4" t="s">
        <v>854</v>
      </c>
      <c r="AO78" s="4" t="s">
        <v>40</v>
      </c>
      <c r="AP78" s="4" t="s">
        <v>28</v>
      </c>
      <c r="AQ78" s="4" t="s">
        <v>27</v>
      </c>
      <c r="AR78" s="4" t="s">
        <v>27</v>
      </c>
      <c r="AS78" s="4" t="s">
        <v>27</v>
      </c>
      <c r="AT78" s="4" t="s">
        <v>27</v>
      </c>
    </row>
    <row r="79" spans="2:48" x14ac:dyDescent="0.25">
      <c r="B79" s="14" t="s">
        <v>807</v>
      </c>
      <c r="C79" s="219">
        <v>55</v>
      </c>
      <c r="D79" s="220">
        <v>5</v>
      </c>
      <c r="E79" s="220">
        <v>1</v>
      </c>
      <c r="F79" s="220">
        <v>0</v>
      </c>
      <c r="G79" s="220">
        <v>1</v>
      </c>
      <c r="H79" s="220">
        <v>1</v>
      </c>
      <c r="I79" s="219">
        <v>0</v>
      </c>
      <c r="J79" s="220">
        <v>0</v>
      </c>
      <c r="K79" s="220">
        <v>0</v>
      </c>
      <c r="L79" s="220">
        <v>0</v>
      </c>
      <c r="M79" s="220">
        <v>0</v>
      </c>
      <c r="N79" s="220">
        <v>0</v>
      </c>
      <c r="O79" s="220">
        <v>0</v>
      </c>
      <c r="P79" s="221">
        <v>0</v>
      </c>
      <c r="S79" s="4"/>
      <c r="X79" s="15"/>
      <c r="Z79" s="15" t="s">
        <v>907</v>
      </c>
      <c r="AA79">
        <f>COUNTIF(K77:K85,"=1")</f>
        <v>0</v>
      </c>
      <c r="AB79" s="15"/>
      <c r="AD79" s="15" t="s">
        <v>919</v>
      </c>
      <c r="AE79">
        <f>COUNTIF(E77:E85,"=1")</f>
        <v>8</v>
      </c>
      <c r="AF79" s="249"/>
    </row>
    <row r="80" spans="2:48" x14ac:dyDescent="0.25">
      <c r="B80" s="200" t="s">
        <v>808</v>
      </c>
      <c r="C80" s="225">
        <v>55</v>
      </c>
      <c r="D80" s="226">
        <v>5</v>
      </c>
      <c r="E80" s="226">
        <v>1</v>
      </c>
      <c r="F80" s="226">
        <v>0</v>
      </c>
      <c r="G80" s="226">
        <v>1</v>
      </c>
      <c r="H80" s="226">
        <v>1</v>
      </c>
      <c r="I80" s="225">
        <v>0</v>
      </c>
      <c r="J80" s="226">
        <v>0</v>
      </c>
      <c r="K80" s="226">
        <v>0</v>
      </c>
      <c r="L80" s="226">
        <v>1</v>
      </c>
      <c r="M80" s="226">
        <v>0</v>
      </c>
      <c r="N80" s="226">
        <v>0</v>
      </c>
      <c r="O80" s="226">
        <v>0</v>
      </c>
      <c r="P80" s="227">
        <v>0</v>
      </c>
      <c r="S80" s="4"/>
      <c r="X80" s="15" t="s">
        <v>901</v>
      </c>
      <c r="Y80">
        <f>COUNTIF(H77:H85,"&gt;=1")</f>
        <v>8</v>
      </c>
      <c r="Z80" s="15" t="s">
        <v>908</v>
      </c>
      <c r="AA80">
        <f>COUNTIF(L77:L85,"=1")</f>
        <v>4</v>
      </c>
      <c r="AB80" s="15" t="s">
        <v>913</v>
      </c>
      <c r="AC80">
        <f>COUNTIF(N77:N85,"=1")</f>
        <v>0</v>
      </c>
      <c r="AI80" t="s">
        <v>875</v>
      </c>
      <c r="AJ80" t="s">
        <v>875</v>
      </c>
      <c r="AK80" t="s">
        <v>875</v>
      </c>
      <c r="AM80" t="s">
        <v>878</v>
      </c>
      <c r="AN80" t="s">
        <v>873</v>
      </c>
      <c r="AO80" t="s">
        <v>873</v>
      </c>
      <c r="AP80" t="s">
        <v>873</v>
      </c>
      <c r="AQ80" t="s">
        <v>873</v>
      </c>
      <c r="AR80" t="s">
        <v>873</v>
      </c>
      <c r="AS80" t="s">
        <v>879</v>
      </c>
    </row>
    <row r="81" spans="2:53" x14ac:dyDescent="0.25">
      <c r="B81" s="14" t="s">
        <v>809</v>
      </c>
      <c r="C81" s="219">
        <v>60</v>
      </c>
      <c r="D81" s="220">
        <v>6</v>
      </c>
      <c r="E81" s="220">
        <v>1</v>
      </c>
      <c r="F81" s="220">
        <v>0</v>
      </c>
      <c r="G81" s="220">
        <v>1</v>
      </c>
      <c r="H81" s="220">
        <v>1</v>
      </c>
      <c r="I81" s="219">
        <v>0</v>
      </c>
      <c r="J81" s="220">
        <v>1</v>
      </c>
      <c r="K81" s="220">
        <v>0</v>
      </c>
      <c r="L81" s="220">
        <v>0</v>
      </c>
      <c r="M81" s="220">
        <v>0</v>
      </c>
      <c r="N81" s="220">
        <v>0</v>
      </c>
      <c r="O81" s="220">
        <v>0</v>
      </c>
      <c r="P81" s="221">
        <v>1</v>
      </c>
      <c r="S81" s="4"/>
      <c r="X81" s="272" t="s">
        <v>16</v>
      </c>
      <c r="Y81">
        <f>COUNTIF(I77:I85,"=1")</f>
        <v>0</v>
      </c>
      <c r="Z81" s="15" t="s">
        <v>909</v>
      </c>
      <c r="AA81">
        <f>COUNTIF(D77:D85,"&gt;=1")</f>
        <v>8</v>
      </c>
      <c r="AB81" s="15" t="s">
        <v>914</v>
      </c>
      <c r="AC81">
        <f>COUNTIF(D77:D85,"&gt;=4")</f>
        <v>8</v>
      </c>
      <c r="AD81" s="15"/>
      <c r="AI81" s="124" t="s">
        <v>814</v>
      </c>
      <c r="AJ81" s="123"/>
      <c r="AK81" s="123"/>
    </row>
    <row r="82" spans="2:53" x14ac:dyDescent="0.25">
      <c r="B82" s="133" t="s">
        <v>810</v>
      </c>
      <c r="C82" s="231">
        <v>55</v>
      </c>
      <c r="D82" s="232">
        <v>5</v>
      </c>
      <c r="E82" s="232">
        <v>1</v>
      </c>
      <c r="F82" s="232">
        <v>0</v>
      </c>
      <c r="G82" s="232">
        <v>1</v>
      </c>
      <c r="H82" s="232">
        <v>1</v>
      </c>
      <c r="I82" s="231">
        <v>0</v>
      </c>
      <c r="J82" s="232">
        <v>0</v>
      </c>
      <c r="K82" s="232">
        <v>0</v>
      </c>
      <c r="L82" s="232">
        <v>0</v>
      </c>
      <c r="M82" s="232">
        <v>0</v>
      </c>
      <c r="N82" s="232">
        <v>0</v>
      </c>
      <c r="O82" s="232">
        <v>0</v>
      </c>
      <c r="P82" s="233">
        <v>0</v>
      </c>
      <c r="AB82" s="15" t="s">
        <v>915</v>
      </c>
      <c r="AC82">
        <f>COUNTIF(D77:D85,"&gt;=3")</f>
        <v>8</v>
      </c>
      <c r="AD82" s="15"/>
      <c r="AF82" s="3" t="s">
        <v>968</v>
      </c>
      <c r="AI82" s="123">
        <v>1</v>
      </c>
      <c r="AJ82" s="123">
        <v>2</v>
      </c>
      <c r="AK82" s="123">
        <v>3</v>
      </c>
      <c r="AL82" s="234" t="s">
        <v>824</v>
      </c>
      <c r="AM82" s="235" t="s">
        <v>828</v>
      </c>
      <c r="AN82" s="234" t="s">
        <v>825</v>
      </c>
      <c r="AO82" s="234" t="s">
        <v>839</v>
      </c>
      <c r="AP82" s="5" t="s">
        <v>263</v>
      </c>
      <c r="AQ82" s="235" t="s">
        <v>826</v>
      </c>
      <c r="AR82" s="5" t="s">
        <v>8</v>
      </c>
      <c r="AS82" s="235" t="s">
        <v>833</v>
      </c>
    </row>
    <row r="83" spans="2:53" x14ac:dyDescent="0.25">
      <c r="B83" s="14" t="s">
        <v>811</v>
      </c>
      <c r="C83" s="219">
        <v>60</v>
      </c>
      <c r="D83" s="220">
        <v>6</v>
      </c>
      <c r="E83" s="220">
        <v>1</v>
      </c>
      <c r="F83" s="220">
        <v>0</v>
      </c>
      <c r="G83" s="220">
        <v>1</v>
      </c>
      <c r="H83" s="220">
        <v>1</v>
      </c>
      <c r="I83" s="219">
        <v>0</v>
      </c>
      <c r="J83" s="220">
        <v>1</v>
      </c>
      <c r="K83" s="220">
        <v>0</v>
      </c>
      <c r="L83" s="220">
        <v>1</v>
      </c>
      <c r="M83" s="220">
        <v>0</v>
      </c>
      <c r="N83" s="220">
        <v>0</v>
      </c>
      <c r="O83" s="220">
        <v>0</v>
      </c>
      <c r="P83" s="221">
        <v>1</v>
      </c>
      <c r="X83" s="15"/>
      <c r="AB83" s="15"/>
      <c r="AD83" s="15" t="s">
        <v>922</v>
      </c>
      <c r="AE83">
        <f>COUNTIF(P77:P85,"=1")</f>
        <v>4</v>
      </c>
      <c r="AF83">
        <f>COUNTIF(D77:D85,"&gt;=7")+COUNTIF(D77:D85,"=8")+5*(COUNTIF(H77:H85,"&gt;=2")+COUNTIF(H77:H85,"&gt;=3")+COUNTIF(H77:H85,"=4"))</f>
        <v>0</v>
      </c>
      <c r="AI83" s="4" t="s">
        <v>27</v>
      </c>
      <c r="AJ83" s="4" t="s">
        <v>27</v>
      </c>
      <c r="AK83" s="4" t="s">
        <v>27</v>
      </c>
      <c r="AL83" s="4" t="s">
        <v>16</v>
      </c>
      <c r="AM83" s="4" t="s">
        <v>29</v>
      </c>
      <c r="AN83" s="4" t="s">
        <v>853</v>
      </c>
      <c r="AO83" s="4" t="s">
        <v>15</v>
      </c>
      <c r="AP83" s="4" t="s">
        <v>260</v>
      </c>
      <c r="AQ83" s="4" t="s">
        <v>257</v>
      </c>
      <c r="AR83" s="4" t="s">
        <v>45</v>
      </c>
      <c r="AS83" s="4" t="s">
        <v>27</v>
      </c>
    </row>
    <row r="84" spans="2:53" x14ac:dyDescent="0.25">
      <c r="B84" s="14" t="s">
        <v>812</v>
      </c>
      <c r="C84" s="219">
        <v>60</v>
      </c>
      <c r="D84" s="220">
        <v>6</v>
      </c>
      <c r="E84" s="220">
        <v>1</v>
      </c>
      <c r="F84" s="220">
        <v>0</v>
      </c>
      <c r="G84" s="220">
        <v>1</v>
      </c>
      <c r="H84" s="220">
        <v>1</v>
      </c>
      <c r="I84" s="219">
        <v>0</v>
      </c>
      <c r="J84" s="220">
        <v>1</v>
      </c>
      <c r="K84" s="220">
        <v>0</v>
      </c>
      <c r="L84" s="220">
        <v>1</v>
      </c>
      <c r="M84" s="220">
        <v>0</v>
      </c>
      <c r="N84" s="220">
        <v>0</v>
      </c>
      <c r="O84" s="220">
        <v>0</v>
      </c>
      <c r="P84" s="221">
        <v>1</v>
      </c>
      <c r="X84" s="15"/>
      <c r="AD84" s="15"/>
    </row>
    <row r="85" spans="2:53" x14ac:dyDescent="0.25">
      <c r="B85" s="133" t="s">
        <v>820</v>
      </c>
      <c r="C85" s="171"/>
      <c r="D85" s="173"/>
      <c r="E85" s="173"/>
      <c r="F85" s="173"/>
      <c r="G85" s="173"/>
      <c r="H85" s="173"/>
      <c r="I85" s="171"/>
      <c r="J85" s="173"/>
      <c r="K85" s="173"/>
      <c r="L85" s="173"/>
      <c r="M85" s="173"/>
      <c r="N85" s="173"/>
      <c r="O85" s="173"/>
      <c r="P85" s="199"/>
      <c r="AD85" s="15"/>
    </row>
    <row r="86" spans="2:53" x14ac:dyDescent="0.25">
      <c r="B86" s="124"/>
    </row>
    <row r="87" spans="2:53" x14ac:dyDescent="0.25">
      <c r="B87" s="124"/>
    </row>
    <row r="88" spans="2:53" s="123" customFormat="1" x14ac:dyDescent="0.25">
      <c r="B88" s="200" t="s">
        <v>805</v>
      </c>
      <c r="C88" s="359" t="s">
        <v>630</v>
      </c>
      <c r="D88" s="360"/>
      <c r="E88" s="360"/>
      <c r="F88" s="360"/>
      <c r="G88" s="360"/>
      <c r="H88" s="361"/>
      <c r="I88" s="362" t="s">
        <v>632</v>
      </c>
      <c r="J88" s="363"/>
      <c r="K88" s="363"/>
      <c r="L88" s="363"/>
      <c r="M88" s="363"/>
      <c r="N88" s="364"/>
      <c r="O88" s="365" t="s">
        <v>634</v>
      </c>
      <c r="P88" s="366"/>
      <c r="Q88" s="366"/>
      <c r="R88" s="366"/>
      <c r="S88" s="366"/>
      <c r="T88" s="367"/>
      <c r="U88" s="371" t="s">
        <v>635</v>
      </c>
      <c r="V88" s="372"/>
      <c r="W88" s="372"/>
      <c r="X88" s="372"/>
      <c r="Y88" s="372"/>
      <c r="Z88" s="373"/>
      <c r="AA88" s="368" t="s">
        <v>636</v>
      </c>
      <c r="AB88" s="369"/>
      <c r="AC88" s="369"/>
      <c r="AD88" s="369"/>
      <c r="AE88" s="369"/>
      <c r="AF88" s="370"/>
    </row>
    <row r="89" spans="2:53" s="123" customFormat="1" x14ac:dyDescent="0.25">
      <c r="B89" s="128" t="s">
        <v>872</v>
      </c>
      <c r="C89" s="135" t="s">
        <v>5</v>
      </c>
      <c r="D89" s="136" t="s">
        <v>813</v>
      </c>
      <c r="E89" s="136" t="s">
        <v>815</v>
      </c>
      <c r="F89" s="137" t="s">
        <v>843</v>
      </c>
      <c r="G89" s="137" t="s">
        <v>845</v>
      </c>
      <c r="H89" s="138" t="s">
        <v>814</v>
      </c>
      <c r="I89" s="144" t="s">
        <v>5</v>
      </c>
      <c r="J89" s="145" t="s">
        <v>813</v>
      </c>
      <c r="K89" s="145" t="s">
        <v>815</v>
      </c>
      <c r="L89" s="146" t="s">
        <v>843</v>
      </c>
      <c r="M89" s="146" t="s">
        <v>845</v>
      </c>
      <c r="N89" s="147" t="s">
        <v>814</v>
      </c>
      <c r="O89" s="153" t="s">
        <v>5</v>
      </c>
      <c r="P89" s="154" t="s">
        <v>813</v>
      </c>
      <c r="Q89" s="154" t="s">
        <v>815</v>
      </c>
      <c r="R89" s="155" t="s">
        <v>843</v>
      </c>
      <c r="S89" s="155" t="s">
        <v>845</v>
      </c>
      <c r="T89" s="156" t="s">
        <v>814</v>
      </c>
      <c r="U89" s="162" t="s">
        <v>5</v>
      </c>
      <c r="V89" s="163" t="s">
        <v>813</v>
      </c>
      <c r="W89" s="163" t="s">
        <v>815</v>
      </c>
      <c r="X89" s="164" t="s">
        <v>843</v>
      </c>
      <c r="Y89" s="164" t="s">
        <v>845</v>
      </c>
      <c r="Z89" s="165" t="s">
        <v>814</v>
      </c>
      <c r="AA89" s="171" t="s">
        <v>5</v>
      </c>
      <c r="AB89" s="172" t="s">
        <v>813</v>
      </c>
      <c r="AC89" s="172" t="s">
        <v>815</v>
      </c>
      <c r="AD89" s="173" t="s">
        <v>843</v>
      </c>
      <c r="AE89" s="173" t="s">
        <v>845</v>
      </c>
      <c r="AF89" s="174" t="s">
        <v>814</v>
      </c>
      <c r="AI89"/>
      <c r="AJ89"/>
      <c r="AK89"/>
      <c r="AL89"/>
      <c r="AM89"/>
      <c r="AN89"/>
      <c r="AO89"/>
      <c r="AP89"/>
      <c r="AQ89" t="s">
        <v>873</v>
      </c>
      <c r="AR89"/>
      <c r="AT89"/>
      <c r="AV89" t="s">
        <v>873</v>
      </c>
      <c r="AW89"/>
      <c r="AX89"/>
    </row>
    <row r="90" spans="2:53" x14ac:dyDescent="0.25">
      <c r="B90" s="14" t="s">
        <v>1</v>
      </c>
      <c r="C90" s="180">
        <v>55</v>
      </c>
      <c r="D90" s="181">
        <v>5</v>
      </c>
      <c r="E90" s="181">
        <v>1</v>
      </c>
      <c r="F90" s="181">
        <v>0</v>
      </c>
      <c r="G90" s="181">
        <v>1</v>
      </c>
      <c r="H90" s="182">
        <v>1</v>
      </c>
      <c r="I90" s="183">
        <v>55</v>
      </c>
      <c r="J90" s="184">
        <v>5</v>
      </c>
      <c r="K90" s="184">
        <v>1</v>
      </c>
      <c r="L90" s="184">
        <v>0</v>
      </c>
      <c r="M90" s="184">
        <v>1</v>
      </c>
      <c r="N90" s="185">
        <v>1</v>
      </c>
      <c r="O90" s="186">
        <v>55</v>
      </c>
      <c r="P90" s="187">
        <v>5</v>
      </c>
      <c r="Q90" s="187">
        <v>1</v>
      </c>
      <c r="R90" s="187">
        <v>0</v>
      </c>
      <c r="S90" s="187">
        <v>1</v>
      </c>
      <c r="T90" s="188">
        <v>1</v>
      </c>
      <c r="U90" s="192">
        <v>55</v>
      </c>
      <c r="V90" s="193">
        <v>5</v>
      </c>
      <c r="W90" s="193">
        <v>1</v>
      </c>
      <c r="X90" s="193">
        <v>0</v>
      </c>
      <c r="Y90" s="193">
        <v>1</v>
      </c>
      <c r="Z90" s="196">
        <v>1</v>
      </c>
      <c r="AA90" s="194">
        <v>55</v>
      </c>
      <c r="AB90" s="195">
        <v>5</v>
      </c>
      <c r="AC90" s="195">
        <v>1</v>
      </c>
      <c r="AD90" s="195">
        <v>0</v>
      </c>
      <c r="AE90" s="195">
        <v>1</v>
      </c>
      <c r="AF90" s="197">
        <v>1</v>
      </c>
      <c r="AI90" s="123"/>
      <c r="AJ90" s="123"/>
      <c r="AK90" s="124" t="s">
        <v>645</v>
      </c>
      <c r="AL90" s="123"/>
      <c r="AM90" s="123"/>
      <c r="AN90" s="123"/>
      <c r="AO90" s="123"/>
      <c r="AP90" s="123"/>
      <c r="AQ90" s="123"/>
      <c r="AR90" s="123"/>
      <c r="AS90" s="123"/>
      <c r="AT90" s="123"/>
      <c r="AV90" s="124" t="s">
        <v>814</v>
      </c>
      <c r="AW90" s="123"/>
      <c r="AX90" s="123"/>
      <c r="AZ90" s="4" t="s">
        <v>129</v>
      </c>
    </row>
    <row r="91" spans="2:53" x14ac:dyDescent="0.25">
      <c r="B91" s="14" t="s">
        <v>806</v>
      </c>
      <c r="C91" s="180">
        <v>55</v>
      </c>
      <c r="D91" s="181">
        <v>5</v>
      </c>
      <c r="E91" s="181">
        <v>1</v>
      </c>
      <c r="F91" s="181">
        <v>0</v>
      </c>
      <c r="G91" s="181">
        <v>1</v>
      </c>
      <c r="H91" s="182">
        <v>1</v>
      </c>
      <c r="I91" s="183">
        <v>55</v>
      </c>
      <c r="J91" s="184">
        <v>5</v>
      </c>
      <c r="K91" s="184">
        <v>1</v>
      </c>
      <c r="L91" s="184">
        <v>0</v>
      </c>
      <c r="M91" s="184">
        <v>1</v>
      </c>
      <c r="N91" s="185">
        <v>1</v>
      </c>
      <c r="O91" s="186">
        <v>55</v>
      </c>
      <c r="P91" s="187">
        <v>5</v>
      </c>
      <c r="Q91" s="187">
        <v>1</v>
      </c>
      <c r="R91" s="187">
        <v>0</v>
      </c>
      <c r="S91" s="187">
        <v>1</v>
      </c>
      <c r="T91" s="188">
        <v>1</v>
      </c>
      <c r="U91" s="192">
        <v>55</v>
      </c>
      <c r="V91" s="193">
        <v>5</v>
      </c>
      <c r="W91" s="193">
        <v>1</v>
      </c>
      <c r="X91" s="193">
        <v>0</v>
      </c>
      <c r="Y91" s="193">
        <v>1</v>
      </c>
      <c r="Z91" s="196">
        <v>1</v>
      </c>
      <c r="AA91" s="194">
        <v>70</v>
      </c>
      <c r="AB91" s="195">
        <v>8</v>
      </c>
      <c r="AC91" s="195">
        <v>1</v>
      </c>
      <c r="AD91" s="195">
        <v>0</v>
      </c>
      <c r="AE91" s="195">
        <v>1</v>
      </c>
      <c r="AF91" s="197">
        <v>1</v>
      </c>
      <c r="AI91" s="123"/>
      <c r="AJ91" s="124" t="s">
        <v>840</v>
      </c>
      <c r="AK91" s="123">
        <v>1</v>
      </c>
      <c r="AL91" s="123">
        <v>2</v>
      </c>
      <c r="AM91" s="123">
        <v>3</v>
      </c>
      <c r="AN91" s="123">
        <v>4</v>
      </c>
      <c r="AO91" s="124" t="s">
        <v>815</v>
      </c>
      <c r="AP91" s="123">
        <v>5</v>
      </c>
      <c r="AQ91" s="124" t="s">
        <v>126</v>
      </c>
      <c r="AR91" s="123">
        <v>6</v>
      </c>
      <c r="AS91" s="123">
        <v>7</v>
      </c>
      <c r="AT91" s="123">
        <v>8</v>
      </c>
      <c r="AU91" s="124" t="s">
        <v>848</v>
      </c>
      <c r="AV91" s="123">
        <v>1</v>
      </c>
      <c r="AW91" s="123">
        <v>2</v>
      </c>
      <c r="AX91" s="123">
        <v>3</v>
      </c>
      <c r="AZ91" s="4" t="s">
        <v>880</v>
      </c>
      <c r="BA91" s="4" t="s">
        <v>882</v>
      </c>
    </row>
    <row r="92" spans="2:53" x14ac:dyDescent="0.25">
      <c r="B92" s="14" t="s">
        <v>807</v>
      </c>
      <c r="C92" s="180">
        <v>55</v>
      </c>
      <c r="D92" s="181">
        <v>5</v>
      </c>
      <c r="E92" s="181">
        <v>1</v>
      </c>
      <c r="F92" s="181">
        <v>0</v>
      </c>
      <c r="G92" s="181">
        <v>1</v>
      </c>
      <c r="H92" s="182">
        <v>1</v>
      </c>
      <c r="I92" s="183">
        <v>55</v>
      </c>
      <c r="J92" s="184">
        <v>5</v>
      </c>
      <c r="K92" s="184">
        <v>1</v>
      </c>
      <c r="L92" s="184">
        <v>0</v>
      </c>
      <c r="M92" s="184">
        <v>1</v>
      </c>
      <c r="N92" s="185">
        <v>1</v>
      </c>
      <c r="O92" s="186">
        <v>55</v>
      </c>
      <c r="P92" s="187">
        <v>5</v>
      </c>
      <c r="Q92" s="187">
        <v>1</v>
      </c>
      <c r="R92" s="187">
        <v>0</v>
      </c>
      <c r="S92" s="187">
        <v>1</v>
      </c>
      <c r="T92" s="188">
        <v>1</v>
      </c>
      <c r="U92" s="192">
        <v>55</v>
      </c>
      <c r="V92" s="193">
        <v>5</v>
      </c>
      <c r="W92" s="193">
        <v>1</v>
      </c>
      <c r="X92" s="193">
        <v>0</v>
      </c>
      <c r="Y92" s="193">
        <v>1</v>
      </c>
      <c r="Z92" s="196">
        <v>1</v>
      </c>
      <c r="AA92" s="194">
        <v>55</v>
      </c>
      <c r="AB92" s="195">
        <v>5</v>
      </c>
      <c r="AC92" s="195">
        <v>1</v>
      </c>
      <c r="AD92" s="195">
        <v>0</v>
      </c>
      <c r="AE92" s="195">
        <v>1</v>
      </c>
      <c r="AF92" s="197">
        <v>1</v>
      </c>
      <c r="AI92" s="4" t="s">
        <v>13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25</v>
      </c>
      <c r="AP92">
        <v>75</v>
      </c>
      <c r="AQ92">
        <v>25</v>
      </c>
      <c r="AR92">
        <v>75</v>
      </c>
      <c r="AS92">
        <v>75</v>
      </c>
      <c r="AT92">
        <v>75</v>
      </c>
      <c r="AU92">
        <v>25</v>
      </c>
      <c r="AV92">
        <v>375</v>
      </c>
      <c r="AW92">
        <v>375</v>
      </c>
      <c r="AX92">
        <v>375</v>
      </c>
      <c r="AZ92">
        <f>SUM(AJ92:AQ92)</f>
        <v>175</v>
      </c>
      <c r="BA92">
        <f>SUM(AR92:AX92)</f>
        <v>1375</v>
      </c>
    </row>
    <row r="93" spans="2:53" x14ac:dyDescent="0.25">
      <c r="B93" s="200" t="s">
        <v>808</v>
      </c>
      <c r="C93" s="201">
        <v>55</v>
      </c>
      <c r="D93" s="202">
        <v>5</v>
      </c>
      <c r="E93" s="202">
        <v>1</v>
      </c>
      <c r="F93" s="202">
        <v>0</v>
      </c>
      <c r="G93" s="202">
        <v>1</v>
      </c>
      <c r="H93" s="203">
        <v>1</v>
      </c>
      <c r="I93" s="204">
        <v>55</v>
      </c>
      <c r="J93" s="205">
        <v>5</v>
      </c>
      <c r="K93" s="205">
        <v>1</v>
      </c>
      <c r="L93" s="205">
        <v>0</v>
      </c>
      <c r="M93" s="205">
        <v>1</v>
      </c>
      <c r="N93" s="206">
        <v>1</v>
      </c>
      <c r="O93" s="207">
        <v>55</v>
      </c>
      <c r="P93" s="208">
        <v>5</v>
      </c>
      <c r="Q93" s="208">
        <v>1</v>
      </c>
      <c r="R93" s="208">
        <v>0</v>
      </c>
      <c r="S93" s="208">
        <v>1</v>
      </c>
      <c r="T93" s="209">
        <v>1</v>
      </c>
      <c r="U93" s="210">
        <v>55</v>
      </c>
      <c r="V93" s="211">
        <v>5</v>
      </c>
      <c r="W93" s="211">
        <v>1</v>
      </c>
      <c r="X93" s="211">
        <v>0</v>
      </c>
      <c r="Y93" s="211">
        <v>1</v>
      </c>
      <c r="Z93" s="212">
        <v>1</v>
      </c>
      <c r="AA93" s="213">
        <v>55</v>
      </c>
      <c r="AB93" s="214">
        <v>5</v>
      </c>
      <c r="AC93" s="214">
        <v>1</v>
      </c>
      <c r="AD93" s="214">
        <v>0</v>
      </c>
      <c r="AE93" s="214">
        <v>1</v>
      </c>
      <c r="AF93" s="215">
        <v>1</v>
      </c>
      <c r="AI93" s="4" t="s">
        <v>11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10</v>
      </c>
      <c r="AP93">
        <v>20</v>
      </c>
      <c r="AQ93">
        <v>10</v>
      </c>
      <c r="AR93">
        <v>20</v>
      </c>
      <c r="AS93">
        <v>20</v>
      </c>
      <c r="AT93">
        <v>20</v>
      </c>
      <c r="AU93">
        <v>10</v>
      </c>
      <c r="AV93">
        <v>100</v>
      </c>
      <c r="AW93">
        <v>100</v>
      </c>
      <c r="AX93">
        <v>100</v>
      </c>
      <c r="AZ93">
        <f t="shared" ref="AZ93:AZ94" si="19">SUM(AJ93:AQ93)</f>
        <v>50</v>
      </c>
      <c r="BA93">
        <f>SUM(AR93:AX93)</f>
        <v>370</v>
      </c>
    </row>
    <row r="94" spans="2:53" x14ac:dyDescent="0.25">
      <c r="B94" s="14" t="s">
        <v>809</v>
      </c>
      <c r="C94" s="180">
        <v>55</v>
      </c>
      <c r="D94" s="181">
        <v>5</v>
      </c>
      <c r="E94" s="181">
        <v>1</v>
      </c>
      <c r="F94" s="181">
        <v>0</v>
      </c>
      <c r="G94" s="181">
        <v>1</v>
      </c>
      <c r="H94" s="182">
        <v>1</v>
      </c>
      <c r="I94" s="183">
        <v>55</v>
      </c>
      <c r="J94" s="184">
        <v>5</v>
      </c>
      <c r="K94" s="184">
        <v>1</v>
      </c>
      <c r="L94" s="184">
        <v>0</v>
      </c>
      <c r="M94" s="184">
        <v>1</v>
      </c>
      <c r="N94" s="185">
        <v>1</v>
      </c>
      <c r="O94" s="186">
        <v>55</v>
      </c>
      <c r="P94" s="187">
        <v>5</v>
      </c>
      <c r="Q94" s="187">
        <v>1</v>
      </c>
      <c r="R94" s="187">
        <v>0</v>
      </c>
      <c r="S94" s="187">
        <v>1</v>
      </c>
      <c r="T94" s="188">
        <v>1</v>
      </c>
      <c r="U94" s="192">
        <v>55</v>
      </c>
      <c r="V94" s="193">
        <v>5</v>
      </c>
      <c r="W94" s="193">
        <v>1</v>
      </c>
      <c r="X94" s="193">
        <v>0</v>
      </c>
      <c r="Y94" s="193">
        <v>1</v>
      </c>
      <c r="Z94" s="196">
        <v>1</v>
      </c>
      <c r="AA94" s="194">
        <v>55</v>
      </c>
      <c r="AB94" s="195">
        <v>5</v>
      </c>
      <c r="AC94" s="195">
        <v>1</v>
      </c>
      <c r="AD94" s="195">
        <v>0</v>
      </c>
      <c r="AE94" s="195">
        <v>1</v>
      </c>
      <c r="AF94" s="197">
        <v>1</v>
      </c>
      <c r="AI94" s="4" t="s">
        <v>12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V94">
        <v>15</v>
      </c>
      <c r="AW94">
        <v>15</v>
      </c>
      <c r="AX94">
        <v>15</v>
      </c>
      <c r="AZ94">
        <f t="shared" si="19"/>
        <v>9</v>
      </c>
      <c r="BA94">
        <f t="shared" ref="BA94" si="20">SUM(AR94:AX94)</f>
        <v>54</v>
      </c>
    </row>
    <row r="95" spans="2:53" x14ac:dyDescent="0.25">
      <c r="B95" s="133" t="s">
        <v>810</v>
      </c>
      <c r="C95" s="135">
        <v>55</v>
      </c>
      <c r="D95" s="137">
        <v>5</v>
      </c>
      <c r="E95" s="137">
        <v>1</v>
      </c>
      <c r="F95" s="137">
        <v>0</v>
      </c>
      <c r="G95" s="137">
        <v>1</v>
      </c>
      <c r="H95" s="189">
        <v>1</v>
      </c>
      <c r="I95" s="144">
        <v>55</v>
      </c>
      <c r="J95" s="146">
        <v>5</v>
      </c>
      <c r="K95" s="146">
        <v>1</v>
      </c>
      <c r="L95" s="146">
        <v>0</v>
      </c>
      <c r="M95" s="146">
        <v>1</v>
      </c>
      <c r="N95" s="190">
        <v>1</v>
      </c>
      <c r="O95" s="153">
        <v>55</v>
      </c>
      <c r="P95" s="155">
        <v>5</v>
      </c>
      <c r="Q95" s="155">
        <v>1</v>
      </c>
      <c r="R95" s="155">
        <v>0</v>
      </c>
      <c r="S95" s="155">
        <v>1</v>
      </c>
      <c r="T95" s="191">
        <v>1</v>
      </c>
      <c r="U95" s="162">
        <v>55</v>
      </c>
      <c r="V95" s="164">
        <v>5</v>
      </c>
      <c r="W95" s="164">
        <v>1</v>
      </c>
      <c r="X95" s="164">
        <v>0</v>
      </c>
      <c r="Y95" s="164">
        <v>1</v>
      </c>
      <c r="Z95" s="198">
        <v>1</v>
      </c>
      <c r="AA95" s="171">
        <v>70</v>
      </c>
      <c r="AB95" s="173">
        <v>8</v>
      </c>
      <c r="AC95" s="173">
        <v>1</v>
      </c>
      <c r="AD95" s="173">
        <v>0</v>
      </c>
      <c r="AE95" s="173">
        <v>1</v>
      </c>
      <c r="AF95" s="199">
        <v>1</v>
      </c>
    </row>
    <row r="96" spans="2:53" x14ac:dyDescent="0.25">
      <c r="B96" s="14" t="s">
        <v>811</v>
      </c>
      <c r="C96" s="180">
        <v>55</v>
      </c>
      <c r="D96" s="181">
        <v>5</v>
      </c>
      <c r="E96" s="181">
        <v>1</v>
      </c>
      <c r="F96" s="181">
        <v>0</v>
      </c>
      <c r="G96" s="181">
        <v>1</v>
      </c>
      <c r="H96" s="182">
        <v>1</v>
      </c>
      <c r="I96" s="183">
        <v>55</v>
      </c>
      <c r="J96" s="184">
        <v>5</v>
      </c>
      <c r="K96" s="184">
        <v>1</v>
      </c>
      <c r="L96" s="184">
        <v>0</v>
      </c>
      <c r="M96" s="184">
        <v>1</v>
      </c>
      <c r="N96" s="185">
        <v>1</v>
      </c>
      <c r="O96" s="186">
        <v>55</v>
      </c>
      <c r="P96" s="187">
        <v>5</v>
      </c>
      <c r="Q96" s="187">
        <v>1</v>
      </c>
      <c r="R96" s="187">
        <v>0</v>
      </c>
      <c r="S96" s="187">
        <v>1</v>
      </c>
      <c r="T96" s="188">
        <v>1</v>
      </c>
      <c r="U96" s="192">
        <v>55</v>
      </c>
      <c r="V96" s="193">
        <v>5</v>
      </c>
      <c r="W96" s="193">
        <v>1</v>
      </c>
      <c r="X96" s="193">
        <v>0</v>
      </c>
      <c r="Y96" s="193">
        <v>1</v>
      </c>
      <c r="Z96" s="196">
        <v>1</v>
      </c>
      <c r="AA96" s="194">
        <v>55</v>
      </c>
      <c r="AB96" s="195">
        <v>5</v>
      </c>
      <c r="AC96" s="195">
        <v>1</v>
      </c>
      <c r="AD96" s="195">
        <v>0</v>
      </c>
      <c r="AE96" s="195">
        <v>1</v>
      </c>
      <c r="AF96" s="197">
        <v>1</v>
      </c>
    </row>
    <row r="97" spans="1:56" x14ac:dyDescent="0.25">
      <c r="B97" s="14" t="s">
        <v>812</v>
      </c>
      <c r="C97" s="180">
        <v>55</v>
      </c>
      <c r="D97" s="181">
        <v>5</v>
      </c>
      <c r="E97" s="181">
        <v>1</v>
      </c>
      <c r="F97" s="181">
        <v>0</v>
      </c>
      <c r="G97" s="181">
        <v>1</v>
      </c>
      <c r="H97" s="182">
        <v>1</v>
      </c>
      <c r="I97" s="183">
        <v>55</v>
      </c>
      <c r="J97" s="184">
        <v>5</v>
      </c>
      <c r="K97" s="184">
        <v>1</v>
      </c>
      <c r="L97" s="184">
        <v>0</v>
      </c>
      <c r="M97" s="184">
        <v>1</v>
      </c>
      <c r="N97" s="185">
        <v>1</v>
      </c>
      <c r="O97" s="186">
        <v>60</v>
      </c>
      <c r="P97" s="187">
        <v>6</v>
      </c>
      <c r="Q97" s="187">
        <v>1</v>
      </c>
      <c r="R97" s="187">
        <v>0</v>
      </c>
      <c r="S97" s="187">
        <v>1</v>
      </c>
      <c r="T97" s="188">
        <v>1</v>
      </c>
      <c r="U97" s="192">
        <v>55</v>
      </c>
      <c r="V97" s="193">
        <v>5</v>
      </c>
      <c r="W97" s="193">
        <v>1</v>
      </c>
      <c r="X97" s="193">
        <v>0</v>
      </c>
      <c r="Y97" s="193">
        <v>1</v>
      </c>
      <c r="Z97" s="196">
        <v>1</v>
      </c>
      <c r="AA97" s="194">
        <v>55</v>
      </c>
      <c r="AB97" s="195">
        <v>5</v>
      </c>
      <c r="AC97" s="195">
        <v>1</v>
      </c>
      <c r="AD97" s="195">
        <v>0</v>
      </c>
      <c r="AE97" s="195">
        <v>1</v>
      </c>
      <c r="AF97" s="197">
        <v>1</v>
      </c>
    </row>
    <row r="98" spans="1:56" x14ac:dyDescent="0.25">
      <c r="B98" s="133" t="s">
        <v>820</v>
      </c>
      <c r="C98" s="135">
        <v>55</v>
      </c>
      <c r="D98" s="137">
        <v>5</v>
      </c>
      <c r="E98" s="137">
        <v>1</v>
      </c>
      <c r="F98" s="137">
        <v>0</v>
      </c>
      <c r="G98" s="137">
        <v>1</v>
      </c>
      <c r="H98" s="189">
        <v>1</v>
      </c>
      <c r="I98" s="144">
        <v>55</v>
      </c>
      <c r="J98" s="146">
        <v>5</v>
      </c>
      <c r="K98" s="146">
        <v>1</v>
      </c>
      <c r="L98" s="146">
        <v>0</v>
      </c>
      <c r="M98" s="146">
        <v>1</v>
      </c>
      <c r="N98" s="190">
        <v>1</v>
      </c>
      <c r="O98" s="153">
        <v>55</v>
      </c>
      <c r="P98" s="155">
        <v>5</v>
      </c>
      <c r="Q98" s="155">
        <v>1</v>
      </c>
      <c r="R98" s="155">
        <v>0</v>
      </c>
      <c r="S98" s="155">
        <v>1</v>
      </c>
      <c r="T98" s="191">
        <v>1</v>
      </c>
      <c r="U98" s="162">
        <v>55</v>
      </c>
      <c r="V98" s="164">
        <v>5</v>
      </c>
      <c r="W98" s="164">
        <v>1</v>
      </c>
      <c r="X98" s="164">
        <v>0</v>
      </c>
      <c r="Y98" s="164">
        <v>1</v>
      </c>
      <c r="Z98" s="198">
        <v>1</v>
      </c>
      <c r="AA98" s="171"/>
      <c r="AB98" s="173"/>
      <c r="AC98" s="173"/>
      <c r="AD98" s="173"/>
      <c r="AE98" s="173"/>
      <c r="AF98" s="199"/>
    </row>
    <row r="99" spans="1:56" x14ac:dyDescent="0.25">
      <c r="B99" s="242" t="s">
        <v>949</v>
      </c>
      <c r="D99" t="s">
        <v>963</v>
      </c>
      <c r="E99" t="s">
        <v>958</v>
      </c>
      <c r="F99" t="s">
        <v>961</v>
      </c>
      <c r="G99" t="s">
        <v>958</v>
      </c>
      <c r="H99" t="s">
        <v>962</v>
      </c>
    </row>
    <row r="100" spans="1:56" ht="13.95" customHeight="1" x14ac:dyDescent="0.25">
      <c r="A100" s="355" t="s">
        <v>959</v>
      </c>
      <c r="B100" s="241" t="s">
        <v>13</v>
      </c>
      <c r="D100">
        <f>COUNTIF(D$90:D$98,"=1")*$AK92+COUNTIF(D$90:D$98,"=2")*($AK92+$AL92)+COUNTIF(D$90:D$98,"=3")*($AK92+$AL92+$AM92)+COUNTIF(D$90:D$98,"=4")*($AK92+$AL92+$AM92+$AN92)+COUNTIF(D$90:D$98,"&gt;=5")*($AK92+$AL92+$AM92+$AN92+$AP92)</f>
        <v>1035</v>
      </c>
      <c r="E100">
        <f>SUM(E$90:E$98)*$AO92</f>
        <v>225</v>
      </c>
      <c r="G100">
        <f>SUM(G$90:G$98)*$AQ92</f>
        <v>225</v>
      </c>
      <c r="H100">
        <f>COUNTIF(H$90:H$98,"&gt;=1")*$AJ92</f>
        <v>90</v>
      </c>
      <c r="J100">
        <f t="shared" ref="J100:AB102" si="21">COUNTIF(J$90:J$98,"=1")*$AK92+COUNTIF(J$90:J$98,"=2")*($AK92+$AL92)+COUNTIF(J$90:J$98,"=3")*($AK92+$AL92+$AM92)+COUNTIF(J$90:J$98,"=4")*($AK92+$AL92+$AM92+$AN92)+COUNTIF(J$90:J$98,"&gt;=5")*($AK92+$AL92+$AM92+$AN92+$AP92)</f>
        <v>1035</v>
      </c>
      <c r="K100">
        <f t="shared" ref="K100" si="22">SUM(K$90:K$98)*$AO92</f>
        <v>225</v>
      </c>
      <c r="M100">
        <f t="shared" ref="M100:AE102" si="23">SUM(M$90:M$98)*$AQ92</f>
        <v>225</v>
      </c>
      <c r="N100">
        <f t="shared" ref="N100:AF102" si="24">COUNTIF(N$90:N$98,"&gt;=1")*$AJ92</f>
        <v>90</v>
      </c>
      <c r="P100">
        <f t="shared" ref="P100" si="25">COUNTIF(P$90:P$98,"=1")*$AK92+COUNTIF(P$90:P$98,"=2")*($AK92+$AL92)+COUNTIF(P$90:P$98,"=3")*($AK92+$AL92+$AM92)+COUNTIF(P$90:P$98,"=4")*($AK92+$AL92+$AM92+$AN92)+COUNTIF(P$90:P$98,"&gt;=5")*($AK92+$AL92+$AM92+$AN92+$AP92)</f>
        <v>1035</v>
      </c>
      <c r="Q100">
        <f t="shared" ref="Q100" si="26">SUM(Q$90:Q$98)*$AO92</f>
        <v>225</v>
      </c>
      <c r="S100">
        <f t="shared" ref="S100" si="27">SUM(S$90:S$98)*$AQ92</f>
        <v>225</v>
      </c>
      <c r="T100">
        <f t="shared" ref="T100" si="28">COUNTIF(T$90:T$98,"&gt;=1")*$AJ92</f>
        <v>90</v>
      </c>
      <c r="V100">
        <f t="shared" ref="V100" si="29">COUNTIF(V$90:V$98,"=1")*$AK92+COUNTIF(V$90:V$98,"=2")*($AK92+$AL92)+COUNTIF(V$90:V$98,"=3")*($AK92+$AL92+$AM92)+COUNTIF(V$90:V$98,"=4")*($AK92+$AL92+$AM92+$AN92)+COUNTIF(V$90:V$98,"&gt;=5")*($AK92+$AL92+$AM92+$AN92+$AP92)</f>
        <v>1035</v>
      </c>
      <c r="W100">
        <f t="shared" ref="W100" si="30">SUM(W$90:W$98)*$AO92</f>
        <v>225</v>
      </c>
      <c r="Y100">
        <f t="shared" ref="Y100" si="31">SUM(Y$90:Y$98)*$AQ92</f>
        <v>225</v>
      </c>
      <c r="Z100">
        <f t="shared" ref="Z100" si="32">COUNTIF(Z$90:Z$98,"&gt;=1")*$AJ92</f>
        <v>90</v>
      </c>
      <c r="AB100">
        <f t="shared" ref="AB100" si="33">COUNTIF(AB$90:AB$98,"=1")*$AK92+COUNTIF(AB$90:AB$98,"=2")*($AK92+$AL92)+COUNTIF(AB$90:AB$98,"=3")*($AK92+$AL92+$AM92)+COUNTIF(AB$90:AB$98,"=4")*($AK92+$AL92+$AM92+$AN92)+COUNTIF(AB$90:AB$98,"&gt;=5")*($AK92+$AL92+$AM92+$AN92+$AP92)</f>
        <v>920</v>
      </c>
      <c r="AC100">
        <f t="shared" ref="AC100" si="34">SUM(AC$90:AC$98)*$AO92</f>
        <v>200</v>
      </c>
      <c r="AE100">
        <f t="shared" ref="AE100" si="35">SUM(AE$90:AE$98)*$AQ92</f>
        <v>200</v>
      </c>
      <c r="AF100">
        <f t="shared" ref="AF100" si="36">COUNTIF(AF$90:AF$98,"&gt;=1")*$AJ92</f>
        <v>80</v>
      </c>
    </row>
    <row r="101" spans="1:56" x14ac:dyDescent="0.25">
      <c r="A101" s="355"/>
      <c r="B101" s="241" t="s">
        <v>11</v>
      </c>
      <c r="D101">
        <f t="shared" ref="D101:D102" si="37">COUNTIF(D$90:D$98,"=1")*$AK93+COUNTIF(D$90:D$98,"=2")*($AK93+$AL93)+COUNTIF(D$90:D$98,"=3")*($AK93+$AL93+$AM93)+COUNTIF(D$90:D$98,"=4")*($AK93+$AL93+$AM93+$AN93)+COUNTIF(D$90:D$98,"&gt;=5")*($AK93+$AL93+$AM93+$AN93+$AP93)</f>
        <v>252</v>
      </c>
      <c r="E101">
        <f t="shared" ref="E101:E102" si="38">SUM(E$90:E$98)*$AO93</f>
        <v>90</v>
      </c>
      <c r="G101">
        <f t="shared" ref="G101:G102" si="39">SUM(G$90:G$98)*$AQ93</f>
        <v>90</v>
      </c>
      <c r="H101">
        <f t="shared" ref="H101:H102" si="40">COUNTIF(H$90:H$98,"&gt;=1")*$AJ93</f>
        <v>18</v>
      </c>
      <c r="J101">
        <f t="shared" si="21"/>
        <v>252</v>
      </c>
      <c r="K101">
        <f t="shared" ref="K101" si="41">SUM(K$90:K$98)*$AO93</f>
        <v>90</v>
      </c>
      <c r="M101">
        <f t="shared" si="23"/>
        <v>90</v>
      </c>
      <c r="N101">
        <f t="shared" si="24"/>
        <v>18</v>
      </c>
      <c r="P101">
        <f t="shared" si="21"/>
        <v>252</v>
      </c>
      <c r="Q101">
        <f t="shared" ref="Q101" si="42">SUM(Q$90:Q$98)*$AO93</f>
        <v>90</v>
      </c>
      <c r="S101">
        <f t="shared" si="23"/>
        <v>90</v>
      </c>
      <c r="T101">
        <f t="shared" si="24"/>
        <v>18</v>
      </c>
      <c r="V101">
        <f t="shared" si="21"/>
        <v>252</v>
      </c>
      <c r="W101">
        <f t="shared" ref="W101" si="43">SUM(W$90:W$98)*$AO93</f>
        <v>90</v>
      </c>
      <c r="Y101">
        <f t="shared" si="23"/>
        <v>90</v>
      </c>
      <c r="Z101">
        <f t="shared" si="24"/>
        <v>18</v>
      </c>
      <c r="AB101">
        <f t="shared" si="21"/>
        <v>224</v>
      </c>
      <c r="AC101">
        <f t="shared" ref="AC101" si="44">SUM(AC$90:AC$98)*$AO93</f>
        <v>80</v>
      </c>
      <c r="AE101">
        <f t="shared" si="23"/>
        <v>80</v>
      </c>
      <c r="AF101">
        <f t="shared" si="24"/>
        <v>16</v>
      </c>
    </row>
    <row r="102" spans="1:56" x14ac:dyDescent="0.25">
      <c r="A102" s="355"/>
      <c r="B102" s="123" t="s">
        <v>12</v>
      </c>
      <c r="D102">
        <f t="shared" si="37"/>
        <v>27</v>
      </c>
      <c r="E102">
        <f t="shared" si="38"/>
        <v>27</v>
      </c>
      <c r="G102">
        <f t="shared" si="39"/>
        <v>27</v>
      </c>
      <c r="H102">
        <f t="shared" si="40"/>
        <v>0</v>
      </c>
      <c r="J102">
        <f t="shared" si="21"/>
        <v>27</v>
      </c>
      <c r="K102">
        <f t="shared" ref="K102" si="45">SUM(K$90:K$98)*$AO94</f>
        <v>27</v>
      </c>
      <c r="M102">
        <f t="shared" si="23"/>
        <v>27</v>
      </c>
      <c r="N102">
        <f t="shared" si="24"/>
        <v>0</v>
      </c>
      <c r="P102">
        <f t="shared" si="21"/>
        <v>27</v>
      </c>
      <c r="Q102">
        <f t="shared" ref="Q102" si="46">SUM(Q$90:Q$98)*$AO94</f>
        <v>27</v>
      </c>
      <c r="S102">
        <f t="shared" si="23"/>
        <v>27</v>
      </c>
      <c r="T102">
        <f t="shared" si="24"/>
        <v>0</v>
      </c>
      <c r="V102">
        <f t="shared" si="21"/>
        <v>27</v>
      </c>
      <c r="W102">
        <f t="shared" ref="W102" si="47">SUM(W$90:W$98)*$AO94</f>
        <v>27</v>
      </c>
      <c r="Y102">
        <f t="shared" si="23"/>
        <v>27</v>
      </c>
      <c r="Z102">
        <f t="shared" si="24"/>
        <v>0</v>
      </c>
      <c r="AB102">
        <f t="shared" si="21"/>
        <v>24</v>
      </c>
      <c r="AC102">
        <f t="shared" ref="AC102" si="48">SUM(AC$90:AC$98)*$AO94</f>
        <v>24</v>
      </c>
      <c r="AE102">
        <f t="shared" si="23"/>
        <v>24</v>
      </c>
      <c r="AF102">
        <f>COUNTIF(AF$90:AF$98,"&gt;=1")*$AJ94</f>
        <v>0</v>
      </c>
    </row>
    <row r="103" spans="1:56" ht="13.95" customHeight="1" x14ac:dyDescent="0.25">
      <c r="A103" s="355" t="s">
        <v>960</v>
      </c>
      <c r="B103" s="241" t="s">
        <v>13</v>
      </c>
      <c r="D103" s="15">
        <f>COUNTIF(D$90:D$98,"=6")*$AR92+COUNTIF(D$90:D$98,"=7")*($AR92+$AS92)+COUNTIF(D$90:D$98,"=8")*($AR92+$AS92+$AT92)</f>
        <v>0</v>
      </c>
      <c r="E103" s="15"/>
      <c r="F103">
        <f>SUM(F$90:F$98)*$AU92</f>
        <v>0</v>
      </c>
      <c r="G103" s="15"/>
      <c r="H103" s="15">
        <f>COUNTIF(H$90:H$98,"=2")*$AV92+COUNTIF(H$90:H$98,"=3")*($AV92+$AW92)+COUNTIF(H$90:H$98,"=4")*($AV92+$AW92+$AX92)</f>
        <v>0</v>
      </c>
      <c r="J103" s="15">
        <f t="shared" ref="J103:AB105" si="49">COUNTIF(J$90:J$98,"=6")*$AR92+COUNTIF(J$90:J$98,"=7")*($AR92+$AS92)+COUNTIF(J$90:J$98,"=8")*($AR92+$AS92+$AT92)</f>
        <v>0</v>
      </c>
      <c r="K103" s="15"/>
      <c r="L103">
        <f t="shared" ref="L103:AD105" si="50">SUM(L$90:L$98)*$AU92</f>
        <v>0</v>
      </c>
      <c r="M103" s="15"/>
      <c r="N103" s="15">
        <f t="shared" ref="N103:AF105" si="51">COUNTIF(N$90:N$98,"=2")*$AV92+COUNTIF(N$90:N$98,"=3")*($AV92+$AW92)+COUNTIF(N$90:N$98,"=4")*($AV92+$AW92+$AX92)</f>
        <v>0</v>
      </c>
      <c r="P103" s="15">
        <f t="shared" ref="P103" si="52">COUNTIF(P$90:P$98,"=6")*$AR92+COUNTIF(P$90:P$98,"=7")*($AR92+$AS92)+COUNTIF(P$90:P$98,"=8")*($AR92+$AS92+$AT92)</f>
        <v>75</v>
      </c>
      <c r="Q103" s="15"/>
      <c r="R103">
        <f t="shared" ref="R103" si="53">SUM(R$90:R$98)*$AU92</f>
        <v>0</v>
      </c>
      <c r="S103" s="15"/>
      <c r="T103" s="15">
        <f t="shared" ref="T103" si="54">COUNTIF(T$90:T$98,"=2")*$AV92+COUNTIF(T$90:T$98,"=3")*($AV92+$AW92)+COUNTIF(T$90:T$98,"=4")*($AV92+$AW92+$AX92)</f>
        <v>0</v>
      </c>
      <c r="V103" s="15">
        <f t="shared" ref="V103" si="55">COUNTIF(V$90:V$98,"=6")*$AR92+COUNTIF(V$90:V$98,"=7")*($AR92+$AS92)+COUNTIF(V$90:V$98,"=8")*($AR92+$AS92+$AT92)</f>
        <v>0</v>
      </c>
      <c r="W103" s="15"/>
      <c r="X103">
        <f t="shared" ref="X103" si="56">SUM(X$90:X$98)*$AU92</f>
        <v>0</v>
      </c>
      <c r="Y103" s="15"/>
      <c r="Z103" s="15">
        <f t="shared" ref="Z103" si="57">COUNTIF(Z$90:Z$98,"=2")*$AV92+COUNTIF(Z$90:Z$98,"=3")*($AV92+$AW92)+COUNTIF(Z$90:Z$98,"=4")*($AV92+$AW92+$AX92)</f>
        <v>0</v>
      </c>
      <c r="AB103" s="15">
        <f t="shared" ref="AB103" si="58">COUNTIF(AB$90:AB$98,"=6")*$AR92+COUNTIF(AB$90:AB$98,"=7")*($AR92+$AS92)+COUNTIF(AB$90:AB$98,"=8")*($AR92+$AS92+$AT92)</f>
        <v>450</v>
      </c>
      <c r="AC103" s="15"/>
      <c r="AD103">
        <f t="shared" ref="AD103" si="59">SUM(AD$90:AD$98)*$AU92</f>
        <v>0</v>
      </c>
      <c r="AE103" s="15"/>
      <c r="AF103" s="15">
        <f>COUNTIF(AF$90:AF$98,"=2")*$AV92+COUNTIF(AF$90:AF$98,"=3")*($AV92+$AW92)+COUNTIF(AF$90:AF$98,"=4")*($AV92+$AW92+$AX92)</f>
        <v>0</v>
      </c>
    </row>
    <row r="104" spans="1:56" x14ac:dyDescent="0.25">
      <c r="A104" s="355"/>
      <c r="B104" s="241" t="s">
        <v>11</v>
      </c>
      <c r="D104" s="15">
        <f t="shared" ref="D104:D105" si="60">COUNTIF(D$90:D$98,"=6")*$AR93+COUNTIF(D$90:D$98,"=7")*($AR93+$AS93)+COUNTIF(D$90:D$98,"=8")*($AR93+$AS93+$AT93)</f>
        <v>0</v>
      </c>
      <c r="E104" s="125"/>
      <c r="F104">
        <f t="shared" ref="F104:F105" si="61">SUM(F$90:F$98)*$AU93</f>
        <v>0</v>
      </c>
      <c r="G104" s="125"/>
      <c r="H104" s="15">
        <f t="shared" ref="H104:H105" si="62">COUNTIF(H$90:H$98,"=2")*$AV93+COUNTIF(H$90:H$98,"=3")*($AV93+$AW93)+COUNTIF(H$90:H$98,"=4")*($AV93+$AW93+$AX93)</f>
        <v>0</v>
      </c>
      <c r="J104" s="15">
        <f t="shared" si="49"/>
        <v>0</v>
      </c>
      <c r="K104" s="125"/>
      <c r="L104">
        <f t="shared" si="50"/>
        <v>0</v>
      </c>
      <c r="M104" s="125"/>
      <c r="N104" s="15">
        <f t="shared" si="51"/>
        <v>0</v>
      </c>
      <c r="P104" s="15">
        <f t="shared" si="49"/>
        <v>20</v>
      </c>
      <c r="Q104" s="125"/>
      <c r="R104">
        <f t="shared" si="50"/>
        <v>0</v>
      </c>
      <c r="S104" s="125"/>
      <c r="T104" s="15">
        <f t="shared" si="51"/>
        <v>0</v>
      </c>
      <c r="V104" s="15">
        <f t="shared" si="49"/>
        <v>0</v>
      </c>
      <c r="W104" s="125"/>
      <c r="X104">
        <f t="shared" si="50"/>
        <v>0</v>
      </c>
      <c r="Y104" s="125"/>
      <c r="Z104" s="15">
        <f t="shared" si="51"/>
        <v>0</v>
      </c>
      <c r="AB104" s="15">
        <f t="shared" si="49"/>
        <v>120</v>
      </c>
      <c r="AC104" s="125"/>
      <c r="AD104">
        <f>SUM(AD$90:AD$98)*$AU93</f>
        <v>0</v>
      </c>
      <c r="AE104" s="125"/>
      <c r="AF104" s="15">
        <f t="shared" si="51"/>
        <v>0</v>
      </c>
    </row>
    <row r="105" spans="1:56" x14ac:dyDescent="0.25">
      <c r="A105" s="355"/>
      <c r="B105" s="241" t="s">
        <v>12</v>
      </c>
      <c r="D105" s="15">
        <f t="shared" si="60"/>
        <v>0</v>
      </c>
      <c r="E105" s="125"/>
      <c r="F105">
        <f t="shared" si="61"/>
        <v>0</v>
      </c>
      <c r="G105" s="125"/>
      <c r="H105" s="15">
        <f t="shared" si="62"/>
        <v>0</v>
      </c>
      <c r="J105" s="15">
        <f t="shared" si="49"/>
        <v>0</v>
      </c>
      <c r="K105" s="125"/>
      <c r="L105">
        <f t="shared" si="50"/>
        <v>0</v>
      </c>
      <c r="M105" s="125"/>
      <c r="N105" s="15">
        <f t="shared" si="51"/>
        <v>0</v>
      </c>
      <c r="P105" s="15">
        <f t="shared" si="49"/>
        <v>3</v>
      </c>
      <c r="Q105" s="125"/>
      <c r="R105">
        <f t="shared" si="50"/>
        <v>0</v>
      </c>
      <c r="S105" s="125"/>
      <c r="T105" s="15">
        <f t="shared" si="51"/>
        <v>0</v>
      </c>
      <c r="V105" s="15">
        <f t="shared" si="49"/>
        <v>0</v>
      </c>
      <c r="W105" s="125"/>
      <c r="X105">
        <f t="shared" si="50"/>
        <v>0</v>
      </c>
      <c r="Y105" s="125"/>
      <c r="Z105" s="15">
        <f t="shared" si="51"/>
        <v>0</v>
      </c>
      <c r="AB105" s="15">
        <f t="shared" si="49"/>
        <v>18</v>
      </c>
      <c r="AC105" s="125"/>
      <c r="AD105">
        <f t="shared" si="50"/>
        <v>0</v>
      </c>
      <c r="AE105" s="125"/>
      <c r="AF105" s="15">
        <f t="shared" si="51"/>
        <v>0</v>
      </c>
    </row>
    <row r="106" spans="1:56" x14ac:dyDescent="0.25">
      <c r="A106" s="24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</row>
    <row r="107" spans="1:56" s="123" customFormat="1" x14ac:dyDescent="0.25">
      <c r="A107" s="244"/>
      <c r="B107" s="200" t="s">
        <v>865</v>
      </c>
      <c r="C107" s="359" t="s">
        <v>629</v>
      </c>
      <c r="D107" s="360"/>
      <c r="E107" s="360"/>
      <c r="F107" s="360"/>
      <c r="G107" s="360"/>
      <c r="H107" s="361"/>
      <c r="I107" s="362" t="s">
        <v>632</v>
      </c>
      <c r="J107" s="363"/>
      <c r="K107" s="363"/>
      <c r="L107" s="363"/>
      <c r="M107" s="363"/>
      <c r="N107" s="364"/>
      <c r="O107" s="365" t="s">
        <v>634</v>
      </c>
      <c r="P107" s="366"/>
      <c r="Q107" s="366"/>
      <c r="R107" s="366"/>
      <c r="S107" s="366"/>
      <c r="T107" s="367"/>
      <c r="U107" s="371" t="s">
        <v>635</v>
      </c>
      <c r="V107" s="372"/>
      <c r="W107" s="372"/>
      <c r="X107" s="372"/>
      <c r="Y107" s="372"/>
      <c r="Z107" s="373"/>
      <c r="AA107" s="368" t="s">
        <v>636</v>
      </c>
      <c r="AB107" s="369"/>
      <c r="AC107" s="369"/>
      <c r="AD107" s="369"/>
      <c r="AE107" s="369"/>
      <c r="AF107" s="370"/>
    </row>
    <row r="108" spans="1:56" s="123" customFormat="1" ht="13.95" customHeight="1" x14ac:dyDescent="0.25">
      <c r="B108" s="128" t="s">
        <v>872</v>
      </c>
      <c r="C108" s="135" t="s">
        <v>5</v>
      </c>
      <c r="D108" s="136" t="s">
        <v>813</v>
      </c>
      <c r="E108" s="136" t="s">
        <v>815</v>
      </c>
      <c r="F108" s="137" t="s">
        <v>844</v>
      </c>
      <c r="G108" s="137" t="s">
        <v>846</v>
      </c>
      <c r="H108" s="138" t="s">
        <v>814</v>
      </c>
      <c r="I108" s="144" t="s">
        <v>5</v>
      </c>
      <c r="J108" s="145" t="s">
        <v>813</v>
      </c>
      <c r="K108" s="145" t="s">
        <v>815</v>
      </c>
      <c r="L108" s="146" t="s">
        <v>844</v>
      </c>
      <c r="M108" s="146" t="s">
        <v>846</v>
      </c>
      <c r="N108" s="147" t="s">
        <v>814</v>
      </c>
      <c r="O108" s="153" t="s">
        <v>5</v>
      </c>
      <c r="P108" s="154" t="s">
        <v>813</v>
      </c>
      <c r="Q108" s="154" t="s">
        <v>815</v>
      </c>
      <c r="R108" s="155" t="s">
        <v>844</v>
      </c>
      <c r="S108" s="155" t="s">
        <v>846</v>
      </c>
      <c r="T108" s="156" t="s">
        <v>814</v>
      </c>
      <c r="U108" s="162" t="s">
        <v>5</v>
      </c>
      <c r="V108" s="163" t="s">
        <v>813</v>
      </c>
      <c r="W108" s="163" t="s">
        <v>815</v>
      </c>
      <c r="X108" s="164" t="s">
        <v>844</v>
      </c>
      <c r="Y108" s="164" t="s">
        <v>846</v>
      </c>
      <c r="Z108" s="165" t="s">
        <v>814</v>
      </c>
      <c r="AA108" s="171" t="s">
        <v>5</v>
      </c>
      <c r="AB108" s="172" t="s">
        <v>813</v>
      </c>
      <c r="AC108" s="172" t="s">
        <v>815</v>
      </c>
      <c r="AD108" s="173" t="s">
        <v>844</v>
      </c>
      <c r="AE108" s="173" t="s">
        <v>846</v>
      </c>
      <c r="AF108" s="174" t="s">
        <v>814</v>
      </c>
      <c r="AQ108" t="s">
        <v>873</v>
      </c>
      <c r="AV108" t="s">
        <v>873</v>
      </c>
    </row>
    <row r="109" spans="1:56" x14ac:dyDescent="0.25">
      <c r="B109" s="14" t="s">
        <v>1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2">
        <v>0</v>
      </c>
      <c r="I109" s="183">
        <v>55</v>
      </c>
      <c r="J109" s="184">
        <v>5</v>
      </c>
      <c r="K109" s="184">
        <v>1</v>
      </c>
      <c r="L109" s="184">
        <v>0</v>
      </c>
      <c r="M109" s="184">
        <v>0</v>
      </c>
      <c r="N109" s="185">
        <v>1</v>
      </c>
      <c r="O109" s="186">
        <v>0</v>
      </c>
      <c r="P109" s="187">
        <v>0</v>
      </c>
      <c r="Q109" s="187">
        <v>0</v>
      </c>
      <c r="R109" s="187">
        <v>0</v>
      </c>
      <c r="S109" s="187">
        <v>0</v>
      </c>
      <c r="T109" s="188">
        <v>0</v>
      </c>
      <c r="U109" s="192">
        <v>0</v>
      </c>
      <c r="V109" s="193">
        <v>0</v>
      </c>
      <c r="W109" s="193">
        <v>0</v>
      </c>
      <c r="X109" s="193">
        <v>0</v>
      </c>
      <c r="Y109" s="193">
        <v>0</v>
      </c>
      <c r="Z109" s="196">
        <v>0</v>
      </c>
      <c r="AA109" s="194">
        <v>0</v>
      </c>
      <c r="AB109" s="195">
        <v>0</v>
      </c>
      <c r="AC109" s="195">
        <v>0</v>
      </c>
      <c r="AD109" s="195">
        <v>0</v>
      </c>
      <c r="AE109" s="195">
        <v>0</v>
      </c>
      <c r="AF109" s="197">
        <v>0</v>
      </c>
      <c r="AI109" s="123"/>
      <c r="AJ109" s="123"/>
      <c r="AK109" s="124" t="s">
        <v>645</v>
      </c>
      <c r="AL109" s="123"/>
      <c r="AM109" s="123"/>
      <c r="AN109" s="123"/>
      <c r="AO109" s="124"/>
      <c r="AP109" s="123"/>
      <c r="AQ109" s="123"/>
      <c r="AR109" s="123"/>
      <c r="AS109" s="123"/>
      <c r="AT109" s="123"/>
      <c r="AV109" s="124" t="s">
        <v>814</v>
      </c>
      <c r="AW109" s="123"/>
      <c r="AX109" s="123"/>
      <c r="AZ109" s="4" t="s">
        <v>129</v>
      </c>
    </row>
    <row r="110" spans="1:56" x14ac:dyDescent="0.25">
      <c r="B110" s="14" t="s">
        <v>806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2">
        <v>0</v>
      </c>
      <c r="I110" s="183">
        <v>0</v>
      </c>
      <c r="J110" s="184">
        <v>0</v>
      </c>
      <c r="K110" s="184">
        <v>0</v>
      </c>
      <c r="L110" s="184">
        <v>0</v>
      </c>
      <c r="M110" s="184">
        <v>0</v>
      </c>
      <c r="N110" s="185">
        <v>0</v>
      </c>
      <c r="O110" s="186">
        <v>0</v>
      </c>
      <c r="P110" s="187">
        <v>0</v>
      </c>
      <c r="Q110" s="187">
        <v>0</v>
      </c>
      <c r="R110" s="187">
        <v>0</v>
      </c>
      <c r="S110" s="187">
        <v>0</v>
      </c>
      <c r="T110" s="188">
        <v>0</v>
      </c>
      <c r="U110" s="192">
        <v>55</v>
      </c>
      <c r="V110" s="193">
        <v>5</v>
      </c>
      <c r="W110" s="193">
        <v>1</v>
      </c>
      <c r="X110" s="193">
        <v>0</v>
      </c>
      <c r="Y110" s="193">
        <v>0</v>
      </c>
      <c r="Z110" s="196">
        <v>1</v>
      </c>
      <c r="AA110" s="194">
        <v>0</v>
      </c>
      <c r="AB110" s="195">
        <v>0</v>
      </c>
      <c r="AC110" s="195">
        <v>0</v>
      </c>
      <c r="AD110" s="195">
        <v>0</v>
      </c>
      <c r="AE110" s="195">
        <v>0</v>
      </c>
      <c r="AF110" s="197">
        <v>0</v>
      </c>
      <c r="AJ110" s="124" t="s">
        <v>840</v>
      </c>
      <c r="AK110" s="123">
        <v>1</v>
      </c>
      <c r="AL110" s="123">
        <v>2</v>
      </c>
      <c r="AM110" s="123">
        <v>3</v>
      </c>
      <c r="AN110" s="123">
        <v>4</v>
      </c>
      <c r="AO110" s="124" t="s">
        <v>815</v>
      </c>
      <c r="AP110" s="123">
        <v>5</v>
      </c>
      <c r="AQ110" s="124" t="s">
        <v>126</v>
      </c>
      <c r="AR110" s="123">
        <v>6</v>
      </c>
      <c r="AS110" s="123">
        <v>7</v>
      </c>
      <c r="AT110" s="123">
        <v>8</v>
      </c>
      <c r="AU110" s="124" t="s">
        <v>848</v>
      </c>
      <c r="AV110" s="123">
        <v>1</v>
      </c>
      <c r="AW110" s="123">
        <v>2</v>
      </c>
      <c r="AX110" s="123">
        <v>3</v>
      </c>
      <c r="AZ110" s="4" t="s">
        <v>880</v>
      </c>
      <c r="BA110" s="4" t="s">
        <v>882</v>
      </c>
    </row>
    <row r="111" spans="1:56" x14ac:dyDescent="0.25">
      <c r="B111" s="14" t="s">
        <v>807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2">
        <v>0</v>
      </c>
      <c r="I111" s="183">
        <v>55</v>
      </c>
      <c r="J111" s="184">
        <v>5</v>
      </c>
      <c r="K111" s="184">
        <v>1</v>
      </c>
      <c r="L111" s="184">
        <v>0</v>
      </c>
      <c r="M111" s="184">
        <v>0</v>
      </c>
      <c r="N111" s="185">
        <v>1</v>
      </c>
      <c r="O111" s="186">
        <v>0</v>
      </c>
      <c r="P111" s="187">
        <v>0</v>
      </c>
      <c r="Q111" s="187">
        <v>0</v>
      </c>
      <c r="R111" s="187">
        <v>0</v>
      </c>
      <c r="S111" s="187">
        <v>0</v>
      </c>
      <c r="T111" s="188">
        <v>0</v>
      </c>
      <c r="U111" s="192">
        <v>70</v>
      </c>
      <c r="V111" s="193">
        <v>8</v>
      </c>
      <c r="W111" s="193">
        <v>1</v>
      </c>
      <c r="X111" s="193">
        <v>0</v>
      </c>
      <c r="Y111" s="193">
        <v>0</v>
      </c>
      <c r="Z111" s="196">
        <v>1</v>
      </c>
      <c r="AA111" s="194">
        <v>0</v>
      </c>
      <c r="AB111" s="195">
        <v>0</v>
      </c>
      <c r="AC111" s="195">
        <v>0</v>
      </c>
      <c r="AD111" s="195">
        <v>0</v>
      </c>
      <c r="AE111" s="195">
        <v>0</v>
      </c>
      <c r="AF111" s="197">
        <v>0</v>
      </c>
      <c r="AI111" s="4" t="s">
        <v>118</v>
      </c>
      <c r="AJ111">
        <v>25</v>
      </c>
      <c r="AK111">
        <v>25</v>
      </c>
      <c r="AL111">
        <v>25</v>
      </c>
      <c r="AM111">
        <v>25</v>
      </c>
      <c r="AN111">
        <v>25</v>
      </c>
      <c r="AO111">
        <v>50</v>
      </c>
      <c r="AP111">
        <v>175</v>
      </c>
      <c r="AQ111">
        <v>150</v>
      </c>
      <c r="AR111">
        <v>175</v>
      </c>
      <c r="AS111">
        <v>175</v>
      </c>
      <c r="AT111">
        <v>175</v>
      </c>
      <c r="AU111">
        <v>50</v>
      </c>
      <c r="AV111">
        <v>875</v>
      </c>
      <c r="AW111">
        <v>875</v>
      </c>
      <c r="AX111">
        <v>875</v>
      </c>
      <c r="AZ111">
        <f>SUM(AJ111:AQ111)</f>
        <v>500</v>
      </c>
      <c r="BA111">
        <f>SUM(AR111:AX111)</f>
        <v>3200</v>
      </c>
      <c r="BC111">
        <f>(AZ111*9-BC113*9.5-BC112*8)/6</f>
        <v>-316.5</v>
      </c>
      <c r="BD111">
        <f>(BA111*9-BD113*9.5-BD112*8)/6</f>
        <v>-2259</v>
      </c>
    </row>
    <row r="112" spans="1:56" x14ac:dyDescent="0.25">
      <c r="B112" s="200" t="s">
        <v>808</v>
      </c>
      <c r="C112" s="201">
        <v>0</v>
      </c>
      <c r="D112" s="202">
        <v>0</v>
      </c>
      <c r="E112" s="202">
        <v>0</v>
      </c>
      <c r="F112" s="202">
        <v>0</v>
      </c>
      <c r="G112" s="202">
        <v>0</v>
      </c>
      <c r="H112" s="203">
        <v>0</v>
      </c>
      <c r="I112" s="204">
        <v>0</v>
      </c>
      <c r="J112" s="205">
        <v>0</v>
      </c>
      <c r="K112" s="205">
        <v>0</v>
      </c>
      <c r="L112" s="205">
        <v>0</v>
      </c>
      <c r="M112" s="205">
        <v>0</v>
      </c>
      <c r="N112" s="206">
        <v>0</v>
      </c>
      <c r="O112" s="207">
        <v>0</v>
      </c>
      <c r="P112" s="208">
        <v>0</v>
      </c>
      <c r="Q112" s="208">
        <v>0</v>
      </c>
      <c r="R112" s="208">
        <v>0</v>
      </c>
      <c r="S112" s="208">
        <v>0</v>
      </c>
      <c r="T112" s="209">
        <v>0</v>
      </c>
      <c r="U112" s="210">
        <v>0</v>
      </c>
      <c r="V112" s="211">
        <v>0</v>
      </c>
      <c r="W112" s="211">
        <v>0</v>
      </c>
      <c r="X112" s="211">
        <v>0</v>
      </c>
      <c r="Y112" s="211">
        <v>0</v>
      </c>
      <c r="Z112" s="212">
        <v>0</v>
      </c>
      <c r="AA112" s="213">
        <v>0</v>
      </c>
      <c r="AB112" s="214">
        <v>0</v>
      </c>
      <c r="AC112" s="214">
        <v>0</v>
      </c>
      <c r="AD112" s="214">
        <v>0</v>
      </c>
      <c r="AE112" s="214">
        <v>0</v>
      </c>
      <c r="AF112" s="215">
        <v>0</v>
      </c>
      <c r="AI112" s="4" t="s">
        <v>116</v>
      </c>
      <c r="AJ112">
        <v>18</v>
      </c>
      <c r="AK112">
        <v>18</v>
      </c>
      <c r="AL112">
        <v>18</v>
      </c>
      <c r="AM112">
        <v>18</v>
      </c>
      <c r="AN112">
        <v>18</v>
      </c>
      <c r="AO112">
        <v>40</v>
      </c>
      <c r="AP112">
        <v>130</v>
      </c>
      <c r="AQ112">
        <v>100</v>
      </c>
      <c r="AR112">
        <v>130</v>
      </c>
      <c r="AS112">
        <v>130</v>
      </c>
      <c r="AT112">
        <v>130</v>
      </c>
      <c r="AU112">
        <v>40</v>
      </c>
      <c r="AV112">
        <v>650</v>
      </c>
      <c r="AW112">
        <v>650</v>
      </c>
      <c r="AX112">
        <v>650</v>
      </c>
      <c r="AZ112">
        <f t="shared" ref="AZ112:AZ113" si="63">SUM(AJ112:AQ112)</f>
        <v>360</v>
      </c>
      <c r="BA112">
        <f>SUM(AR112:AX112)</f>
        <v>2380</v>
      </c>
      <c r="BC112">
        <f>(9*AZ112-BC113*5)/4</f>
        <v>607.5</v>
      </c>
      <c r="BD112">
        <f>(9*BA112-BD113*5)/4</f>
        <v>4140</v>
      </c>
    </row>
    <row r="113" spans="1:56" x14ac:dyDescent="0.25">
      <c r="B113" s="14" t="s">
        <v>809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2">
        <v>0</v>
      </c>
      <c r="I113" s="183">
        <v>55</v>
      </c>
      <c r="J113" s="184">
        <v>5</v>
      </c>
      <c r="K113" s="184">
        <v>1</v>
      </c>
      <c r="L113" s="184">
        <v>0</v>
      </c>
      <c r="M113" s="184">
        <v>0</v>
      </c>
      <c r="N113" s="185">
        <v>1</v>
      </c>
      <c r="O113" s="186">
        <v>0</v>
      </c>
      <c r="P113" s="187">
        <v>0</v>
      </c>
      <c r="Q113" s="187">
        <v>0</v>
      </c>
      <c r="R113" s="187">
        <v>0</v>
      </c>
      <c r="S113" s="187">
        <v>0</v>
      </c>
      <c r="T113" s="188">
        <v>0</v>
      </c>
      <c r="U113" s="192">
        <v>55</v>
      </c>
      <c r="V113" s="193">
        <v>5</v>
      </c>
      <c r="W113" s="193">
        <v>1</v>
      </c>
      <c r="X113" s="193">
        <v>0</v>
      </c>
      <c r="Y113" s="193">
        <v>0</v>
      </c>
      <c r="Z113" s="196">
        <v>1</v>
      </c>
      <c r="AA113" s="194">
        <v>0</v>
      </c>
      <c r="AB113" s="195">
        <v>0</v>
      </c>
      <c r="AC113" s="195">
        <v>0</v>
      </c>
      <c r="AD113" s="195">
        <v>0</v>
      </c>
      <c r="AE113" s="195">
        <v>0</v>
      </c>
      <c r="AF113" s="197">
        <v>0</v>
      </c>
      <c r="AI113" s="4" t="s">
        <v>117</v>
      </c>
      <c r="AO113">
        <v>30</v>
      </c>
      <c r="AP113" s="123">
        <v>30</v>
      </c>
      <c r="AQ113">
        <v>30</v>
      </c>
      <c r="AR113" s="123">
        <v>30</v>
      </c>
      <c r="AS113" s="123">
        <v>30</v>
      </c>
      <c r="AT113" s="123">
        <v>30</v>
      </c>
      <c r="AV113">
        <v>150</v>
      </c>
      <c r="AW113">
        <v>150</v>
      </c>
      <c r="AX113">
        <v>150</v>
      </c>
      <c r="AZ113">
        <f t="shared" si="63"/>
        <v>90</v>
      </c>
      <c r="BA113">
        <f t="shared" ref="BA113" si="64">SUM(AR113:AX113)</f>
        <v>540</v>
      </c>
      <c r="BC113">
        <f>9*AZ113/5</f>
        <v>162</v>
      </c>
      <c r="BD113">
        <f>9*BA113/5</f>
        <v>972</v>
      </c>
    </row>
    <row r="114" spans="1:56" x14ac:dyDescent="0.25">
      <c r="B114" s="133" t="s">
        <v>810</v>
      </c>
      <c r="C114" s="135">
        <v>0</v>
      </c>
      <c r="D114" s="137">
        <v>0</v>
      </c>
      <c r="E114" s="137">
        <v>0</v>
      </c>
      <c r="F114" s="137">
        <v>0</v>
      </c>
      <c r="G114" s="137">
        <v>0</v>
      </c>
      <c r="H114" s="189">
        <v>0</v>
      </c>
      <c r="I114" s="144">
        <v>55</v>
      </c>
      <c r="J114" s="146">
        <v>5</v>
      </c>
      <c r="K114" s="146">
        <v>1</v>
      </c>
      <c r="L114" s="146">
        <v>0</v>
      </c>
      <c r="M114" s="146">
        <v>0</v>
      </c>
      <c r="N114" s="190">
        <v>1</v>
      </c>
      <c r="O114" s="153">
        <v>0</v>
      </c>
      <c r="P114" s="155">
        <v>0</v>
      </c>
      <c r="Q114" s="155">
        <v>0</v>
      </c>
      <c r="R114" s="155">
        <v>0</v>
      </c>
      <c r="S114" s="155">
        <v>0</v>
      </c>
      <c r="T114" s="191">
        <v>0</v>
      </c>
      <c r="U114" s="162">
        <v>0</v>
      </c>
      <c r="V114" s="164">
        <v>0</v>
      </c>
      <c r="W114" s="164">
        <v>0</v>
      </c>
      <c r="X114" s="164">
        <v>0</v>
      </c>
      <c r="Y114" s="164">
        <v>0</v>
      </c>
      <c r="Z114" s="198">
        <v>0</v>
      </c>
      <c r="AA114" s="171">
        <v>0</v>
      </c>
      <c r="AB114" s="173">
        <v>0</v>
      </c>
      <c r="AC114" s="173">
        <v>0</v>
      </c>
      <c r="AD114" s="173">
        <v>0</v>
      </c>
      <c r="AE114" s="173">
        <v>0</v>
      </c>
      <c r="AF114" s="199">
        <v>0</v>
      </c>
      <c r="AI114" s="4" t="s">
        <v>849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10</v>
      </c>
      <c r="AP114" s="123">
        <v>35</v>
      </c>
      <c r="AQ114">
        <v>10</v>
      </c>
      <c r="AR114" s="123">
        <v>35</v>
      </c>
      <c r="AS114" s="123">
        <v>35</v>
      </c>
      <c r="AT114" s="123">
        <v>35</v>
      </c>
      <c r="AU114">
        <v>10</v>
      </c>
      <c r="AV114">
        <v>175</v>
      </c>
      <c r="AW114">
        <v>175</v>
      </c>
      <c r="AX114">
        <v>175</v>
      </c>
      <c r="AZ114">
        <f t="shared" ref="AZ114:AZ115" si="65">SUM(AJ114:AQ114)</f>
        <v>80</v>
      </c>
      <c r="BA114">
        <f t="shared" ref="BA114:BA115" si="66">SUM(AR114:AX114)</f>
        <v>640</v>
      </c>
    </row>
    <row r="115" spans="1:56" x14ac:dyDescent="0.25">
      <c r="B115" s="14" t="s">
        <v>811</v>
      </c>
      <c r="C115" s="180">
        <v>30</v>
      </c>
      <c r="D115" s="181">
        <v>0</v>
      </c>
      <c r="E115" s="181">
        <v>0</v>
      </c>
      <c r="F115" s="181">
        <v>0</v>
      </c>
      <c r="G115" s="181">
        <v>0</v>
      </c>
      <c r="H115" s="182">
        <v>1</v>
      </c>
      <c r="I115" s="183">
        <v>0</v>
      </c>
      <c r="J115" s="184">
        <v>0</v>
      </c>
      <c r="K115" s="184">
        <v>0</v>
      </c>
      <c r="L115" s="184">
        <v>0</v>
      </c>
      <c r="M115" s="184">
        <v>0</v>
      </c>
      <c r="N115" s="185">
        <v>0</v>
      </c>
      <c r="O115" s="186">
        <v>70</v>
      </c>
      <c r="P115" s="187">
        <v>8</v>
      </c>
      <c r="Q115" s="187">
        <v>1</v>
      </c>
      <c r="R115" s="187">
        <v>0</v>
      </c>
      <c r="S115" s="187">
        <v>0</v>
      </c>
      <c r="T115" s="188">
        <v>1</v>
      </c>
      <c r="U115" s="192">
        <v>55</v>
      </c>
      <c r="V115" s="193">
        <v>5</v>
      </c>
      <c r="W115" s="193">
        <v>1</v>
      </c>
      <c r="X115" s="193">
        <v>0</v>
      </c>
      <c r="Y115" s="193">
        <v>0</v>
      </c>
      <c r="Z115" s="196">
        <v>1</v>
      </c>
      <c r="AA115" s="194">
        <v>70</v>
      </c>
      <c r="AB115" s="195">
        <v>8</v>
      </c>
      <c r="AC115" s="195">
        <v>1</v>
      </c>
      <c r="AD115" s="195">
        <v>0</v>
      </c>
      <c r="AE115" s="195">
        <v>0</v>
      </c>
      <c r="AF115" s="197">
        <v>1</v>
      </c>
      <c r="AI115" s="4" t="s">
        <v>850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3</v>
      </c>
      <c r="AP115" s="123">
        <v>8</v>
      </c>
      <c r="AQ115">
        <v>30</v>
      </c>
      <c r="AR115" s="123">
        <v>8</v>
      </c>
      <c r="AS115" s="123">
        <v>8</v>
      </c>
      <c r="AT115" s="123">
        <v>8</v>
      </c>
      <c r="AU115">
        <v>3</v>
      </c>
      <c r="AV115">
        <v>40</v>
      </c>
      <c r="AW115">
        <v>40</v>
      </c>
      <c r="AX115">
        <v>40</v>
      </c>
      <c r="AZ115">
        <f t="shared" si="65"/>
        <v>46</v>
      </c>
      <c r="BA115">
        <f t="shared" si="66"/>
        <v>147</v>
      </c>
    </row>
    <row r="116" spans="1:56" x14ac:dyDescent="0.25">
      <c r="B116" s="14" t="s">
        <v>812</v>
      </c>
      <c r="C116" s="180">
        <v>70</v>
      </c>
      <c r="D116" s="181">
        <v>8</v>
      </c>
      <c r="E116" s="181">
        <v>1</v>
      </c>
      <c r="F116" s="181">
        <v>0</v>
      </c>
      <c r="G116" s="181">
        <v>1</v>
      </c>
      <c r="H116" s="182">
        <v>1</v>
      </c>
      <c r="I116" s="183">
        <v>70</v>
      </c>
      <c r="J116" s="184">
        <v>8</v>
      </c>
      <c r="K116" s="184">
        <v>1</v>
      </c>
      <c r="L116" s="184">
        <v>0</v>
      </c>
      <c r="M116" s="184">
        <v>1</v>
      </c>
      <c r="N116" s="185">
        <v>1</v>
      </c>
      <c r="O116" s="186">
        <v>70</v>
      </c>
      <c r="P116" s="187">
        <v>8</v>
      </c>
      <c r="Q116" s="187">
        <v>1</v>
      </c>
      <c r="R116" s="187">
        <v>0</v>
      </c>
      <c r="S116" s="187">
        <v>1</v>
      </c>
      <c r="T116" s="188">
        <v>1</v>
      </c>
      <c r="U116" s="192">
        <v>55</v>
      </c>
      <c r="V116" s="193">
        <v>5</v>
      </c>
      <c r="W116" s="193">
        <v>1</v>
      </c>
      <c r="X116" s="193">
        <v>0</v>
      </c>
      <c r="Y116" s="193">
        <v>1</v>
      </c>
      <c r="Z116" s="196">
        <v>1</v>
      </c>
      <c r="AA116" s="194">
        <v>55</v>
      </c>
      <c r="AB116" s="195">
        <v>5</v>
      </c>
      <c r="AC116" s="195">
        <v>1</v>
      </c>
      <c r="AD116" s="195">
        <v>0</v>
      </c>
      <c r="AE116" s="195">
        <v>1</v>
      </c>
      <c r="AF116" s="197">
        <v>1</v>
      </c>
    </row>
    <row r="117" spans="1:56" x14ac:dyDescent="0.25">
      <c r="B117" s="133" t="s">
        <v>820</v>
      </c>
      <c r="C117" s="135">
        <v>0</v>
      </c>
      <c r="D117" s="137">
        <v>0</v>
      </c>
      <c r="E117" s="137">
        <v>0</v>
      </c>
      <c r="F117" s="137">
        <v>0</v>
      </c>
      <c r="G117" s="137">
        <v>0</v>
      </c>
      <c r="H117" s="189">
        <v>0</v>
      </c>
      <c r="I117" s="144">
        <v>0</v>
      </c>
      <c r="J117" s="146">
        <v>0</v>
      </c>
      <c r="K117" s="146">
        <v>0</v>
      </c>
      <c r="L117" s="146">
        <v>0</v>
      </c>
      <c r="M117" s="146">
        <v>0</v>
      </c>
      <c r="N117" s="190">
        <v>0</v>
      </c>
      <c r="O117" s="153">
        <v>0</v>
      </c>
      <c r="P117" s="155">
        <v>0</v>
      </c>
      <c r="Q117" s="155">
        <v>0</v>
      </c>
      <c r="R117" s="155">
        <v>0</v>
      </c>
      <c r="S117" s="155">
        <v>0</v>
      </c>
      <c r="T117" s="191">
        <v>0</v>
      </c>
      <c r="U117" s="162">
        <v>0</v>
      </c>
      <c r="V117" s="164">
        <v>0</v>
      </c>
      <c r="W117" s="164">
        <v>0</v>
      </c>
      <c r="X117" s="164">
        <v>0</v>
      </c>
      <c r="Y117" s="164">
        <v>0</v>
      </c>
      <c r="Z117" s="198">
        <v>0</v>
      </c>
      <c r="AA117" s="171"/>
      <c r="AB117" s="173"/>
      <c r="AC117" s="173"/>
      <c r="AD117" s="173"/>
      <c r="AE117" s="173"/>
      <c r="AF117" s="199"/>
    </row>
    <row r="118" spans="1:56" x14ac:dyDescent="0.25">
      <c r="B118" s="242" t="s">
        <v>949</v>
      </c>
      <c r="D118" t="s">
        <v>963</v>
      </c>
      <c r="E118" t="s">
        <v>958</v>
      </c>
      <c r="F118" t="s">
        <v>961</v>
      </c>
      <c r="G118" t="s">
        <v>958</v>
      </c>
      <c r="H118" t="s">
        <v>962</v>
      </c>
    </row>
    <row r="119" spans="1:56" x14ac:dyDescent="0.25">
      <c r="A119" s="355" t="s">
        <v>959</v>
      </c>
      <c r="B119" s="241" t="s">
        <v>118</v>
      </c>
      <c r="D119">
        <f>COUNTIF(D$109:D$117,"=1")*$AK111+COUNTIF(D$109:D$117,"=2")*($AK111+$AL111)+COUNTIF(D$109:D$117,"=3")*($AK111+$AL111+$AM111)+COUNTIF(D$109:D$117,"=4")*($AK111+$AL111+$AM111+$AN111)+COUNTIF(D$109:D$117,"&gt;=5")*($AK111+$AL111+$AM111+$AN111+$AP111)</f>
        <v>275</v>
      </c>
      <c r="E119">
        <f>SUM(E$109:E$117)*$AO111</f>
        <v>50</v>
      </c>
      <c r="G119">
        <f>SUM(G$109:G$117)*$AQ111</f>
        <v>150</v>
      </c>
      <c r="H119">
        <f>COUNTIF(H$109:H$117,"&gt;=1")*$AJ111</f>
        <v>50</v>
      </c>
      <c r="J119">
        <f>COUNTIF(J$109:J$117,"=1")*$AK111+COUNTIF(J$109:J$117,"=2")*($AK111+$AL111)+COUNTIF(J$109:J$117,"=3")*($AK111+$AL111+$AM111)+COUNTIF(J$109:J$117,"=4")*($AK111+$AL111+$AM111+$AN111)+COUNTIF(J$109:J$117,"&gt;=5")*($AK111+$AL111+$AM111+$AN111+$AP111)</f>
        <v>1375</v>
      </c>
      <c r="K119">
        <f t="shared" ref="K119" si="67">SUM(K$109:K$117)*$AO111</f>
        <v>250</v>
      </c>
      <c r="M119">
        <f t="shared" ref="M119" si="68">SUM(M$109:M$117)*$AQ111</f>
        <v>150</v>
      </c>
      <c r="N119">
        <f t="shared" ref="N119:AF123" si="69">COUNTIF(N$109:N$117,"&gt;=1")*$AJ111</f>
        <v>125</v>
      </c>
      <c r="P119">
        <f t="shared" ref="P119" si="70">COUNTIF(P$109:P$117,"=1")*$AK111+COUNTIF(P$109:P$117,"=2")*($AK111+$AL111)+COUNTIF(P$109:P$117,"=3")*($AK111+$AL111+$AM111)+COUNTIF(P$109:P$117,"=4")*($AK111+$AL111+$AM111+$AN111)+COUNTIF(P$109:P$117,"&gt;=5")*($AK111+$AL111+$AM111+$AN111+$AP111)</f>
        <v>550</v>
      </c>
      <c r="Q119">
        <f t="shared" ref="Q119" si="71">SUM(Q$109:Q$117)*$AO111</f>
        <v>100</v>
      </c>
      <c r="S119">
        <f t="shared" ref="S119" si="72">SUM(S$109:S$117)*$AQ111</f>
        <v>150</v>
      </c>
      <c r="T119">
        <f t="shared" ref="T119" si="73">COUNTIF(T$109:T$117,"&gt;=1")*$AJ111</f>
        <v>50</v>
      </c>
      <c r="V119">
        <f t="shared" ref="V119" si="74">COUNTIF(V$109:V$117,"=1")*$AK111+COUNTIF(V$109:V$117,"=2")*($AK111+$AL111)+COUNTIF(V$109:V$117,"=3")*($AK111+$AL111+$AM111)+COUNTIF(V$109:V$117,"=4")*($AK111+$AL111+$AM111+$AN111)+COUNTIF(V$109:V$117,"&gt;=5")*($AK111+$AL111+$AM111+$AN111+$AP111)</f>
        <v>1375</v>
      </c>
      <c r="W119">
        <f t="shared" ref="W119" si="75">SUM(W$109:W$117)*$AO111</f>
        <v>250</v>
      </c>
      <c r="Y119">
        <f t="shared" ref="Y119" si="76">SUM(Y$109:Y$117)*$AQ111</f>
        <v>150</v>
      </c>
      <c r="Z119">
        <f t="shared" ref="Z119" si="77">COUNTIF(Z$109:Z$117,"&gt;=1")*$AJ111</f>
        <v>125</v>
      </c>
      <c r="AB119">
        <f>COUNTIF(AB$109:AB$117,"=1")*$AK111+COUNTIF(AB$109:AB$117,"=2")*($AK111+$AL111)+COUNTIF(AB$109:AB$117,"=3")*($AK111+$AL111+$AM111)+COUNTIF(AB$109:AB$117,"=4")*($AK111+$AL111+$AM111+$AN111)+COUNTIF(AB$109:AB$117,"&gt;=5")*($AK111+$AL111+$AM111+$AN111+$AP111)</f>
        <v>550</v>
      </c>
      <c r="AC119">
        <f t="shared" ref="AC119" si="78">SUM(AC$109:AC$117)*$AO111</f>
        <v>100</v>
      </c>
      <c r="AE119">
        <f t="shared" ref="AE119" si="79">SUM(AE$109:AE$117)*$AQ111</f>
        <v>150</v>
      </c>
      <c r="AF119">
        <f t="shared" ref="AF119" si="80">COUNTIF(AF$109:AF$117,"&gt;=1")*$AJ111</f>
        <v>50</v>
      </c>
    </row>
    <row r="120" spans="1:56" x14ac:dyDescent="0.25">
      <c r="A120" s="355"/>
      <c r="B120" s="241" t="s">
        <v>116</v>
      </c>
      <c r="D120">
        <f>COUNTIF(D$109:D$117,"=1")*$AK112+COUNTIF(D$109:D$117,"=2")*($AK112+$AL112)+COUNTIF(D$109:D$117,"=3")*($AK112+$AL112+$AM112)+COUNTIF(D$109:D$117,"=4")*($AK112+$AL112+$AM112+$AN112)+COUNTIF(D$109:D$117,"&gt;=5")*($AK112+$AL112+$AM112+$AN112+$AP112)</f>
        <v>202</v>
      </c>
      <c r="E120">
        <f t="shared" ref="E120:E123" si="81">SUM(E$109:E$117)*$AO112</f>
        <v>40</v>
      </c>
      <c r="G120">
        <f t="shared" ref="G120:G123" si="82">SUM(G$109:G$117)*$AQ112</f>
        <v>100</v>
      </c>
      <c r="H120">
        <f t="shared" ref="H120:H123" si="83">COUNTIF(H$109:H$117,"&gt;=1")*$AJ112</f>
        <v>36</v>
      </c>
      <c r="J120">
        <f t="shared" ref="J120:AB123" si="84">COUNTIF(J$109:J$117,"=1")*$AK112+COUNTIF(J$109:J$117,"=2")*($AK112+$AL112)+COUNTIF(J$109:J$117,"=3")*($AK112+$AL112+$AM112)+COUNTIF(J$109:J$117,"=4")*($AK112+$AL112+$AM112+$AN112)+COUNTIF(J$109:J$117,"&gt;=5")*($AK112+$AL112+$AM112+$AN112+$AP112)</f>
        <v>1010</v>
      </c>
      <c r="K120">
        <f t="shared" ref="K120" si="85">SUM(K$109:K$117)*$AO112</f>
        <v>200</v>
      </c>
      <c r="M120">
        <f t="shared" ref="M120" si="86">SUM(M$109:M$117)*$AQ112</f>
        <v>100</v>
      </c>
      <c r="N120">
        <f t="shared" si="69"/>
        <v>90</v>
      </c>
      <c r="P120">
        <f t="shared" ref="P120" si="87">COUNTIF(P$109:P$117,"=1")*$AK112+COUNTIF(P$109:P$117,"=2")*($AK112+$AL112)+COUNTIF(P$109:P$117,"=3")*($AK112+$AL112+$AM112)+COUNTIF(P$109:P$117,"=4")*($AK112+$AL112+$AM112+$AN112)+COUNTIF(P$109:P$117,"&gt;=5")*($AK112+$AL112+$AM112+$AN112+$AP112)</f>
        <v>404</v>
      </c>
      <c r="Q120">
        <f t="shared" ref="Q120" si="88">SUM(Q$109:Q$117)*$AO112</f>
        <v>80</v>
      </c>
      <c r="S120">
        <f t="shared" ref="S120" si="89">SUM(S$109:S$117)*$AQ112</f>
        <v>100</v>
      </c>
      <c r="T120">
        <f t="shared" si="69"/>
        <v>36</v>
      </c>
      <c r="V120">
        <f t="shared" ref="V120" si="90">COUNTIF(V$109:V$117,"=1")*$AK112+COUNTIF(V$109:V$117,"=2")*($AK112+$AL112)+COUNTIF(V$109:V$117,"=3")*($AK112+$AL112+$AM112)+COUNTIF(V$109:V$117,"=4")*($AK112+$AL112+$AM112+$AN112)+COUNTIF(V$109:V$117,"&gt;=5")*($AK112+$AL112+$AM112+$AN112+$AP112)</f>
        <v>1010</v>
      </c>
      <c r="W120">
        <f t="shared" ref="W120" si="91">SUM(W$109:W$117)*$AO112</f>
        <v>200</v>
      </c>
      <c r="Y120">
        <f t="shared" ref="Y120" si="92">SUM(Y$109:Y$117)*$AQ112</f>
        <v>100</v>
      </c>
      <c r="Z120">
        <f t="shared" si="69"/>
        <v>90</v>
      </c>
      <c r="AB120">
        <f t="shared" ref="AB120" si="93">COUNTIF(AB$109:AB$117,"=1")*$AK112+COUNTIF(AB$109:AB$117,"=2")*($AK112+$AL112)+COUNTIF(AB$109:AB$117,"=3")*($AK112+$AL112+$AM112)+COUNTIF(AB$109:AB$117,"=4")*($AK112+$AL112+$AM112+$AN112)+COUNTIF(AB$109:AB$117,"&gt;=5")*($AK112+$AL112+$AM112+$AN112+$AP112)</f>
        <v>404</v>
      </c>
      <c r="AC120">
        <f t="shared" ref="AC120" si="94">SUM(AC$109:AC$117)*$AO112</f>
        <v>80</v>
      </c>
      <c r="AE120">
        <f t="shared" ref="AE120" si="95">SUM(AE$109:AE$117)*$AQ112</f>
        <v>100</v>
      </c>
      <c r="AF120">
        <f t="shared" si="69"/>
        <v>36</v>
      </c>
    </row>
    <row r="121" spans="1:56" ht="13.95" customHeight="1" x14ac:dyDescent="0.25">
      <c r="A121" s="355"/>
      <c r="B121" s="241" t="s">
        <v>117</v>
      </c>
      <c r="D121">
        <f t="shared" ref="D121:D123" si="96">COUNTIF(D$109:D$117,"=1")*$AK113+COUNTIF(D$109:D$117,"=2")*($AK113+$AL113)+COUNTIF(D$109:D$117,"=3")*($AK113+$AL113+$AM113)+COUNTIF(D$109:D$117,"=4")*($AK113+$AL113+$AM113+$AN113)+COUNTIF(D$109:D$117,"&gt;=5")*($AK113+$AL113+$AM113+$AN113+$AP113)</f>
        <v>30</v>
      </c>
      <c r="E121">
        <f t="shared" si="81"/>
        <v>30</v>
      </c>
      <c r="G121">
        <f t="shared" si="82"/>
        <v>30</v>
      </c>
      <c r="H121">
        <f t="shared" si="83"/>
        <v>0</v>
      </c>
      <c r="J121">
        <f t="shared" si="84"/>
        <v>150</v>
      </c>
      <c r="K121">
        <f t="shared" ref="K121" si="97">SUM(K$109:K$117)*$AO113</f>
        <v>150</v>
      </c>
      <c r="M121">
        <f t="shared" ref="M121" si="98">SUM(M$109:M$117)*$AQ113</f>
        <v>30</v>
      </c>
      <c r="N121">
        <f t="shared" si="69"/>
        <v>0</v>
      </c>
      <c r="P121">
        <f t="shared" si="84"/>
        <v>60</v>
      </c>
      <c r="Q121">
        <f t="shared" ref="Q121" si="99">SUM(Q$109:Q$117)*$AO113</f>
        <v>60</v>
      </c>
      <c r="S121">
        <f t="shared" ref="S121" si="100">SUM(S$109:S$117)*$AQ113</f>
        <v>30</v>
      </c>
      <c r="T121">
        <f t="shared" si="69"/>
        <v>0</v>
      </c>
      <c r="V121">
        <f t="shared" si="84"/>
        <v>150</v>
      </c>
      <c r="W121">
        <f t="shared" ref="W121" si="101">SUM(W$109:W$117)*$AO113</f>
        <v>150</v>
      </c>
      <c r="Y121">
        <f t="shared" ref="Y121" si="102">SUM(Y$109:Y$117)*$AQ113</f>
        <v>30</v>
      </c>
      <c r="Z121">
        <f t="shared" si="69"/>
        <v>0</v>
      </c>
      <c r="AB121">
        <f t="shared" si="84"/>
        <v>60</v>
      </c>
      <c r="AC121">
        <f t="shared" ref="AC121" si="103">SUM(AC$109:AC$117)*$AO113</f>
        <v>60</v>
      </c>
      <c r="AE121">
        <f t="shared" ref="AE121" si="104">SUM(AE$109:AE$117)*$AQ113</f>
        <v>30</v>
      </c>
      <c r="AF121">
        <f t="shared" si="69"/>
        <v>0</v>
      </c>
    </row>
    <row r="122" spans="1:56" x14ac:dyDescent="0.25">
      <c r="A122" s="355"/>
      <c r="B122" s="241" t="s">
        <v>955</v>
      </c>
      <c r="D122">
        <f t="shared" si="96"/>
        <v>55</v>
      </c>
      <c r="E122">
        <f t="shared" si="81"/>
        <v>10</v>
      </c>
      <c r="G122">
        <f t="shared" si="82"/>
        <v>10</v>
      </c>
      <c r="H122">
        <f t="shared" si="83"/>
        <v>10</v>
      </c>
      <c r="J122">
        <f t="shared" si="84"/>
        <v>275</v>
      </c>
      <c r="K122">
        <f t="shared" ref="K122" si="105">SUM(K$109:K$117)*$AO114</f>
        <v>50</v>
      </c>
      <c r="M122">
        <f t="shared" ref="M122" si="106">SUM(M$109:M$117)*$AQ114</f>
        <v>10</v>
      </c>
      <c r="N122">
        <f t="shared" si="69"/>
        <v>25</v>
      </c>
      <c r="P122">
        <f t="shared" si="84"/>
        <v>110</v>
      </c>
      <c r="Q122">
        <f t="shared" ref="Q122" si="107">SUM(Q$109:Q$117)*$AO114</f>
        <v>20</v>
      </c>
      <c r="S122">
        <f t="shared" ref="S122" si="108">SUM(S$109:S$117)*$AQ114</f>
        <v>10</v>
      </c>
      <c r="T122">
        <f t="shared" si="69"/>
        <v>10</v>
      </c>
      <c r="V122">
        <f t="shared" si="84"/>
        <v>275</v>
      </c>
      <c r="W122">
        <f t="shared" ref="W122" si="109">SUM(W$109:W$117)*$AO114</f>
        <v>50</v>
      </c>
      <c r="Y122">
        <f t="shared" ref="Y122" si="110">SUM(Y$109:Y$117)*$AQ114</f>
        <v>10</v>
      </c>
      <c r="Z122">
        <f t="shared" si="69"/>
        <v>25</v>
      </c>
      <c r="AB122">
        <f t="shared" si="84"/>
        <v>110</v>
      </c>
      <c r="AC122">
        <f t="shared" ref="AC122" si="111">SUM(AC$109:AC$117)*$AO114</f>
        <v>20</v>
      </c>
      <c r="AE122">
        <f t="shared" ref="AE122" si="112">SUM(AE$109:AE$117)*$AQ114</f>
        <v>10</v>
      </c>
      <c r="AF122">
        <f t="shared" si="69"/>
        <v>10</v>
      </c>
    </row>
    <row r="123" spans="1:56" x14ac:dyDescent="0.25">
      <c r="A123" s="355"/>
      <c r="B123" s="123" t="s">
        <v>956</v>
      </c>
      <c r="D123">
        <f t="shared" si="96"/>
        <v>12</v>
      </c>
      <c r="E123">
        <f t="shared" si="81"/>
        <v>3</v>
      </c>
      <c r="G123">
        <f t="shared" si="82"/>
        <v>30</v>
      </c>
      <c r="H123">
        <f t="shared" si="83"/>
        <v>2</v>
      </c>
      <c r="J123">
        <f>COUNTIF(J$109:J$117,"=1")*$AK115+COUNTIF(J$109:J$117,"=2")*($AK115+$AL115)+COUNTIF(J$109:J$117,"=3")*($AK115+$AL115+$AM115)+COUNTIF(J$109:J$117,"=4")*($AK115+$AL115+$AM115+$AN115)+COUNTIF(J$109:J$117,"&gt;=5")*($AK115+$AL115+$AM115+$AN115+$AP115)</f>
        <v>60</v>
      </c>
      <c r="K123">
        <f t="shared" ref="K123" si="113">SUM(K$109:K$117)*$AO115</f>
        <v>15</v>
      </c>
      <c r="M123">
        <f t="shared" ref="M123" si="114">SUM(M$109:M$117)*$AQ115</f>
        <v>30</v>
      </c>
      <c r="N123">
        <f t="shared" si="69"/>
        <v>5</v>
      </c>
      <c r="P123">
        <f t="shared" si="84"/>
        <v>24</v>
      </c>
      <c r="Q123">
        <f t="shared" ref="Q123" si="115">SUM(Q$109:Q$117)*$AO115</f>
        <v>6</v>
      </c>
      <c r="S123">
        <f t="shared" ref="S123" si="116">SUM(S$109:S$117)*$AQ115</f>
        <v>30</v>
      </c>
      <c r="T123">
        <f t="shared" si="69"/>
        <v>2</v>
      </c>
      <c r="V123">
        <f t="shared" si="84"/>
        <v>60</v>
      </c>
      <c r="W123">
        <f t="shared" ref="W123" si="117">SUM(W$109:W$117)*$AO115</f>
        <v>15</v>
      </c>
      <c r="Y123">
        <f t="shared" ref="Y123" si="118">SUM(Y$109:Y$117)*$AQ115</f>
        <v>30</v>
      </c>
      <c r="Z123">
        <f t="shared" si="69"/>
        <v>5</v>
      </c>
      <c r="AB123">
        <f t="shared" si="84"/>
        <v>24</v>
      </c>
      <c r="AC123">
        <f t="shared" ref="AC123" si="119">SUM(AC$109:AC$117)*$AO115</f>
        <v>6</v>
      </c>
      <c r="AE123">
        <f t="shared" ref="AE123" si="120">SUM(AE$109:AE$117)*$AQ115</f>
        <v>30</v>
      </c>
      <c r="AF123">
        <f t="shared" si="69"/>
        <v>2</v>
      </c>
    </row>
    <row r="124" spans="1:56" ht="13.95" customHeight="1" x14ac:dyDescent="0.25">
      <c r="A124" s="355" t="s">
        <v>960</v>
      </c>
      <c r="B124" s="241" t="s">
        <v>118</v>
      </c>
      <c r="D124">
        <f>COUNTIF(D$109:D$117,"=6")*($AR111)+COUNTIF(D$109:D$117,"=7")*($AR111+$AS111)+COUNTIF(D$109:D$117,"=8")*($AR111+$AS111+$AT111)</f>
        <v>525</v>
      </c>
      <c r="F124">
        <f>SUM(F$109:F$117)*$AU111</f>
        <v>0</v>
      </c>
      <c r="H124">
        <f>COUNTIF(H$109:H$117,"=2")*($AV111)+COUNTIF(H$109:H$117,"=3")*($AV111+$AW111)+COUNTIF(H$109:H$117,"=4")*($AV111+$AW111+$AX111)</f>
        <v>0</v>
      </c>
      <c r="J124">
        <f>COUNTIF(J$109:J$117,"=6")*($AR111)+COUNTIF(J$109:J$117,"=7")*($AR111+$AS111)+COUNTIF(J$109:J$117,"=8")*($AR111+$AS111+$AT111)</f>
        <v>525</v>
      </c>
      <c r="L124">
        <f t="shared" ref="L124" si="121">SUM(L$109:L$117)*$AU111</f>
        <v>0</v>
      </c>
      <c r="N124">
        <f t="shared" ref="N124:AF128" si="122">COUNTIF(N$109:N$117,"=2")*($AV111)+COUNTIF(N$109:N$117,"=3")*($AV111+$AW111)+COUNTIF(N$109:N$117,"=4")*($AV111+$AW111+$AX111)</f>
        <v>0</v>
      </c>
      <c r="P124">
        <f t="shared" ref="P124" si="123">COUNTIF(P$109:P$117,"=6")*($AR111)+COUNTIF(P$109:P$117,"=7")*($AR111+$AS111)+COUNTIF(P$109:P$117,"=8")*($AR111+$AS111+$AT111)</f>
        <v>1050</v>
      </c>
      <c r="R124">
        <f t="shared" ref="R124" si="124">SUM(R$109:R$117)*$AU111</f>
        <v>0</v>
      </c>
      <c r="T124">
        <f t="shared" ref="T124" si="125">COUNTIF(T$109:T$117,"=2")*($AV111)+COUNTIF(T$109:T$117,"=3")*($AV111+$AW111)+COUNTIF(T$109:T$117,"=4")*($AV111+$AW111+$AX111)</f>
        <v>0</v>
      </c>
      <c r="V124">
        <f t="shared" ref="V124" si="126">COUNTIF(V$109:V$117,"=6")*($AR111)+COUNTIF(V$109:V$117,"=7")*($AR111+$AS111)+COUNTIF(V$109:V$117,"=8")*($AR111+$AS111+$AT111)</f>
        <v>525</v>
      </c>
      <c r="X124">
        <f t="shared" ref="X124" si="127">SUM(X$109:X$117)*$AU111</f>
        <v>0</v>
      </c>
      <c r="Z124">
        <f t="shared" ref="Z124" si="128">COUNTIF(Z$109:Z$117,"=2")*($AV111)+COUNTIF(Z$109:Z$117,"=3")*($AV111+$AW111)+COUNTIF(Z$109:Z$117,"=4")*($AV111+$AW111+$AX111)</f>
        <v>0</v>
      </c>
      <c r="AB124">
        <f t="shared" ref="AB124" si="129">COUNTIF(AB$109:AB$117,"=6")*($AR111)+COUNTIF(AB$109:AB$117,"=7")*($AR111+$AS111)+COUNTIF(AB$109:AB$117,"=8")*($AR111+$AS111+$AT111)</f>
        <v>525</v>
      </c>
      <c r="AD124">
        <f t="shared" ref="AD124" si="130">SUM(AD$109:AD$117)*$AU111</f>
        <v>0</v>
      </c>
      <c r="AF124">
        <f t="shared" ref="AF124" si="131">COUNTIF(AF$109:AF$117,"=2")*($AV111)+COUNTIF(AF$109:AF$117,"=3")*($AV111+$AW111)+COUNTIF(AF$109:AF$117,"=4")*($AV111+$AW111+$AX111)</f>
        <v>0</v>
      </c>
    </row>
    <row r="125" spans="1:56" x14ac:dyDescent="0.25">
      <c r="A125" s="355"/>
      <c r="B125" s="241" t="s">
        <v>116</v>
      </c>
      <c r="D125">
        <f t="shared" ref="D125:D128" si="132">COUNTIF(D$109:D$117,"=6")*($AR112)+COUNTIF(D$109:D$117,"=7")*($AR112+$AS112)+COUNTIF(D$109:D$117,"=8")*($AR112+$AS112+$AT112)</f>
        <v>390</v>
      </c>
      <c r="F125">
        <f>SUM(F$109:F$117)*$AU112</f>
        <v>0</v>
      </c>
      <c r="H125">
        <f t="shared" ref="H125:H128" si="133">COUNTIF(H$109:H$117,"=2")*($AV112)+COUNTIF(H$109:H$117,"=3")*($AV112+$AW112)+COUNTIF(H$109:H$117,"=4")*($AV112+$AW112+$AX112)</f>
        <v>0</v>
      </c>
      <c r="J125">
        <f t="shared" ref="J125:AB128" si="134">COUNTIF(J$109:J$117,"=6")*($AR112)+COUNTIF(J$109:J$117,"=7")*($AR112+$AS112)+COUNTIF(J$109:J$117,"=8")*($AR112+$AS112+$AT112)</f>
        <v>390</v>
      </c>
      <c r="L125">
        <f t="shared" ref="L125" si="135">SUM(L$109:L$117)*$AU112</f>
        <v>0</v>
      </c>
      <c r="N125">
        <f t="shared" si="122"/>
        <v>0</v>
      </c>
      <c r="P125">
        <f t="shared" si="134"/>
        <v>780</v>
      </c>
      <c r="R125">
        <f t="shared" ref="R125" si="136">SUM(R$109:R$117)*$AU112</f>
        <v>0</v>
      </c>
      <c r="T125">
        <f t="shared" si="122"/>
        <v>0</v>
      </c>
      <c r="V125">
        <f t="shared" si="134"/>
        <v>390</v>
      </c>
      <c r="X125">
        <f t="shared" ref="X125" si="137">SUM(X$109:X$117)*$AU112</f>
        <v>0</v>
      </c>
      <c r="Z125">
        <f t="shared" si="122"/>
        <v>0</v>
      </c>
      <c r="AB125">
        <f t="shared" si="134"/>
        <v>390</v>
      </c>
      <c r="AD125">
        <f t="shared" ref="AD125" si="138">SUM(AD$109:AD$117)*$AU112</f>
        <v>0</v>
      </c>
      <c r="AF125">
        <f t="shared" si="122"/>
        <v>0</v>
      </c>
    </row>
    <row r="126" spans="1:56" x14ac:dyDescent="0.25">
      <c r="A126" s="355"/>
      <c r="B126" s="241" t="s">
        <v>117</v>
      </c>
      <c r="D126">
        <f t="shared" si="132"/>
        <v>90</v>
      </c>
      <c r="F126">
        <f t="shared" ref="F126:F128" si="139">SUM(F$109:F$117)*$AU113</f>
        <v>0</v>
      </c>
      <c r="H126">
        <f t="shared" si="133"/>
        <v>0</v>
      </c>
      <c r="J126">
        <f t="shared" si="134"/>
        <v>90</v>
      </c>
      <c r="L126">
        <f t="shared" ref="L126:AD128" si="140">SUM(L$109:L$117)*$AU113</f>
        <v>0</v>
      </c>
      <c r="N126">
        <f t="shared" si="122"/>
        <v>0</v>
      </c>
      <c r="P126">
        <f t="shared" si="134"/>
        <v>180</v>
      </c>
      <c r="R126">
        <f t="shared" si="140"/>
        <v>0</v>
      </c>
      <c r="T126">
        <f t="shared" si="122"/>
        <v>0</v>
      </c>
      <c r="V126">
        <f t="shared" si="134"/>
        <v>90</v>
      </c>
      <c r="X126">
        <f t="shared" si="140"/>
        <v>0</v>
      </c>
      <c r="Z126">
        <f t="shared" si="122"/>
        <v>0</v>
      </c>
      <c r="AB126">
        <f t="shared" si="134"/>
        <v>90</v>
      </c>
      <c r="AD126">
        <f t="shared" si="140"/>
        <v>0</v>
      </c>
      <c r="AF126">
        <f t="shared" si="122"/>
        <v>0</v>
      </c>
    </row>
    <row r="127" spans="1:56" x14ac:dyDescent="0.25">
      <c r="A127" s="355"/>
      <c r="B127" s="241" t="s">
        <v>955</v>
      </c>
      <c r="D127">
        <f t="shared" si="132"/>
        <v>105</v>
      </c>
      <c r="F127">
        <f t="shared" si="139"/>
        <v>0</v>
      </c>
      <c r="H127">
        <f t="shared" si="133"/>
        <v>0</v>
      </c>
      <c r="J127">
        <f t="shared" si="134"/>
        <v>105</v>
      </c>
      <c r="L127">
        <f t="shared" si="140"/>
        <v>0</v>
      </c>
      <c r="N127">
        <f t="shared" si="122"/>
        <v>0</v>
      </c>
      <c r="P127">
        <f t="shared" si="134"/>
        <v>210</v>
      </c>
      <c r="R127">
        <f t="shared" si="140"/>
        <v>0</v>
      </c>
      <c r="T127">
        <f t="shared" si="122"/>
        <v>0</v>
      </c>
      <c r="V127">
        <f t="shared" si="134"/>
        <v>105</v>
      </c>
      <c r="X127">
        <f t="shared" si="140"/>
        <v>0</v>
      </c>
      <c r="Z127">
        <f t="shared" si="122"/>
        <v>0</v>
      </c>
      <c r="AB127">
        <f t="shared" si="134"/>
        <v>105</v>
      </c>
      <c r="AD127">
        <f t="shared" si="140"/>
        <v>0</v>
      </c>
      <c r="AF127">
        <f t="shared" si="122"/>
        <v>0</v>
      </c>
    </row>
    <row r="128" spans="1:56" x14ac:dyDescent="0.25">
      <c r="A128" s="355"/>
      <c r="B128" s="241" t="s">
        <v>956</v>
      </c>
      <c r="D128">
        <f t="shared" si="132"/>
        <v>24</v>
      </c>
      <c r="F128">
        <f t="shared" si="139"/>
        <v>0</v>
      </c>
      <c r="H128">
        <f t="shared" si="133"/>
        <v>0</v>
      </c>
      <c r="J128">
        <f t="shared" si="134"/>
        <v>24</v>
      </c>
      <c r="L128">
        <f t="shared" si="140"/>
        <v>0</v>
      </c>
      <c r="N128">
        <f t="shared" si="122"/>
        <v>0</v>
      </c>
      <c r="P128">
        <f t="shared" si="134"/>
        <v>48</v>
      </c>
      <c r="R128">
        <f t="shared" si="140"/>
        <v>0</v>
      </c>
      <c r="T128">
        <f t="shared" si="122"/>
        <v>0</v>
      </c>
      <c r="V128">
        <f t="shared" si="134"/>
        <v>24</v>
      </c>
      <c r="X128">
        <f t="shared" si="140"/>
        <v>0</v>
      </c>
      <c r="Z128">
        <f t="shared" si="122"/>
        <v>0</v>
      </c>
      <c r="AB128">
        <f t="shared" si="134"/>
        <v>24</v>
      </c>
      <c r="AD128">
        <f t="shared" si="140"/>
        <v>0</v>
      </c>
      <c r="AF128">
        <f t="shared" si="122"/>
        <v>0</v>
      </c>
    </row>
    <row r="129" spans="1:55" x14ac:dyDescent="0.25"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</row>
    <row r="130" spans="1:55" s="123" customFormat="1" x14ac:dyDescent="0.25">
      <c r="B130" s="200" t="s">
        <v>48</v>
      </c>
      <c r="C130" s="359" t="s">
        <v>629</v>
      </c>
      <c r="D130" s="360"/>
      <c r="E130" s="360"/>
      <c r="F130" s="360"/>
      <c r="G130" s="360"/>
      <c r="H130" s="361"/>
      <c r="I130" s="362" t="s">
        <v>632</v>
      </c>
      <c r="J130" s="363"/>
      <c r="K130" s="363"/>
      <c r="L130" s="363"/>
      <c r="M130" s="363"/>
      <c r="N130" s="364"/>
      <c r="O130" s="365" t="s">
        <v>634</v>
      </c>
      <c r="P130" s="366"/>
      <c r="Q130" s="366"/>
      <c r="R130" s="366"/>
      <c r="S130" s="366"/>
      <c r="T130" s="367"/>
      <c r="U130" s="371" t="s">
        <v>635</v>
      </c>
      <c r="V130" s="372"/>
      <c r="W130" s="372"/>
      <c r="X130" s="372"/>
      <c r="Y130" s="372"/>
      <c r="Z130" s="373"/>
      <c r="AA130" s="368" t="s">
        <v>636</v>
      </c>
      <c r="AB130" s="369"/>
      <c r="AC130" s="369"/>
      <c r="AD130" s="369"/>
      <c r="AE130" s="369"/>
      <c r="AF130" s="370"/>
    </row>
    <row r="131" spans="1:55" s="123" customFormat="1" x14ac:dyDescent="0.25">
      <c r="B131" s="128" t="s">
        <v>874</v>
      </c>
      <c r="C131" s="135" t="s">
        <v>5</v>
      </c>
      <c r="D131" s="136" t="s">
        <v>813</v>
      </c>
      <c r="E131" s="136" t="s">
        <v>815</v>
      </c>
      <c r="F131" s="137" t="s">
        <v>844</v>
      </c>
      <c r="G131" s="137" t="s">
        <v>846</v>
      </c>
      <c r="H131" s="138" t="s">
        <v>814</v>
      </c>
      <c r="I131" s="144" t="s">
        <v>5</v>
      </c>
      <c r="J131" s="145" t="s">
        <v>813</v>
      </c>
      <c r="K131" s="145" t="s">
        <v>815</v>
      </c>
      <c r="L131" s="146" t="s">
        <v>844</v>
      </c>
      <c r="M131" s="146" t="s">
        <v>846</v>
      </c>
      <c r="N131" s="147" t="s">
        <v>814</v>
      </c>
      <c r="O131" s="153" t="s">
        <v>5</v>
      </c>
      <c r="P131" s="154" t="s">
        <v>813</v>
      </c>
      <c r="Q131" s="154" t="s">
        <v>815</v>
      </c>
      <c r="R131" s="155" t="s">
        <v>844</v>
      </c>
      <c r="S131" s="155" t="s">
        <v>846</v>
      </c>
      <c r="T131" s="156" t="s">
        <v>814</v>
      </c>
      <c r="U131" s="162" t="s">
        <v>5</v>
      </c>
      <c r="V131" s="163" t="s">
        <v>813</v>
      </c>
      <c r="W131" s="163" t="s">
        <v>815</v>
      </c>
      <c r="X131" s="164" t="s">
        <v>844</v>
      </c>
      <c r="Y131" s="164" t="s">
        <v>846</v>
      </c>
      <c r="Z131" s="165" t="s">
        <v>814</v>
      </c>
      <c r="AA131" s="171" t="s">
        <v>5</v>
      </c>
      <c r="AB131" s="172" t="s">
        <v>813</v>
      </c>
      <c r="AC131" s="172" t="s">
        <v>815</v>
      </c>
      <c r="AD131" s="173" t="s">
        <v>844</v>
      </c>
      <c r="AE131" s="173" t="s">
        <v>846</v>
      </c>
      <c r="AF131" s="174" t="s">
        <v>814</v>
      </c>
      <c r="AN131" s="123" t="s">
        <v>44</v>
      </c>
      <c r="AR131" t="s">
        <v>873</v>
      </c>
      <c r="AV131" s="300"/>
      <c r="AW131" s="300"/>
      <c r="AX131" t="s">
        <v>873</v>
      </c>
    </row>
    <row r="132" spans="1:55" x14ac:dyDescent="0.25">
      <c r="B132" s="14" t="s">
        <v>1</v>
      </c>
      <c r="C132" s="180">
        <v>65</v>
      </c>
      <c r="D132" s="181">
        <v>5</v>
      </c>
      <c r="E132" s="181">
        <v>1</v>
      </c>
      <c r="F132" s="181">
        <v>1</v>
      </c>
      <c r="G132" s="181">
        <v>0</v>
      </c>
      <c r="H132" s="182">
        <v>1</v>
      </c>
      <c r="I132" s="183">
        <v>80</v>
      </c>
      <c r="J132" s="184">
        <v>8</v>
      </c>
      <c r="K132" s="184">
        <v>1</v>
      </c>
      <c r="L132" s="184">
        <v>1</v>
      </c>
      <c r="M132" s="184">
        <v>0</v>
      </c>
      <c r="N132" s="185">
        <v>1</v>
      </c>
      <c r="O132" s="186">
        <v>80</v>
      </c>
      <c r="P132" s="187">
        <v>8</v>
      </c>
      <c r="Q132" s="187">
        <v>1</v>
      </c>
      <c r="R132" s="187">
        <v>1</v>
      </c>
      <c r="S132" s="187">
        <v>0</v>
      </c>
      <c r="T132" s="188">
        <v>1</v>
      </c>
      <c r="U132" s="192">
        <v>65</v>
      </c>
      <c r="V132" s="193">
        <v>5</v>
      </c>
      <c r="W132" s="193">
        <v>1</v>
      </c>
      <c r="X132" s="193">
        <v>1</v>
      </c>
      <c r="Y132" s="193">
        <v>0</v>
      </c>
      <c r="Z132" s="196">
        <v>1</v>
      </c>
      <c r="AA132" s="194">
        <v>80</v>
      </c>
      <c r="AB132" s="195">
        <v>8</v>
      </c>
      <c r="AC132" s="195">
        <v>1</v>
      </c>
      <c r="AD132" s="195">
        <v>1</v>
      </c>
      <c r="AE132" s="195">
        <v>0</v>
      </c>
      <c r="AF132" s="197">
        <v>1</v>
      </c>
      <c r="AI132" s="123"/>
      <c r="AJ132" s="123"/>
      <c r="AK132" s="124" t="s">
        <v>645</v>
      </c>
      <c r="AL132" s="123"/>
      <c r="AM132" s="123"/>
      <c r="AN132" s="123"/>
      <c r="AO132" s="124"/>
      <c r="AP132" s="123"/>
      <c r="AR132" s="123"/>
      <c r="AS132" s="123"/>
      <c r="AT132" s="123"/>
      <c r="AU132" s="123"/>
      <c r="AV132" s="300"/>
      <c r="AW132" s="300"/>
      <c r="AX132" s="124" t="s">
        <v>814</v>
      </c>
      <c r="AY132" s="123"/>
      <c r="AZ132" s="123"/>
      <c r="BB132" s="4" t="s">
        <v>129</v>
      </c>
    </row>
    <row r="133" spans="1:55" x14ac:dyDescent="0.25">
      <c r="B133" s="14" t="s">
        <v>806</v>
      </c>
      <c r="C133" s="180">
        <v>65</v>
      </c>
      <c r="D133" s="181">
        <v>5</v>
      </c>
      <c r="E133" s="181">
        <v>1</v>
      </c>
      <c r="F133" s="181">
        <v>1</v>
      </c>
      <c r="G133" s="181">
        <v>0</v>
      </c>
      <c r="H133" s="182">
        <v>1</v>
      </c>
      <c r="I133" s="183">
        <v>65</v>
      </c>
      <c r="J133" s="184">
        <v>5</v>
      </c>
      <c r="K133" s="184">
        <v>1</v>
      </c>
      <c r="L133" s="184">
        <v>1</v>
      </c>
      <c r="M133" s="184">
        <v>0</v>
      </c>
      <c r="N133" s="185">
        <v>1</v>
      </c>
      <c r="O133" s="186">
        <v>65</v>
      </c>
      <c r="P133" s="187">
        <v>5</v>
      </c>
      <c r="Q133" s="187">
        <v>1</v>
      </c>
      <c r="R133" s="187">
        <v>1</v>
      </c>
      <c r="S133" s="187">
        <v>0</v>
      </c>
      <c r="T133" s="188">
        <v>1</v>
      </c>
      <c r="U133" s="192">
        <v>65</v>
      </c>
      <c r="V133" s="193">
        <v>5</v>
      </c>
      <c r="W133" s="193">
        <v>1</v>
      </c>
      <c r="X133" s="193">
        <v>1</v>
      </c>
      <c r="Y133" s="193">
        <v>0</v>
      </c>
      <c r="Z133" s="196">
        <v>1</v>
      </c>
      <c r="AA133" s="194">
        <v>65</v>
      </c>
      <c r="AB133" s="195">
        <v>5</v>
      </c>
      <c r="AC133" s="195">
        <v>1</v>
      </c>
      <c r="AD133" s="195">
        <v>1</v>
      </c>
      <c r="AE133" s="195">
        <v>0</v>
      </c>
      <c r="AF133" s="197">
        <v>1</v>
      </c>
      <c r="AJ133" s="124" t="s">
        <v>840</v>
      </c>
      <c r="AK133" s="123">
        <v>1</v>
      </c>
      <c r="AL133" s="123">
        <v>2</v>
      </c>
      <c r="AM133" s="123">
        <v>3</v>
      </c>
      <c r="AN133" s="123">
        <v>4</v>
      </c>
      <c r="AO133" s="124" t="s">
        <v>1026</v>
      </c>
      <c r="AP133" s="123">
        <v>5</v>
      </c>
      <c r="AQ133" s="124" t="s">
        <v>848</v>
      </c>
      <c r="AR133" s="124" t="s">
        <v>126</v>
      </c>
      <c r="AS133" s="123">
        <v>6</v>
      </c>
      <c r="AT133" s="123">
        <v>7</v>
      </c>
      <c r="AU133" s="123">
        <v>8</v>
      </c>
      <c r="AV133" s="299" t="s">
        <v>1025</v>
      </c>
      <c r="AW133" s="300">
        <v>9</v>
      </c>
      <c r="AX133" s="123">
        <v>1</v>
      </c>
      <c r="AY133" s="123">
        <v>2</v>
      </c>
      <c r="AZ133" s="123">
        <v>3</v>
      </c>
      <c r="BB133" s="4" t="s">
        <v>880</v>
      </c>
      <c r="BC133" s="4" t="s">
        <v>882</v>
      </c>
    </row>
    <row r="134" spans="1:55" x14ac:dyDescent="0.25">
      <c r="B134" s="14" t="s">
        <v>807</v>
      </c>
      <c r="C134" s="180">
        <v>80</v>
      </c>
      <c r="D134" s="181">
        <v>8</v>
      </c>
      <c r="E134" s="181">
        <v>1</v>
      </c>
      <c r="F134" s="181">
        <v>1</v>
      </c>
      <c r="G134" s="181">
        <v>0</v>
      </c>
      <c r="H134" s="182">
        <v>1</v>
      </c>
      <c r="I134" s="183">
        <v>65</v>
      </c>
      <c r="J134" s="184">
        <v>5</v>
      </c>
      <c r="K134" s="184">
        <v>1</v>
      </c>
      <c r="L134" s="184">
        <v>1</v>
      </c>
      <c r="M134" s="184">
        <v>0</v>
      </c>
      <c r="N134" s="185">
        <v>1</v>
      </c>
      <c r="O134" s="186">
        <v>65</v>
      </c>
      <c r="P134" s="187">
        <v>5</v>
      </c>
      <c r="Q134" s="187">
        <v>1</v>
      </c>
      <c r="R134" s="187">
        <v>1</v>
      </c>
      <c r="S134" s="187">
        <v>0</v>
      </c>
      <c r="T134" s="188">
        <v>1</v>
      </c>
      <c r="U134" s="192">
        <v>80</v>
      </c>
      <c r="V134" s="193">
        <v>8</v>
      </c>
      <c r="W134" s="193">
        <v>1</v>
      </c>
      <c r="X134" s="193">
        <v>1</v>
      </c>
      <c r="Y134" s="193">
        <v>0</v>
      </c>
      <c r="Z134" s="196">
        <v>1</v>
      </c>
      <c r="AA134" s="194">
        <v>65</v>
      </c>
      <c r="AB134" s="195">
        <v>5</v>
      </c>
      <c r="AC134" s="195">
        <v>1</v>
      </c>
      <c r="AD134" s="195">
        <v>1</v>
      </c>
      <c r="AE134" s="195">
        <v>0</v>
      </c>
      <c r="AF134" s="197">
        <v>1</v>
      </c>
      <c r="AI134" s="4" t="s">
        <v>11</v>
      </c>
      <c r="AJ134">
        <v>40</v>
      </c>
      <c r="AK134">
        <v>40</v>
      </c>
      <c r="AL134">
        <v>40</v>
      </c>
      <c r="AM134">
        <v>40</v>
      </c>
      <c r="AN134">
        <v>40</v>
      </c>
      <c r="AO134">
        <v>16</v>
      </c>
      <c r="AP134">
        <v>16</v>
      </c>
      <c r="AQ134">
        <v>16</v>
      </c>
      <c r="AR134">
        <v>100</v>
      </c>
      <c r="AS134">
        <v>16</v>
      </c>
      <c r="AT134">
        <v>16</v>
      </c>
      <c r="AU134">
        <v>16</v>
      </c>
      <c r="AV134">
        <v>40</v>
      </c>
      <c r="AW134">
        <v>80</v>
      </c>
      <c r="AX134">
        <v>280</v>
      </c>
      <c r="AY134">
        <v>280</v>
      </c>
      <c r="AZ134">
        <v>280</v>
      </c>
      <c r="BB134">
        <f t="shared" ref="BB134:BB139" si="141">SUM(AJ134:AR134)</f>
        <v>348</v>
      </c>
      <c r="BC134">
        <f t="shared" ref="BC134:BC139" si="142">SUM(AS134:AZ134)</f>
        <v>1008</v>
      </c>
    </row>
    <row r="135" spans="1:55" x14ac:dyDescent="0.25">
      <c r="B135" s="200" t="s">
        <v>808</v>
      </c>
      <c r="C135" s="201">
        <v>65</v>
      </c>
      <c r="D135" s="202">
        <v>5</v>
      </c>
      <c r="E135" s="202">
        <v>1</v>
      </c>
      <c r="F135" s="202">
        <v>1</v>
      </c>
      <c r="G135" s="202">
        <v>0</v>
      </c>
      <c r="H135" s="203">
        <v>1</v>
      </c>
      <c r="I135" s="204">
        <v>80</v>
      </c>
      <c r="J135" s="205">
        <v>8</v>
      </c>
      <c r="K135" s="205">
        <v>1</v>
      </c>
      <c r="L135" s="205">
        <v>1</v>
      </c>
      <c r="M135" s="205">
        <v>0</v>
      </c>
      <c r="N135" s="206">
        <v>1</v>
      </c>
      <c r="O135" s="207">
        <v>65</v>
      </c>
      <c r="P135" s="208">
        <v>5</v>
      </c>
      <c r="Q135" s="208">
        <v>1</v>
      </c>
      <c r="R135" s="208">
        <v>1</v>
      </c>
      <c r="S135" s="208">
        <v>0</v>
      </c>
      <c r="T135" s="209">
        <v>1</v>
      </c>
      <c r="U135" s="210">
        <v>65</v>
      </c>
      <c r="V135" s="211">
        <v>5</v>
      </c>
      <c r="W135" s="211">
        <v>1</v>
      </c>
      <c r="X135" s="211">
        <v>1</v>
      </c>
      <c r="Y135" s="211">
        <v>0</v>
      </c>
      <c r="Z135" s="212">
        <v>1</v>
      </c>
      <c r="AA135" s="213">
        <v>65</v>
      </c>
      <c r="AB135" s="214">
        <v>5</v>
      </c>
      <c r="AC135" s="214">
        <v>1</v>
      </c>
      <c r="AD135" s="214">
        <v>1</v>
      </c>
      <c r="AE135" s="214">
        <v>0</v>
      </c>
      <c r="AF135" s="215">
        <v>1</v>
      </c>
      <c r="AI135" s="4" t="s">
        <v>12</v>
      </c>
      <c r="AJ135">
        <v>30</v>
      </c>
      <c r="AK135">
        <v>30</v>
      </c>
      <c r="AL135">
        <v>30</v>
      </c>
      <c r="AM135">
        <v>30</v>
      </c>
      <c r="AN135">
        <v>30</v>
      </c>
      <c r="AO135">
        <v>10</v>
      </c>
      <c r="AP135">
        <v>10</v>
      </c>
      <c r="AQ135">
        <v>10</v>
      </c>
      <c r="AR135">
        <v>100</v>
      </c>
      <c r="AS135">
        <v>10</v>
      </c>
      <c r="AT135">
        <v>10</v>
      </c>
      <c r="AU135">
        <v>10</v>
      </c>
      <c r="AV135">
        <v>30</v>
      </c>
      <c r="AW135">
        <v>70</v>
      </c>
      <c r="AX135">
        <v>200</v>
      </c>
      <c r="AY135">
        <v>200</v>
      </c>
      <c r="AZ135">
        <v>200</v>
      </c>
      <c r="BB135">
        <f t="shared" si="141"/>
        <v>280</v>
      </c>
      <c r="BC135">
        <f t="shared" si="142"/>
        <v>730</v>
      </c>
    </row>
    <row r="136" spans="1:55" x14ac:dyDescent="0.25">
      <c r="B136" s="14" t="s">
        <v>809</v>
      </c>
      <c r="C136" s="180">
        <v>65</v>
      </c>
      <c r="D136" s="181">
        <v>5</v>
      </c>
      <c r="E136" s="181">
        <v>1</v>
      </c>
      <c r="F136" s="181">
        <v>1</v>
      </c>
      <c r="G136" s="181">
        <v>0</v>
      </c>
      <c r="H136" s="182">
        <v>1</v>
      </c>
      <c r="I136" s="183">
        <v>65</v>
      </c>
      <c r="J136" s="184">
        <v>5</v>
      </c>
      <c r="K136" s="184">
        <v>1</v>
      </c>
      <c r="L136" s="184">
        <v>1</v>
      </c>
      <c r="M136" s="184">
        <v>0</v>
      </c>
      <c r="N136" s="185">
        <v>1</v>
      </c>
      <c r="O136" s="186">
        <v>65</v>
      </c>
      <c r="P136" s="187">
        <v>5</v>
      </c>
      <c r="Q136" s="187">
        <v>1</v>
      </c>
      <c r="R136" s="187">
        <v>1</v>
      </c>
      <c r="S136" s="187">
        <v>0</v>
      </c>
      <c r="T136" s="188">
        <v>1</v>
      </c>
      <c r="U136" s="192">
        <v>65</v>
      </c>
      <c r="V136" s="193">
        <v>5</v>
      </c>
      <c r="W136" s="193">
        <v>1</v>
      </c>
      <c r="X136" s="193">
        <v>1</v>
      </c>
      <c r="Y136" s="193">
        <v>0</v>
      </c>
      <c r="Z136" s="196">
        <v>1</v>
      </c>
      <c r="AA136" s="194">
        <v>65</v>
      </c>
      <c r="AB136" s="195">
        <v>5</v>
      </c>
      <c r="AC136" s="195">
        <v>1</v>
      </c>
      <c r="AD136" s="195">
        <v>1</v>
      </c>
      <c r="AE136" s="195">
        <v>0</v>
      </c>
      <c r="AF136" s="197">
        <v>1</v>
      </c>
      <c r="AI136" s="4" t="s">
        <v>851</v>
      </c>
      <c r="AO136">
        <v>7</v>
      </c>
      <c r="AP136" s="123">
        <v>7</v>
      </c>
      <c r="AR136">
        <v>14</v>
      </c>
      <c r="AS136" s="123">
        <v>7</v>
      </c>
      <c r="AT136" s="123">
        <v>7</v>
      </c>
      <c r="AU136" s="123">
        <v>7</v>
      </c>
      <c r="AV136" s="300">
        <v>10</v>
      </c>
      <c r="AW136" s="300">
        <v>30</v>
      </c>
      <c r="AX136">
        <v>35</v>
      </c>
      <c r="AY136">
        <v>35</v>
      </c>
      <c r="AZ136">
        <v>35</v>
      </c>
      <c r="BB136">
        <f t="shared" si="141"/>
        <v>28</v>
      </c>
      <c r="BC136">
        <f t="shared" si="142"/>
        <v>166</v>
      </c>
    </row>
    <row r="137" spans="1:55" x14ac:dyDescent="0.25">
      <c r="B137" s="133" t="s">
        <v>810</v>
      </c>
      <c r="C137" s="135">
        <v>80</v>
      </c>
      <c r="D137" s="137">
        <v>8</v>
      </c>
      <c r="E137" s="137">
        <v>1</v>
      </c>
      <c r="F137" s="137">
        <v>1</v>
      </c>
      <c r="G137" s="137">
        <v>0</v>
      </c>
      <c r="H137" s="189">
        <v>1</v>
      </c>
      <c r="I137" s="144">
        <v>65</v>
      </c>
      <c r="J137" s="146">
        <v>5</v>
      </c>
      <c r="K137" s="146">
        <v>1</v>
      </c>
      <c r="L137" s="146">
        <v>1</v>
      </c>
      <c r="M137" s="146">
        <v>0</v>
      </c>
      <c r="N137" s="190">
        <v>1</v>
      </c>
      <c r="O137" s="153">
        <v>80</v>
      </c>
      <c r="P137" s="155">
        <v>8</v>
      </c>
      <c r="Q137" s="155">
        <v>1</v>
      </c>
      <c r="R137" s="155">
        <v>1</v>
      </c>
      <c r="S137" s="155">
        <v>0</v>
      </c>
      <c r="T137" s="191">
        <v>1</v>
      </c>
      <c r="U137" s="162">
        <v>65</v>
      </c>
      <c r="V137" s="164">
        <v>5</v>
      </c>
      <c r="W137" s="164">
        <v>1</v>
      </c>
      <c r="X137" s="164">
        <v>1</v>
      </c>
      <c r="Y137" s="164">
        <v>0</v>
      </c>
      <c r="Z137" s="198">
        <v>1</v>
      </c>
      <c r="AA137" s="171">
        <v>65</v>
      </c>
      <c r="AB137" s="173">
        <v>5</v>
      </c>
      <c r="AC137" s="173">
        <v>1</v>
      </c>
      <c r="AD137" s="173">
        <v>1</v>
      </c>
      <c r="AE137" s="173">
        <v>0</v>
      </c>
      <c r="AF137" s="199">
        <v>1</v>
      </c>
      <c r="AI137" s="3" t="s">
        <v>1027</v>
      </c>
      <c r="AV137" s="300">
        <v>10</v>
      </c>
      <c r="AW137" s="300">
        <v>20</v>
      </c>
      <c r="BB137">
        <f t="shared" si="141"/>
        <v>0</v>
      </c>
      <c r="BC137">
        <f t="shared" si="142"/>
        <v>30</v>
      </c>
    </row>
    <row r="138" spans="1:55" x14ac:dyDescent="0.25">
      <c r="B138" s="14" t="s">
        <v>811</v>
      </c>
      <c r="C138" s="180">
        <v>65</v>
      </c>
      <c r="D138" s="181">
        <v>5</v>
      </c>
      <c r="E138" s="181">
        <v>1</v>
      </c>
      <c r="F138" s="181">
        <v>1</v>
      </c>
      <c r="G138" s="181">
        <v>0</v>
      </c>
      <c r="H138" s="182">
        <v>1</v>
      </c>
      <c r="I138" s="183">
        <v>65</v>
      </c>
      <c r="J138" s="184">
        <v>5</v>
      </c>
      <c r="K138" s="184">
        <v>1</v>
      </c>
      <c r="L138" s="184">
        <v>1</v>
      </c>
      <c r="M138" s="184">
        <v>0</v>
      </c>
      <c r="N138" s="185">
        <v>1</v>
      </c>
      <c r="O138" s="186">
        <v>65</v>
      </c>
      <c r="P138" s="187">
        <v>5</v>
      </c>
      <c r="Q138" s="187">
        <v>1</v>
      </c>
      <c r="R138" s="187">
        <v>1</v>
      </c>
      <c r="S138" s="187">
        <v>0</v>
      </c>
      <c r="T138" s="188">
        <v>1</v>
      </c>
      <c r="U138" s="192">
        <v>80</v>
      </c>
      <c r="V138" s="193">
        <v>8</v>
      </c>
      <c r="W138" s="193">
        <v>1</v>
      </c>
      <c r="X138" s="193">
        <v>1</v>
      </c>
      <c r="Y138" s="193">
        <v>0</v>
      </c>
      <c r="Z138" s="196">
        <v>1</v>
      </c>
      <c r="AA138" s="194">
        <v>80</v>
      </c>
      <c r="AB138" s="195">
        <v>8</v>
      </c>
      <c r="AC138" s="195">
        <v>1</v>
      </c>
      <c r="AD138" s="195">
        <v>1</v>
      </c>
      <c r="AE138" s="195">
        <v>0</v>
      </c>
      <c r="AF138" s="197">
        <v>1</v>
      </c>
      <c r="AI138" s="4" t="s">
        <v>842</v>
      </c>
      <c r="AJ138">
        <v>1</v>
      </c>
      <c r="AK138">
        <v>1</v>
      </c>
      <c r="AL138">
        <v>1</v>
      </c>
      <c r="AM138">
        <v>1</v>
      </c>
      <c r="AN138">
        <v>1</v>
      </c>
      <c r="AP138" s="123"/>
      <c r="AS138" s="123"/>
      <c r="AT138" s="123"/>
      <c r="AU138" s="123"/>
      <c r="AV138" s="300"/>
      <c r="AW138" s="300"/>
      <c r="AX138">
        <v>5</v>
      </c>
      <c r="AY138">
        <v>5</v>
      </c>
      <c r="AZ138">
        <v>5</v>
      </c>
      <c r="BB138">
        <f t="shared" si="141"/>
        <v>5</v>
      </c>
      <c r="BC138">
        <f t="shared" si="142"/>
        <v>15</v>
      </c>
    </row>
    <row r="139" spans="1:55" x14ac:dyDescent="0.25">
      <c r="B139" s="14" t="s">
        <v>812</v>
      </c>
      <c r="C139" s="180">
        <v>90</v>
      </c>
      <c r="D139" s="181">
        <v>9</v>
      </c>
      <c r="E139" s="181">
        <v>2</v>
      </c>
      <c r="F139" s="181">
        <v>1</v>
      </c>
      <c r="G139" s="181">
        <v>1</v>
      </c>
      <c r="H139" s="182">
        <v>1</v>
      </c>
      <c r="I139" s="183">
        <v>60</v>
      </c>
      <c r="J139" s="184">
        <v>8</v>
      </c>
      <c r="K139" s="184">
        <v>1</v>
      </c>
      <c r="L139" s="184">
        <v>1</v>
      </c>
      <c r="M139" s="184">
        <v>1</v>
      </c>
      <c r="N139" s="185">
        <v>1</v>
      </c>
      <c r="O139" s="186">
        <v>80</v>
      </c>
      <c r="P139" s="187">
        <v>8</v>
      </c>
      <c r="Q139" s="187">
        <v>1</v>
      </c>
      <c r="R139" s="187">
        <v>1</v>
      </c>
      <c r="S139" s="187">
        <v>1</v>
      </c>
      <c r="T139" s="188">
        <v>1</v>
      </c>
      <c r="U139" s="192">
        <v>80</v>
      </c>
      <c r="V139" s="193">
        <v>8</v>
      </c>
      <c r="W139" s="193">
        <v>1</v>
      </c>
      <c r="X139" s="193">
        <v>1</v>
      </c>
      <c r="Y139" s="193">
        <v>1</v>
      </c>
      <c r="Z139" s="196">
        <v>1</v>
      </c>
      <c r="AA139" s="194">
        <v>80</v>
      </c>
      <c r="AB139" s="195">
        <v>8</v>
      </c>
      <c r="AC139" s="195">
        <v>1</v>
      </c>
      <c r="AD139" s="195">
        <v>1</v>
      </c>
      <c r="AE139" s="195">
        <v>1</v>
      </c>
      <c r="AF139" s="197">
        <v>1</v>
      </c>
      <c r="AI139" s="4" t="s">
        <v>850</v>
      </c>
      <c r="AO139">
        <v>1</v>
      </c>
      <c r="AP139" s="123">
        <v>1</v>
      </c>
      <c r="AQ139">
        <v>1</v>
      </c>
      <c r="AR139">
        <v>30</v>
      </c>
      <c r="AS139" s="123">
        <v>1</v>
      </c>
      <c r="AT139" s="123">
        <v>1</v>
      </c>
      <c r="AU139" s="123">
        <v>1</v>
      </c>
      <c r="AV139" s="300">
        <v>10</v>
      </c>
      <c r="AW139" s="300">
        <v>20</v>
      </c>
      <c r="AX139">
        <v>5</v>
      </c>
      <c r="AY139">
        <v>5</v>
      </c>
      <c r="AZ139">
        <v>5</v>
      </c>
      <c r="BB139">
        <f t="shared" si="141"/>
        <v>33</v>
      </c>
      <c r="BC139">
        <f t="shared" si="142"/>
        <v>48</v>
      </c>
    </row>
    <row r="140" spans="1:55" x14ac:dyDescent="0.25">
      <c r="B140" s="133" t="s">
        <v>820</v>
      </c>
      <c r="C140" s="135">
        <v>65</v>
      </c>
      <c r="D140" s="137">
        <v>5</v>
      </c>
      <c r="E140" s="137">
        <v>1</v>
      </c>
      <c r="F140" s="137">
        <v>1</v>
      </c>
      <c r="G140" s="137">
        <v>0</v>
      </c>
      <c r="H140" s="189">
        <v>1</v>
      </c>
      <c r="I140" s="144">
        <v>65</v>
      </c>
      <c r="J140" s="146">
        <v>5</v>
      </c>
      <c r="K140" s="146">
        <v>1</v>
      </c>
      <c r="L140" s="146">
        <v>1</v>
      </c>
      <c r="M140" s="146">
        <v>0</v>
      </c>
      <c r="N140" s="190">
        <v>1</v>
      </c>
      <c r="O140" s="153">
        <v>65</v>
      </c>
      <c r="P140" s="155">
        <v>5</v>
      </c>
      <c r="Q140" s="155">
        <v>1</v>
      </c>
      <c r="R140" s="155">
        <v>1</v>
      </c>
      <c r="S140" s="155">
        <v>0</v>
      </c>
      <c r="T140" s="191">
        <v>1</v>
      </c>
      <c r="U140" s="162">
        <v>65</v>
      </c>
      <c r="V140" s="164">
        <v>5</v>
      </c>
      <c r="W140" s="164">
        <v>1</v>
      </c>
      <c r="X140" s="164">
        <v>1</v>
      </c>
      <c r="Y140" s="164">
        <v>0</v>
      </c>
      <c r="Z140" s="198">
        <v>1</v>
      </c>
      <c r="AA140" s="171"/>
      <c r="AB140" s="173"/>
      <c r="AC140" s="173"/>
      <c r="AD140" s="173"/>
      <c r="AE140" s="173"/>
      <c r="AF140" s="199"/>
    </row>
    <row r="141" spans="1:55" x14ac:dyDescent="0.25">
      <c r="B141" s="242" t="s">
        <v>949</v>
      </c>
      <c r="D141" t="s">
        <v>1031</v>
      </c>
      <c r="E141" t="s">
        <v>1032</v>
      </c>
      <c r="F141" t="s">
        <v>958</v>
      </c>
      <c r="G141" t="s">
        <v>958</v>
      </c>
      <c r="H141" t="s">
        <v>962</v>
      </c>
    </row>
    <row r="142" spans="1:55" x14ac:dyDescent="0.25">
      <c r="A142" s="355" t="s">
        <v>997</v>
      </c>
      <c r="B142" s="241" t="s">
        <v>11</v>
      </c>
      <c r="D142">
        <f>COUNTIF(D$132:D$140,"=1")*$AK134+COUNTIF(D$132:D$140,"=2")*($AK134+$AL134)+COUNTIF(D$132:D$140,"=3")*($AK134+$AL134+$AM134)+COUNTIF(D$132:D$140,"=4")*($AK134+$AL134+$AM134+$AN134)+COUNTIF(D$132:D$140,"&gt;=5")*($AK134+$AL134+$AM134+$AN134+$AP134)</f>
        <v>1584</v>
      </c>
      <c r="E142">
        <f>COUNTIF(E$132:E$140,"&gt;=1")*$AO134</f>
        <v>144</v>
      </c>
      <c r="F142">
        <f>SUM(F$132:F$140)*$AQ134</f>
        <v>144</v>
      </c>
      <c r="G142">
        <f>SUM(G$132:G$140)*$AR134</f>
        <v>100</v>
      </c>
      <c r="H142">
        <f>COUNTIF(H$132:H$140,"&gt;=1")*$AJ134</f>
        <v>360</v>
      </c>
      <c r="J142">
        <f t="shared" ref="J142:AB144" si="143">COUNTIF(J$132:J$140,"=1")*$AK134+COUNTIF(J$132:J$140,"=2")*($AK134+$AL134)+COUNTIF(J$132:J$140,"=3")*($AK134+$AL134+$AM134)+COUNTIF(J$132:J$140,"=4")*($AK134+$AL134+$AM134+$AN134)+COUNTIF(J$132:J$140,"&gt;=5")*($AK134+$AL134+$AM134+$AN134+$AP134)</f>
        <v>1584</v>
      </c>
      <c r="K142">
        <f>COUNTIF(K$132:K$140,"&gt;=1")*$AO134</f>
        <v>144</v>
      </c>
      <c r="L142">
        <f t="shared" ref="L142" si="144">SUM(L$132:L$140)*$AQ134</f>
        <v>144</v>
      </c>
      <c r="M142">
        <f t="shared" ref="M142" si="145">SUM(M$132:M$140)*$AR134</f>
        <v>100</v>
      </c>
      <c r="N142">
        <f t="shared" ref="N142:AF144" si="146">COUNTIF(N$132:N$140,"&gt;=1")*$AJ134</f>
        <v>360</v>
      </c>
      <c r="P142">
        <f t="shared" ref="P142" si="147">COUNTIF(P$132:P$140,"=1")*$AK134+COUNTIF(P$132:P$140,"=2")*($AK134+$AL134)+COUNTIF(P$132:P$140,"=3")*($AK134+$AL134+$AM134)+COUNTIF(P$132:P$140,"=4")*($AK134+$AL134+$AM134+$AN134)+COUNTIF(P$132:P$140,"&gt;=5")*($AK134+$AL134+$AM134+$AN134+$AP134)</f>
        <v>1584</v>
      </c>
      <c r="Q142">
        <f>COUNTIF(Q$132:Q$140,"&gt;=1")*$AO134</f>
        <v>144</v>
      </c>
      <c r="R142">
        <f t="shared" ref="R142" si="148">SUM(R$132:R$140)*$AQ134</f>
        <v>144</v>
      </c>
      <c r="S142">
        <f t="shared" ref="S142" si="149">SUM(S$132:S$140)*$AR134</f>
        <v>100</v>
      </c>
      <c r="T142">
        <f t="shared" ref="T142" si="150">COUNTIF(T$132:T$140,"&gt;=1")*$AJ134</f>
        <v>360</v>
      </c>
      <c r="V142">
        <f t="shared" ref="V142" si="151">COUNTIF(V$132:V$140,"=1")*$AK134+COUNTIF(V$132:V$140,"=2")*($AK134+$AL134)+COUNTIF(V$132:V$140,"=3")*($AK134+$AL134+$AM134)+COUNTIF(V$132:V$140,"=4")*($AK134+$AL134+$AM134+$AN134)+COUNTIF(V$132:V$140,"&gt;=5")*($AK134+$AL134+$AM134+$AN134+$AP134)</f>
        <v>1584</v>
      </c>
      <c r="W142">
        <f>COUNTIF(W$132:W$140,"&gt;=1")*$AO134</f>
        <v>144</v>
      </c>
      <c r="X142">
        <f t="shared" ref="X142" si="152">SUM(X$132:X$140)*$AQ134</f>
        <v>144</v>
      </c>
      <c r="Y142">
        <f t="shared" ref="Y142" si="153">SUM(Y$132:Y$140)*$AR134</f>
        <v>100</v>
      </c>
      <c r="Z142">
        <f t="shared" ref="Z142" si="154">COUNTIF(Z$132:Z$140,"&gt;=1")*$AJ134</f>
        <v>360</v>
      </c>
      <c r="AB142">
        <f>COUNTIF(AB$132:AB$140,"=1")*$AK134+COUNTIF(AB$132:AB$140,"=2")*($AK134+$AL134)+COUNTIF(AB$132:AB$140,"=3")*($AK134+$AL134+$AM134)+COUNTIF(AB$132:AB$140,"=4")*($AK134+$AL134+$AM134+$AN134)+COUNTIF(AB$132:AB$140,"&gt;=5")*($AK134+$AL134+$AM134+$AN134+$AP134)</f>
        <v>1408</v>
      </c>
      <c r="AC142">
        <f>COUNTIF(AC$132:AC$140,"&gt;=1")*$AO134</f>
        <v>128</v>
      </c>
      <c r="AD142">
        <f t="shared" ref="AD142" si="155">SUM(AD$132:AD$140)*$AQ134</f>
        <v>128</v>
      </c>
      <c r="AE142">
        <f t="shared" ref="AE142" si="156">SUM(AE$132:AE$140)*$AR134</f>
        <v>100</v>
      </c>
      <c r="AF142">
        <f t="shared" ref="AF142" si="157">COUNTIF(AF$132:AF$140,"&gt;=1")*$AJ134</f>
        <v>320</v>
      </c>
    </row>
    <row r="143" spans="1:55" x14ac:dyDescent="0.25">
      <c r="A143" s="355"/>
      <c r="B143" s="241" t="s">
        <v>12</v>
      </c>
      <c r="D143">
        <f t="shared" ref="D143:D144" si="158">COUNTIF(D$132:D$140,"=1")*$AK135+COUNTIF(D$132:D$140,"=2")*($AK135+$AL135)+COUNTIF(D$132:D$140,"=3")*($AK135+$AL135+$AM135)+COUNTIF(D$132:D$140,"=4")*($AK135+$AL135+$AM135+$AN135)+COUNTIF(D$132:D$140,"&gt;=5")*($AK135+$AL135+$AM135+$AN135+$AP135)</f>
        <v>1170</v>
      </c>
      <c r="E143">
        <f t="shared" ref="E143:E144" si="159">COUNTIF(E$132:E$140,"&gt;=1")*$AO135</f>
        <v>90</v>
      </c>
      <c r="F143">
        <f>SUM(F$132:F$140)*$AQ135</f>
        <v>90</v>
      </c>
      <c r="G143">
        <f>SUM(G$132:G$140)*$AR135</f>
        <v>100</v>
      </c>
      <c r="H143">
        <f t="shared" ref="H143:H144" si="160">COUNTIF(H$132:H$140,"&gt;=1")*$AJ135</f>
        <v>270</v>
      </c>
      <c r="J143">
        <f t="shared" si="143"/>
        <v>1170</v>
      </c>
      <c r="K143">
        <f t="shared" ref="K143:K144" si="161">COUNTIF(K$132:K$140,"&gt;=1")*$AO135</f>
        <v>90</v>
      </c>
      <c r="L143">
        <f t="shared" ref="L143" si="162">SUM(L$132:L$140)*$AQ135</f>
        <v>90</v>
      </c>
      <c r="M143">
        <f t="shared" ref="M143" si="163">SUM(M$132:M$140)*$AR135</f>
        <v>100</v>
      </c>
      <c r="N143">
        <f t="shared" si="146"/>
        <v>270</v>
      </c>
      <c r="P143">
        <f t="shared" si="143"/>
        <v>1170</v>
      </c>
      <c r="Q143">
        <f t="shared" ref="Q143:Q144" si="164">COUNTIF(Q$132:Q$140,"&gt;=1")*$AO135</f>
        <v>90</v>
      </c>
      <c r="R143">
        <f t="shared" ref="R143" si="165">SUM(R$132:R$140)*$AQ135</f>
        <v>90</v>
      </c>
      <c r="S143">
        <f t="shared" ref="S143" si="166">SUM(S$132:S$140)*$AR135</f>
        <v>100</v>
      </c>
      <c r="T143">
        <f t="shared" si="146"/>
        <v>270</v>
      </c>
      <c r="V143">
        <f t="shared" si="143"/>
        <v>1170</v>
      </c>
      <c r="W143">
        <f t="shared" ref="W143:W144" si="167">COUNTIF(W$132:W$140,"&gt;=1")*$AO135</f>
        <v>90</v>
      </c>
      <c r="X143">
        <f t="shared" ref="X143" si="168">SUM(X$132:X$140)*$AQ135</f>
        <v>90</v>
      </c>
      <c r="Y143">
        <f t="shared" ref="Y143" si="169">SUM(Y$132:Y$140)*$AR135</f>
        <v>100</v>
      </c>
      <c r="Z143">
        <f t="shared" si="146"/>
        <v>270</v>
      </c>
      <c r="AB143">
        <f t="shared" si="143"/>
        <v>1040</v>
      </c>
      <c r="AC143">
        <f t="shared" ref="AC143:AC144" si="170">COUNTIF(AC$132:AC$140,"&gt;=1")*$AO135</f>
        <v>80</v>
      </c>
      <c r="AD143">
        <f t="shared" ref="AD143" si="171">SUM(AD$132:AD$140)*$AQ135</f>
        <v>80</v>
      </c>
      <c r="AE143">
        <f t="shared" ref="AE143" si="172">SUM(AE$132:AE$140)*$AR135</f>
        <v>100</v>
      </c>
      <c r="AF143">
        <f t="shared" si="146"/>
        <v>240</v>
      </c>
    </row>
    <row r="144" spans="1:55" x14ac:dyDescent="0.25">
      <c r="A144" s="355"/>
      <c r="B144" s="241" t="s">
        <v>851</v>
      </c>
      <c r="D144">
        <f t="shared" si="158"/>
        <v>63</v>
      </c>
      <c r="E144">
        <f t="shared" si="159"/>
        <v>63</v>
      </c>
      <c r="F144">
        <f>SUM(F$132:F$140)*$AQ136</f>
        <v>0</v>
      </c>
      <c r="G144">
        <f>SUM(G$132:G$140)*$AR136</f>
        <v>14</v>
      </c>
      <c r="H144">
        <f t="shared" si="160"/>
        <v>0</v>
      </c>
      <c r="J144">
        <f t="shared" si="143"/>
        <v>63</v>
      </c>
      <c r="K144">
        <f t="shared" si="161"/>
        <v>63</v>
      </c>
      <c r="L144">
        <f t="shared" ref="L144" si="173">SUM(L$132:L$140)*$AQ136</f>
        <v>0</v>
      </c>
      <c r="M144">
        <f t="shared" ref="M144" si="174">SUM(M$132:M$140)*$AR136</f>
        <v>14</v>
      </c>
      <c r="N144">
        <f t="shared" si="146"/>
        <v>0</v>
      </c>
      <c r="P144">
        <f t="shared" si="143"/>
        <v>63</v>
      </c>
      <c r="Q144">
        <f t="shared" si="164"/>
        <v>63</v>
      </c>
      <c r="R144">
        <f t="shared" ref="R144" si="175">SUM(R$132:R$140)*$AQ136</f>
        <v>0</v>
      </c>
      <c r="S144">
        <f t="shared" ref="S144" si="176">SUM(S$132:S$140)*$AR136</f>
        <v>14</v>
      </c>
      <c r="T144">
        <f t="shared" si="146"/>
        <v>0</v>
      </c>
      <c r="V144">
        <f t="shared" si="143"/>
        <v>63</v>
      </c>
      <c r="W144">
        <f t="shared" si="167"/>
        <v>63</v>
      </c>
      <c r="X144">
        <f t="shared" ref="X144" si="177">SUM(X$132:X$140)*$AQ136</f>
        <v>0</v>
      </c>
      <c r="Y144">
        <f t="shared" ref="Y144" si="178">SUM(Y$132:Y$140)*$AR136</f>
        <v>14</v>
      </c>
      <c r="Z144">
        <f t="shared" si="146"/>
        <v>0</v>
      </c>
      <c r="AB144">
        <f t="shared" si="143"/>
        <v>56</v>
      </c>
      <c r="AC144">
        <f t="shared" si="170"/>
        <v>56</v>
      </c>
      <c r="AD144">
        <f t="shared" ref="AD144" si="179">SUM(AD$132:AD$140)*$AQ136</f>
        <v>0</v>
      </c>
      <c r="AE144">
        <f t="shared" ref="AE144" si="180">SUM(AE$132:AE$140)*$AR136</f>
        <v>14</v>
      </c>
      <c r="AF144">
        <f t="shared" si="146"/>
        <v>0</v>
      </c>
    </row>
    <row r="145" spans="1:32" x14ac:dyDescent="0.25">
      <c r="A145" s="355"/>
      <c r="B145" s="241" t="s">
        <v>842</v>
      </c>
      <c r="D145">
        <f>COUNTIF(D$132:D$140,"=1")*$AK138+COUNTIF(D$132:D$140,"=2")*($AK138+$AL138)+COUNTIF(D$132:D$140,"=3")*($AK138+$AL138+$AM138)+COUNTIF(D$132:D$140,"=4")*($AK138+$AL138+$AM138+$AN138)+COUNTIF(D$132:D$140,"&gt;=5")*($AK138+$AL138+$AM138+$AN138+$AP138)</f>
        <v>36</v>
      </c>
      <c r="E145">
        <f>COUNTIF(E$132:E$140,"&gt;=1")*$AO138</f>
        <v>0</v>
      </c>
      <c r="F145">
        <f>SUM(F$132:F$140)*$AQ138</f>
        <v>0</v>
      </c>
      <c r="G145">
        <f>SUM(G$132:G$140)*$AR138</f>
        <v>0</v>
      </c>
      <c r="H145">
        <f>COUNTIF(H$132:H$140,"&gt;=1")*$AJ138</f>
        <v>9</v>
      </c>
      <c r="J145">
        <f>COUNTIF(J$132:J$140,"=1")*$AK138+COUNTIF(J$132:J$140,"=2")*($AK138+$AL138)+COUNTIF(J$132:J$140,"=3")*($AK138+$AL138+$AM138)+COUNTIF(J$132:J$140,"=4")*($AK138+$AL138+$AM138+$AN138)+COUNTIF(J$132:J$140,"&gt;=5")*($AK138+$AL138+$AM138+$AN138+$AP138)</f>
        <v>36</v>
      </c>
      <c r="K145">
        <f>COUNTIF(K$132:K$140,"&gt;=1")*$AO138</f>
        <v>0</v>
      </c>
      <c r="L145">
        <f>SUM(L$132:L$140)*$AQ138</f>
        <v>0</v>
      </c>
      <c r="M145">
        <f>SUM(M$132:M$140)*$AR138</f>
        <v>0</v>
      </c>
      <c r="N145">
        <f>COUNTIF(N$132:N$140,"&gt;=1")*$AJ138</f>
        <v>9</v>
      </c>
      <c r="P145">
        <f>COUNTIF(P$132:P$140,"=1")*$AK138+COUNTIF(P$132:P$140,"=2")*($AK138+$AL138)+COUNTIF(P$132:P$140,"=3")*($AK138+$AL138+$AM138)+COUNTIF(P$132:P$140,"=4")*($AK138+$AL138+$AM138+$AN138)+COUNTIF(P$132:P$140,"&gt;=5")*($AK138+$AL138+$AM138+$AN138+$AP138)</f>
        <v>36</v>
      </c>
      <c r="Q145">
        <f>COUNTIF(Q$132:Q$140,"&gt;=1")*$AO138</f>
        <v>0</v>
      </c>
      <c r="R145">
        <f>SUM(R$132:R$140)*$AQ138</f>
        <v>0</v>
      </c>
      <c r="S145">
        <f>SUM(S$132:S$140)*$AR138</f>
        <v>0</v>
      </c>
      <c r="T145">
        <f>COUNTIF(T$132:T$140,"&gt;=1")*$AJ138</f>
        <v>9</v>
      </c>
      <c r="V145">
        <f>COUNTIF(V$132:V$140,"=1")*$AK138+COUNTIF(V$132:V$140,"=2")*($AK138+$AL138)+COUNTIF(V$132:V$140,"=3")*($AK138+$AL138+$AM138)+COUNTIF(V$132:V$140,"=4")*($AK138+$AL138+$AM138+$AN138)+COUNTIF(V$132:V$140,"&gt;=5")*($AK138+$AL138+$AM138+$AN138+$AP138)</f>
        <v>36</v>
      </c>
      <c r="W145">
        <f>COUNTIF(W$132:W$140,"&gt;=1")*$AO138</f>
        <v>0</v>
      </c>
      <c r="X145">
        <f>SUM(X$132:X$140)*$AQ138</f>
        <v>0</v>
      </c>
      <c r="Y145">
        <f>SUM(Y$132:Y$140)*$AR138</f>
        <v>0</v>
      </c>
      <c r="Z145">
        <f>COUNTIF(Z$132:Z$140,"&gt;=1")*$AJ138</f>
        <v>9</v>
      </c>
      <c r="AB145">
        <f>COUNTIF(AB$132:AB$140,"=1")*$AK138+COUNTIF(AB$132:AB$140,"=2")*($AK138+$AL138)+COUNTIF(AB$132:AB$140,"=3")*($AK138+$AL138+$AM138)+COUNTIF(AB$132:AB$140,"=4")*($AK138+$AL138+$AM138+$AN138)+COUNTIF(AB$132:AB$140,"&gt;=5")*($AK138+$AL138+$AM138+$AN138+$AP138)</f>
        <v>32</v>
      </c>
      <c r="AC145">
        <f>COUNTIF(AC$132:AC$140,"&gt;=1")*$AO138</f>
        <v>0</v>
      </c>
      <c r="AD145">
        <f>SUM(AD$132:AD$140)*$AQ138</f>
        <v>0</v>
      </c>
      <c r="AE145">
        <f>SUM(AE$132:AE$140)*$AR138</f>
        <v>0</v>
      </c>
      <c r="AF145">
        <f>COUNTIF(AF$132:AF$140,"&gt;=1")*$AJ138</f>
        <v>8</v>
      </c>
    </row>
    <row r="146" spans="1:32" x14ac:dyDescent="0.25">
      <c r="A146" s="355"/>
      <c r="B146" s="123" t="s">
        <v>956</v>
      </c>
      <c r="D146">
        <f>COUNTIF(D$132:D$140,"=1")*$AK139+COUNTIF(D$132:D$140,"=2")*($AK139+$AL139)+COUNTIF(D$132:D$140,"=3")*($AK139+$AL139+$AM139)+COUNTIF(D$132:D$140,"=4")*($AK139+$AL139+$AM139+$AN139)+COUNTIF(D$132:D$140,"&gt;=5")*($AK139+$AL139+$AM139+$AN139+$AP139)</f>
        <v>9</v>
      </c>
      <c r="E146">
        <f>COUNTIF(E$132:E$140,"&gt;=1")*$AO139</f>
        <v>9</v>
      </c>
      <c r="F146">
        <f>SUM(F$132:F$140)*$AQ139</f>
        <v>9</v>
      </c>
      <c r="G146">
        <f>SUM(G$132:G$140)*$AR139</f>
        <v>30</v>
      </c>
      <c r="H146">
        <f>COUNTIF(H$132:H$140,"&gt;=1")*$AJ139</f>
        <v>0</v>
      </c>
      <c r="J146">
        <f>COUNTIF(J$132:J$140,"=1")*$AK139+COUNTIF(J$132:J$140,"=2")*($AK139+$AL139)+COUNTIF(J$132:J$140,"=3")*($AK139+$AL139+$AM139)+COUNTIF(J$132:J$140,"=4")*($AK139+$AL139+$AM139+$AN139)+COUNTIF(J$132:J$140,"&gt;=5")*($AK139+$AL139+$AM139+$AN139+$AP139)</f>
        <v>9</v>
      </c>
      <c r="K146">
        <f>COUNTIF(K$132:K$140,"&gt;=1")*$AO139</f>
        <v>9</v>
      </c>
      <c r="L146">
        <f>SUM(L$132:L$140)*$AQ139</f>
        <v>9</v>
      </c>
      <c r="M146">
        <f>SUM(M$132:M$140)*$AR139</f>
        <v>30</v>
      </c>
      <c r="N146">
        <f>COUNTIF(N$132:N$140,"&gt;=1")*$AJ139</f>
        <v>0</v>
      </c>
      <c r="P146">
        <f>COUNTIF(P$132:P$140,"=1")*$AK139+COUNTIF(P$132:P$140,"=2")*($AK139+$AL139)+COUNTIF(P$132:P$140,"=3")*($AK139+$AL139+$AM139)+COUNTIF(P$132:P$140,"=4")*($AK139+$AL139+$AM139+$AN139)+COUNTIF(P$132:P$140,"&gt;=5")*($AK139+$AL139+$AM139+$AN139+$AP139)</f>
        <v>9</v>
      </c>
      <c r="Q146">
        <f>COUNTIF(Q$132:Q$140,"&gt;=1")*$AO139</f>
        <v>9</v>
      </c>
      <c r="R146">
        <f>SUM(R$132:R$140)*$AQ139</f>
        <v>9</v>
      </c>
      <c r="S146">
        <f>SUM(S$132:S$140)*$AR139</f>
        <v>30</v>
      </c>
      <c r="T146">
        <f>COUNTIF(T$132:T$140,"&gt;=1")*$AJ139</f>
        <v>0</v>
      </c>
      <c r="V146">
        <f>COUNTIF(V$132:V$140,"=1")*$AK139+COUNTIF(V$132:V$140,"=2")*($AK139+$AL139)+COUNTIF(V$132:V$140,"=3")*($AK139+$AL139+$AM139)+COUNTIF(V$132:V$140,"=4")*($AK139+$AL139+$AM139+$AN139)+COUNTIF(V$132:V$140,"&gt;=5")*($AK139+$AL139+$AM139+$AN139+$AP139)</f>
        <v>9</v>
      </c>
      <c r="W146">
        <f>COUNTIF(W$132:W$140,"&gt;=1")*$AO139</f>
        <v>9</v>
      </c>
      <c r="X146">
        <f>SUM(X$132:X$140)*$AQ139</f>
        <v>9</v>
      </c>
      <c r="Y146">
        <f>SUM(Y$132:Y$140)*$AR139</f>
        <v>30</v>
      </c>
      <c r="Z146">
        <f>COUNTIF(Z$132:Z$140,"&gt;=1")*$AJ139</f>
        <v>0</v>
      </c>
      <c r="AB146">
        <f>COUNTIF(AB$132:AB$140,"=1")*$AK139+COUNTIF(AB$132:AB$140,"=2")*($AK139+$AL139)+COUNTIF(AB$132:AB$140,"=3")*($AK139+$AL139+$AM139)+COUNTIF(AB$132:AB$140,"=4")*($AK139+$AL139+$AM139+$AN139)+COUNTIF(AB$132:AB$140,"&gt;=5")*($AK139+$AL139+$AM139+$AN139+$AP139)</f>
        <v>8</v>
      </c>
      <c r="AC146">
        <f>COUNTIF(AC$132:AC$140,"&gt;=1")*$AO139</f>
        <v>8</v>
      </c>
      <c r="AD146">
        <f>SUM(AD$132:AD$140)*$AQ139</f>
        <v>8</v>
      </c>
      <c r="AE146">
        <f>SUM(AE$132:AE$140)*$AR139</f>
        <v>30</v>
      </c>
      <c r="AF146">
        <f>COUNTIF(AF$132:AF$140,"&gt;=1")*$AJ139</f>
        <v>0</v>
      </c>
    </row>
    <row r="147" spans="1:32" ht="13.8" customHeight="1" x14ac:dyDescent="0.25">
      <c r="A147" s="355" t="s">
        <v>960</v>
      </c>
      <c r="B147" s="241" t="s">
        <v>11</v>
      </c>
      <c r="D147">
        <f>COUNTIF(D$132:D$140,"=6")*($AS134)+COUNTIF(D$132:D$140,"=7")*($AS134+$AT134)+COUNTIF(D$132:D$140,"=8")*($AS134+$AT134+$AU134)+COUNTIF(D$132:D$140,"=9")*($AS134+$AT134+$AU134+AW134)</f>
        <v>224</v>
      </c>
      <c r="E147">
        <f>COUNTIF(E$132:E$140,"&gt;=2")*$AV134</f>
        <v>40</v>
      </c>
      <c r="H147">
        <f t="shared" ref="H147:H152" si="181">COUNTIF(H$132:H$140,"=2")*($AX134)+COUNTIF(H$132:H$140,"=3")*($AX134+$AY134)+COUNTIF(H$132:H$140,"=4")*($AX134+$AY134+$AZ134)</f>
        <v>0</v>
      </c>
      <c r="J147">
        <f>COUNTIF(J$132:J$140,"=6")*($AS134)+COUNTIF(J$132:J$140,"=7")*($AS134+$AT134)+COUNTIF(J$132:J$140,"=8")*($AS134+$AT134+$AU134)+COUNTIF(J$132:J$140,"=9")*($AS134+$AT134+$AU134+BC134)</f>
        <v>144</v>
      </c>
      <c r="K147">
        <f>COUNTIF(K$132:K$140,"&gt;=2")*$AV134</f>
        <v>0</v>
      </c>
      <c r="N147">
        <f t="shared" ref="N147:N152" si="182">COUNTIF(N$132:N$140,"=2")*($AX134)+COUNTIF(N$132:N$140,"=3")*($AX134+$AY134)+COUNTIF(N$132:N$140,"=4")*($AX134+$AY134+$AZ134)</f>
        <v>0</v>
      </c>
      <c r="P147">
        <f>COUNTIF(P$132:P$140,"=6")*($AS134)+COUNTIF(P$132:P$140,"=7")*($AS134+$AT134)+COUNTIF(P$132:P$140,"=8")*($AS134+$AT134+$AU134)+COUNTIF(P$132:P$140,"=9")*($AS134+$AT134+$AU134+BI134)</f>
        <v>144</v>
      </c>
      <c r="Q147">
        <f>COUNTIF(Q$132:Q$140,"&gt;=2")*$AV134</f>
        <v>0</v>
      </c>
      <c r="T147">
        <f t="shared" ref="T147:T152" si="183">COUNTIF(T$132:T$140,"=2")*($AX134)+COUNTIF(T$132:T$140,"=3")*($AX134+$AY134)+COUNTIF(T$132:T$140,"=4")*($AX134+$AY134+$AZ134)</f>
        <v>0</v>
      </c>
      <c r="V147">
        <f>COUNTIF(V$132:V$140,"=6")*($AS134)+COUNTIF(V$132:V$140,"=7")*($AS134+$AT134)+COUNTIF(V$132:V$140,"=8")*($AS134+$AT134+$AU134)+COUNTIF(V$132:V$140,"=9")*($AS134+$AT134+$AU134+BO134)</f>
        <v>144</v>
      </c>
      <c r="W147">
        <f>COUNTIF(W$132:W$140,"&gt;=2")*$AV134</f>
        <v>0</v>
      </c>
      <c r="Z147">
        <f t="shared" ref="Z147:Z152" si="184">COUNTIF(Z$132:Z$140,"=2")*($AX134)+COUNTIF(Z$132:Z$140,"=3")*($AX134+$AY134)+COUNTIF(Z$132:Z$140,"=4")*($AX134+$AY134+$AZ134)</f>
        <v>0</v>
      </c>
      <c r="AB147">
        <f>COUNTIF(AB$132:AB$140,"=6")*($AS134)+COUNTIF(AB$132:AB$140,"=7")*($AS134+$AT134)+COUNTIF(AB$132:AB$140,"=8")*($AS134+$AT134+$AU134)+COUNTIF(AB$132:AB$140,"=9")*($AS134+$AT134+$AU134+BU134)</f>
        <v>144</v>
      </c>
      <c r="AC147">
        <f>COUNTIF(AC$132:AC$140,"&gt;=2")*$AV134</f>
        <v>0</v>
      </c>
      <c r="AF147">
        <f t="shared" ref="AF147:AF152" si="185">COUNTIF(AF$132:AF$140,"=2")*($AX134)+COUNTIF(AF$132:AF$140,"=3")*($AX134+$AY134)+COUNTIF(AF$132:AF$140,"=4")*($AX134+$AY134+$AZ134)</f>
        <v>0</v>
      </c>
    </row>
    <row r="148" spans="1:32" x14ac:dyDescent="0.25">
      <c r="A148" s="355"/>
      <c r="B148" s="241" t="s">
        <v>12</v>
      </c>
      <c r="D148">
        <f t="shared" ref="D148:D151" si="186">COUNTIF(D$132:D$140,"=6")*($AS135)+COUNTIF(D$132:D$140,"=7")*($AS135+$AT135)+COUNTIF(D$132:D$140,"=8")*($AS135+$AT135+$AU135)+COUNTIF(D$132:D$140,"=9")*($AS135+$AT135+$AU135+AW135)</f>
        <v>160</v>
      </c>
      <c r="E148">
        <f t="shared" ref="E148:E152" si="187">COUNTIF(E$132:E$140,"&gt;=2")*$AV135</f>
        <v>30</v>
      </c>
      <c r="H148">
        <f t="shared" si="181"/>
        <v>0</v>
      </c>
      <c r="J148">
        <f t="shared" ref="J148:J152" si="188">COUNTIF(J$132:J$140,"=6")*($AS135)+COUNTIF(J$132:J$140,"=7")*($AS135+$AT135)+COUNTIF(J$132:J$140,"=8")*($AS135+$AT135+$AU135)+COUNTIF(J$132:J$140,"=9")*($AS135+$AT135+$AU135+BC135)</f>
        <v>90</v>
      </c>
      <c r="K148">
        <f t="shared" ref="K148:K152" si="189">COUNTIF(K$132:K$140,"&gt;=2")*$AV135</f>
        <v>0</v>
      </c>
      <c r="N148">
        <f t="shared" si="182"/>
        <v>0</v>
      </c>
      <c r="P148">
        <f t="shared" ref="P148:P152" si="190">COUNTIF(P$132:P$140,"=6")*($AS135)+COUNTIF(P$132:P$140,"=7")*($AS135+$AT135)+COUNTIF(P$132:P$140,"=8")*($AS135+$AT135+$AU135)+COUNTIF(P$132:P$140,"=9")*($AS135+$AT135+$AU135+BI135)</f>
        <v>90</v>
      </c>
      <c r="Q148">
        <f t="shared" ref="Q148:Q152" si="191">COUNTIF(Q$132:Q$140,"&gt;=2")*$AV135</f>
        <v>0</v>
      </c>
      <c r="T148">
        <f t="shared" si="183"/>
        <v>0</v>
      </c>
      <c r="V148">
        <f t="shared" ref="V148:V152" si="192">COUNTIF(V$132:V$140,"=6")*($AS135)+COUNTIF(V$132:V$140,"=7")*($AS135+$AT135)+COUNTIF(V$132:V$140,"=8")*($AS135+$AT135+$AU135)+COUNTIF(V$132:V$140,"=9")*($AS135+$AT135+$AU135+BO135)</f>
        <v>90</v>
      </c>
      <c r="W148">
        <f t="shared" ref="W148:W152" si="193">COUNTIF(W$132:W$140,"&gt;=2")*$AV135</f>
        <v>0</v>
      </c>
      <c r="Z148">
        <f t="shared" si="184"/>
        <v>0</v>
      </c>
      <c r="AB148">
        <f t="shared" ref="AB148:AB152" si="194">COUNTIF(AB$132:AB$140,"=6")*($AS135)+COUNTIF(AB$132:AB$140,"=7")*($AS135+$AT135)+COUNTIF(AB$132:AB$140,"=8")*($AS135+$AT135+$AU135)+COUNTIF(AB$132:AB$140,"=9")*($AS135+$AT135+$AU135+BU135)</f>
        <v>90</v>
      </c>
      <c r="AC148">
        <f t="shared" ref="AC148:AC152" si="195">COUNTIF(AC$132:AC$140,"&gt;=2")*$AV135</f>
        <v>0</v>
      </c>
      <c r="AF148">
        <f t="shared" si="185"/>
        <v>0</v>
      </c>
    </row>
    <row r="149" spans="1:32" x14ac:dyDescent="0.25">
      <c r="A149" s="355"/>
      <c r="B149" s="241" t="s">
        <v>851</v>
      </c>
      <c r="D149">
        <f t="shared" si="186"/>
        <v>93</v>
      </c>
      <c r="E149">
        <f t="shared" si="187"/>
        <v>10</v>
      </c>
      <c r="H149">
        <f t="shared" si="181"/>
        <v>0</v>
      </c>
      <c r="J149">
        <f t="shared" si="188"/>
        <v>63</v>
      </c>
      <c r="K149">
        <f t="shared" si="189"/>
        <v>0</v>
      </c>
      <c r="N149">
        <f t="shared" si="182"/>
        <v>0</v>
      </c>
      <c r="P149">
        <f t="shared" si="190"/>
        <v>63</v>
      </c>
      <c r="Q149">
        <f t="shared" si="191"/>
        <v>0</v>
      </c>
      <c r="T149">
        <f t="shared" si="183"/>
        <v>0</v>
      </c>
      <c r="V149">
        <f t="shared" si="192"/>
        <v>63</v>
      </c>
      <c r="W149">
        <f t="shared" si="193"/>
        <v>0</v>
      </c>
      <c r="Z149">
        <f t="shared" si="184"/>
        <v>0</v>
      </c>
      <c r="AB149">
        <f t="shared" si="194"/>
        <v>63</v>
      </c>
      <c r="AC149">
        <f t="shared" si="195"/>
        <v>0</v>
      </c>
      <c r="AF149">
        <f t="shared" si="185"/>
        <v>0</v>
      </c>
    </row>
    <row r="150" spans="1:32" x14ac:dyDescent="0.25">
      <c r="A150" s="355"/>
      <c r="B150" s="301" t="s">
        <v>1030</v>
      </c>
      <c r="D150">
        <f t="shared" si="186"/>
        <v>20</v>
      </c>
      <c r="E150">
        <f t="shared" si="187"/>
        <v>10</v>
      </c>
      <c r="H150">
        <f t="shared" si="181"/>
        <v>0</v>
      </c>
      <c r="J150">
        <f t="shared" si="188"/>
        <v>0</v>
      </c>
      <c r="K150">
        <f t="shared" si="189"/>
        <v>0</v>
      </c>
      <c r="N150">
        <f t="shared" si="182"/>
        <v>0</v>
      </c>
      <c r="P150">
        <f t="shared" si="190"/>
        <v>0</v>
      </c>
      <c r="Q150">
        <f t="shared" si="191"/>
        <v>0</v>
      </c>
      <c r="T150">
        <f t="shared" si="183"/>
        <v>0</v>
      </c>
      <c r="V150">
        <f t="shared" si="192"/>
        <v>0</v>
      </c>
      <c r="W150">
        <f t="shared" si="193"/>
        <v>0</v>
      </c>
      <c r="Z150">
        <f t="shared" si="184"/>
        <v>0</v>
      </c>
      <c r="AB150">
        <f t="shared" si="194"/>
        <v>0</v>
      </c>
      <c r="AC150">
        <f t="shared" si="195"/>
        <v>0</v>
      </c>
      <c r="AF150">
        <f t="shared" si="185"/>
        <v>0</v>
      </c>
    </row>
    <row r="151" spans="1:32" x14ac:dyDescent="0.25">
      <c r="A151" s="355"/>
      <c r="B151" s="241" t="s">
        <v>842</v>
      </c>
      <c r="D151">
        <f t="shared" si="186"/>
        <v>0</v>
      </c>
      <c r="E151">
        <f t="shared" si="187"/>
        <v>0</v>
      </c>
      <c r="H151">
        <f t="shared" si="181"/>
        <v>0</v>
      </c>
      <c r="J151">
        <f t="shared" si="188"/>
        <v>0</v>
      </c>
      <c r="K151">
        <f t="shared" si="189"/>
        <v>0</v>
      </c>
      <c r="N151">
        <f t="shared" si="182"/>
        <v>0</v>
      </c>
      <c r="P151">
        <f t="shared" si="190"/>
        <v>0</v>
      </c>
      <c r="Q151">
        <f t="shared" si="191"/>
        <v>0</v>
      </c>
      <c r="T151">
        <f t="shared" si="183"/>
        <v>0</v>
      </c>
      <c r="V151">
        <f t="shared" si="192"/>
        <v>0</v>
      </c>
      <c r="W151">
        <f t="shared" si="193"/>
        <v>0</v>
      </c>
      <c r="Z151">
        <f t="shared" si="184"/>
        <v>0</v>
      </c>
      <c r="AB151">
        <f t="shared" si="194"/>
        <v>0</v>
      </c>
      <c r="AC151">
        <f t="shared" si="195"/>
        <v>0</v>
      </c>
      <c r="AF151">
        <f t="shared" si="185"/>
        <v>0</v>
      </c>
    </row>
    <row r="152" spans="1:32" x14ac:dyDescent="0.25">
      <c r="A152" s="355"/>
      <c r="B152" s="241" t="s">
        <v>956</v>
      </c>
      <c r="D152">
        <f>COUNTIF(D$132:D$140,"=6")*($AS139)+COUNTIF(D$132:D$140,"=7")*($AS139+$AT139)+COUNTIF(D$132:D$140,"=8")*($AS139+$AT139+$AU139)+COUNTIF(D$132:D$140,"=9")*($AS139+$AT139+$AU139+AW139)</f>
        <v>29</v>
      </c>
      <c r="E152">
        <f t="shared" si="187"/>
        <v>10</v>
      </c>
      <c r="H152">
        <f t="shared" si="181"/>
        <v>0</v>
      </c>
      <c r="J152">
        <f t="shared" si="188"/>
        <v>9</v>
      </c>
      <c r="K152">
        <f t="shared" si="189"/>
        <v>0</v>
      </c>
      <c r="N152">
        <f t="shared" si="182"/>
        <v>0</v>
      </c>
      <c r="P152">
        <f t="shared" si="190"/>
        <v>9</v>
      </c>
      <c r="Q152">
        <f t="shared" si="191"/>
        <v>0</v>
      </c>
      <c r="T152">
        <f t="shared" si="183"/>
        <v>0</v>
      </c>
      <c r="V152">
        <f t="shared" si="192"/>
        <v>9</v>
      </c>
      <c r="W152">
        <f t="shared" si="193"/>
        <v>0</v>
      </c>
      <c r="Z152">
        <f t="shared" si="184"/>
        <v>0</v>
      </c>
      <c r="AB152">
        <f t="shared" si="194"/>
        <v>9</v>
      </c>
      <c r="AC152">
        <f t="shared" si="195"/>
        <v>0</v>
      </c>
      <c r="AF152">
        <f t="shared" si="185"/>
        <v>0</v>
      </c>
    </row>
    <row r="153" spans="1:32" ht="13.95" customHeight="1" x14ac:dyDescent="0.25"/>
    <row r="154" spans="1:32" x14ac:dyDescent="0.25">
      <c r="B154" s="200" t="s">
        <v>866</v>
      </c>
      <c r="C154" s="356">
        <v>2</v>
      </c>
      <c r="D154" s="320"/>
      <c r="E154" s="321"/>
      <c r="F154" s="356">
        <v>3</v>
      </c>
      <c r="G154" s="320"/>
      <c r="H154" s="321"/>
      <c r="I154" s="356">
        <v>4</v>
      </c>
      <c r="J154" s="320"/>
      <c r="K154" s="321"/>
      <c r="L154" s="356">
        <v>5</v>
      </c>
      <c r="M154" s="320"/>
      <c r="N154" s="321"/>
      <c r="O154" s="357" t="s">
        <v>296</v>
      </c>
      <c r="P154" s="358"/>
    </row>
    <row r="155" spans="1:32" x14ac:dyDescent="0.25">
      <c r="B155" s="133" t="s">
        <v>867</v>
      </c>
      <c r="C155" s="122" t="s">
        <v>5</v>
      </c>
      <c r="D155" s="13" t="s">
        <v>813</v>
      </c>
      <c r="E155" s="134" t="s">
        <v>814</v>
      </c>
      <c r="F155" s="122" t="s">
        <v>5</v>
      </c>
      <c r="G155" s="13" t="s">
        <v>813</v>
      </c>
      <c r="H155" s="134" t="s">
        <v>814</v>
      </c>
      <c r="I155" s="122" t="s">
        <v>5</v>
      </c>
      <c r="J155" s="13" t="s">
        <v>813</v>
      </c>
      <c r="K155" s="134" t="s">
        <v>814</v>
      </c>
      <c r="L155" s="122" t="s">
        <v>5</v>
      </c>
      <c r="M155" s="13" t="s">
        <v>813</v>
      </c>
      <c r="N155" s="134" t="s">
        <v>814</v>
      </c>
      <c r="O155" s="122" t="s">
        <v>5</v>
      </c>
      <c r="P155" s="13" t="s">
        <v>813</v>
      </c>
    </row>
    <row r="156" spans="1:32" x14ac:dyDescent="0.25">
      <c r="B156" s="14" t="s">
        <v>1</v>
      </c>
      <c r="C156" s="120">
        <v>10</v>
      </c>
      <c r="D156" s="10">
        <v>4</v>
      </c>
      <c r="E156" s="9">
        <v>4</v>
      </c>
      <c r="F156" s="120">
        <v>20</v>
      </c>
      <c r="G156" s="10">
        <v>4</v>
      </c>
      <c r="H156" s="9">
        <v>4</v>
      </c>
      <c r="I156" s="120">
        <v>30</v>
      </c>
      <c r="J156" s="10">
        <v>4</v>
      </c>
      <c r="K156" s="9">
        <v>4</v>
      </c>
      <c r="L156" s="120">
        <v>50</v>
      </c>
      <c r="M156" s="10">
        <v>4</v>
      </c>
      <c r="N156" s="9">
        <v>4</v>
      </c>
      <c r="O156" s="120">
        <v>50</v>
      </c>
      <c r="P156" s="10">
        <v>4</v>
      </c>
    </row>
    <row r="157" spans="1:32" x14ac:dyDescent="0.25">
      <c r="B157" s="14" t="s">
        <v>806</v>
      </c>
      <c r="C157" s="121"/>
      <c r="D157" s="7"/>
      <c r="E157" s="12"/>
      <c r="F157" s="121">
        <v>20</v>
      </c>
      <c r="G157" s="7">
        <v>4</v>
      </c>
      <c r="H157" s="12">
        <v>4</v>
      </c>
      <c r="I157" s="121">
        <v>30</v>
      </c>
      <c r="J157" s="7">
        <v>4</v>
      </c>
      <c r="K157" s="12">
        <v>4</v>
      </c>
      <c r="L157" s="121">
        <v>50</v>
      </c>
      <c r="M157" s="7">
        <v>4</v>
      </c>
      <c r="N157" s="12">
        <v>4</v>
      </c>
      <c r="O157" s="121">
        <v>50</v>
      </c>
      <c r="P157" s="7">
        <v>4</v>
      </c>
    </row>
    <row r="158" spans="1:32" x14ac:dyDescent="0.25">
      <c r="B158" s="14" t="s">
        <v>807</v>
      </c>
      <c r="C158" s="121"/>
      <c r="D158" s="7"/>
      <c r="E158" s="12"/>
      <c r="F158" s="121">
        <v>20</v>
      </c>
      <c r="G158" s="7">
        <v>4</v>
      </c>
      <c r="H158" s="12">
        <v>4</v>
      </c>
      <c r="I158" s="121">
        <v>30</v>
      </c>
      <c r="J158" s="7">
        <v>4</v>
      </c>
      <c r="K158" s="12">
        <v>4</v>
      </c>
      <c r="L158" s="121">
        <v>50</v>
      </c>
      <c r="M158" s="7">
        <v>4</v>
      </c>
      <c r="N158" s="12">
        <v>4</v>
      </c>
      <c r="O158" s="121">
        <v>50</v>
      </c>
      <c r="P158" s="7">
        <v>4</v>
      </c>
    </row>
    <row r="159" spans="1:32" x14ac:dyDescent="0.25">
      <c r="B159" s="200" t="s">
        <v>808</v>
      </c>
      <c r="C159" s="120"/>
      <c r="D159" s="10"/>
      <c r="E159" s="9"/>
      <c r="F159" s="120">
        <v>20</v>
      </c>
      <c r="G159" s="10">
        <v>4</v>
      </c>
      <c r="H159" s="9">
        <v>4</v>
      </c>
      <c r="I159" s="120">
        <v>30</v>
      </c>
      <c r="J159" s="10">
        <v>4</v>
      </c>
      <c r="K159" s="9">
        <v>4</v>
      </c>
      <c r="L159" s="120">
        <v>50</v>
      </c>
      <c r="M159" s="10">
        <v>4</v>
      </c>
      <c r="N159" s="9">
        <v>4</v>
      </c>
      <c r="O159" s="120">
        <v>50</v>
      </c>
      <c r="P159" s="10">
        <v>4</v>
      </c>
    </row>
    <row r="160" spans="1:32" x14ac:dyDescent="0.25">
      <c r="B160" s="14" t="s">
        <v>809</v>
      </c>
      <c r="C160" s="121"/>
      <c r="D160" s="7"/>
      <c r="E160" s="12"/>
      <c r="F160" s="121">
        <v>20</v>
      </c>
      <c r="G160" s="7">
        <v>4</v>
      </c>
      <c r="H160" s="12">
        <v>4</v>
      </c>
      <c r="I160" s="121">
        <v>30</v>
      </c>
      <c r="J160" s="7">
        <v>4</v>
      </c>
      <c r="K160" s="12">
        <v>4</v>
      </c>
      <c r="L160" s="121">
        <v>50</v>
      </c>
      <c r="M160" s="7">
        <v>4</v>
      </c>
      <c r="N160" s="12">
        <v>4</v>
      </c>
      <c r="O160" s="121">
        <v>50</v>
      </c>
      <c r="P160" s="7">
        <v>4</v>
      </c>
    </row>
    <row r="161" spans="2:16" x14ac:dyDescent="0.25">
      <c r="B161" s="133" t="s">
        <v>810</v>
      </c>
      <c r="C161" s="122"/>
      <c r="D161" s="8"/>
      <c r="E161" s="11"/>
      <c r="F161" s="122">
        <v>20</v>
      </c>
      <c r="G161" s="8">
        <v>4</v>
      </c>
      <c r="H161" s="11">
        <v>4</v>
      </c>
      <c r="I161" s="122">
        <v>30</v>
      </c>
      <c r="J161" s="8">
        <v>4</v>
      </c>
      <c r="K161" s="11">
        <v>4</v>
      </c>
      <c r="L161" s="122">
        <v>50</v>
      </c>
      <c r="M161" s="8">
        <v>4</v>
      </c>
      <c r="N161" s="11">
        <v>4</v>
      </c>
      <c r="O161" s="122">
        <v>50</v>
      </c>
      <c r="P161" s="8">
        <v>4</v>
      </c>
    </row>
    <row r="162" spans="2:16" x14ac:dyDescent="0.25">
      <c r="B162" s="14" t="s">
        <v>811</v>
      </c>
      <c r="C162" s="121"/>
      <c r="D162" s="7"/>
      <c r="E162" s="12"/>
      <c r="F162" s="121">
        <v>20</v>
      </c>
      <c r="G162" s="7">
        <v>4</v>
      </c>
      <c r="H162" s="12">
        <v>4</v>
      </c>
      <c r="I162" s="121">
        <v>30</v>
      </c>
      <c r="J162" s="7">
        <v>4</v>
      </c>
      <c r="K162" s="12">
        <v>4</v>
      </c>
      <c r="L162" s="121">
        <v>50</v>
      </c>
      <c r="M162" s="7">
        <v>4</v>
      </c>
      <c r="N162" s="12">
        <v>4</v>
      </c>
      <c r="O162" s="121">
        <v>50</v>
      </c>
      <c r="P162" s="7">
        <v>4</v>
      </c>
    </row>
    <row r="163" spans="2:16" x14ac:dyDescent="0.25">
      <c r="B163" s="14" t="s">
        <v>812</v>
      </c>
      <c r="C163" s="121"/>
      <c r="D163" s="7"/>
      <c r="E163" s="12"/>
      <c r="F163" s="121">
        <v>20</v>
      </c>
      <c r="G163" s="7">
        <v>4</v>
      </c>
      <c r="H163" s="12">
        <v>4</v>
      </c>
      <c r="I163" s="121">
        <v>30</v>
      </c>
      <c r="J163" s="7">
        <v>4</v>
      </c>
      <c r="K163" s="12">
        <v>4</v>
      </c>
      <c r="L163" s="121">
        <v>50</v>
      </c>
      <c r="M163" s="7">
        <v>4</v>
      </c>
      <c r="N163" s="12">
        <v>4</v>
      </c>
      <c r="O163" s="121">
        <v>50</v>
      </c>
      <c r="P163" s="7">
        <v>4</v>
      </c>
    </row>
    <row r="164" spans="2:16" x14ac:dyDescent="0.25">
      <c r="B164" s="133" t="s">
        <v>820</v>
      </c>
      <c r="C164" s="122"/>
      <c r="D164" s="8"/>
      <c r="E164" s="11"/>
      <c r="F164" s="122"/>
      <c r="G164" s="8"/>
      <c r="H164" s="11"/>
      <c r="I164" s="122">
        <v>30</v>
      </c>
      <c r="J164" s="8">
        <v>4</v>
      </c>
      <c r="K164" s="11">
        <v>4</v>
      </c>
      <c r="L164" s="122">
        <v>50</v>
      </c>
      <c r="M164" s="8">
        <v>4</v>
      </c>
      <c r="N164" s="11">
        <v>4</v>
      </c>
      <c r="O164" s="122"/>
      <c r="P164" s="8"/>
    </row>
  </sheetData>
  <mergeCells count="42">
    <mergeCell ref="AD3:AE3"/>
    <mergeCell ref="A119:A123"/>
    <mergeCell ref="A124:A128"/>
    <mergeCell ref="A142:A146"/>
    <mergeCell ref="A15:A19"/>
    <mergeCell ref="A20:A24"/>
    <mergeCell ref="A100:A102"/>
    <mergeCell ref="A103:A105"/>
    <mergeCell ref="AA130:AF130"/>
    <mergeCell ref="U107:Z107"/>
    <mergeCell ref="AA107:AF107"/>
    <mergeCell ref="U88:Z88"/>
    <mergeCell ref="AA88:AF88"/>
    <mergeCell ref="O130:T130"/>
    <mergeCell ref="U130:Z130"/>
    <mergeCell ref="BI28:BM28"/>
    <mergeCell ref="BD28:BH28"/>
    <mergeCell ref="W3:AA3"/>
    <mergeCell ref="L154:N154"/>
    <mergeCell ref="C3:G3"/>
    <mergeCell ref="H3:L3"/>
    <mergeCell ref="M3:Q3"/>
    <mergeCell ref="R3:V3"/>
    <mergeCell ref="I154:K154"/>
    <mergeCell ref="C27:Q27"/>
    <mergeCell ref="C39:S39"/>
    <mergeCell ref="C51:R51"/>
    <mergeCell ref="C63:Q63"/>
    <mergeCell ref="C75:P75"/>
    <mergeCell ref="C130:H130"/>
    <mergeCell ref="I130:N130"/>
    <mergeCell ref="A147:A152"/>
    <mergeCell ref="F154:H154"/>
    <mergeCell ref="C154:E154"/>
    <mergeCell ref="O154:P154"/>
    <mergeCell ref="X27:AE27"/>
    <mergeCell ref="C88:H88"/>
    <mergeCell ref="I88:N88"/>
    <mergeCell ref="O88:T88"/>
    <mergeCell ref="C107:H107"/>
    <mergeCell ref="I107:N107"/>
    <mergeCell ref="O107:T107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EB63-F53B-4BF8-BDE0-9EAAD6322A3B}">
  <dimension ref="B1:S256"/>
  <sheetViews>
    <sheetView zoomScale="80" zoomScaleNormal="80" workbookViewId="0">
      <pane ySplit="1" topLeftCell="A228" activePane="bottomLeft" state="frozen"/>
      <selection pane="bottomLeft" activeCell="G256" sqref="G256"/>
    </sheetView>
  </sheetViews>
  <sheetFormatPr defaultColWidth="8.88671875" defaultRowHeight="13.8" x14ac:dyDescent="0.25"/>
  <cols>
    <col min="1" max="1" width="8.88671875" style="2"/>
    <col min="2" max="3" width="3.5546875" style="2" customWidth="1"/>
    <col min="4" max="4" width="3.21875" style="2" bestFit="1" customWidth="1"/>
    <col min="5" max="5" width="31.33203125" style="2" bestFit="1" customWidth="1"/>
    <col min="6" max="6" width="3.77734375" customWidth="1"/>
    <col min="7" max="7" width="3.6640625" style="2" bestFit="1" customWidth="1"/>
    <col min="8" max="8" width="3.5546875" style="2" bestFit="1" customWidth="1"/>
    <col min="9" max="9" width="14.33203125" style="2" customWidth="1"/>
    <col min="10" max="10" width="4" style="2" customWidth="1"/>
    <col min="11" max="11" width="10.88671875" style="2" customWidth="1"/>
    <col min="12" max="12" width="4.6640625" style="57" customWidth="1"/>
    <col min="13" max="13" width="14.77734375" style="2" bestFit="1" customWidth="1"/>
    <col min="14" max="14" width="14.77734375" style="2" customWidth="1"/>
    <col min="15" max="15" width="8" style="2" bestFit="1" customWidth="1"/>
    <col min="16" max="16" width="8.88671875" style="2"/>
    <col min="17" max="17" width="19.44140625" style="2" customWidth="1"/>
    <col min="18" max="18" width="18.44140625" style="2" bestFit="1" customWidth="1"/>
    <col min="19" max="19" width="17.88671875" style="2" bestFit="1" customWidth="1"/>
    <col min="20" max="16384" width="8.88671875" style="2"/>
  </cols>
  <sheetData>
    <row r="1" spans="2:19" ht="72" customHeight="1" x14ac:dyDescent="0.25">
      <c r="B1" s="6" t="s">
        <v>306</v>
      </c>
      <c r="C1" s="6" t="s">
        <v>307</v>
      </c>
      <c r="D1" s="6" t="s">
        <v>308</v>
      </c>
      <c r="E1" s="6" t="s">
        <v>309</v>
      </c>
      <c r="F1" s="114" t="s">
        <v>645</v>
      </c>
      <c r="G1" s="6" t="s">
        <v>310</v>
      </c>
      <c r="H1" s="6" t="s">
        <v>311</v>
      </c>
      <c r="I1" s="59" t="s">
        <v>305</v>
      </c>
      <c r="J1" s="59" t="s">
        <v>648</v>
      </c>
      <c r="K1" s="6" t="s">
        <v>312</v>
      </c>
      <c r="L1" s="58" t="s">
        <v>313</v>
      </c>
      <c r="M1" s="115" t="s">
        <v>646</v>
      </c>
      <c r="N1" s="6" t="s">
        <v>314</v>
      </c>
      <c r="O1" s="6" t="s">
        <v>315</v>
      </c>
      <c r="Q1" s="116" t="s">
        <v>984</v>
      </c>
      <c r="R1" s="116" t="s">
        <v>985</v>
      </c>
      <c r="S1" s="116" t="s">
        <v>986</v>
      </c>
    </row>
    <row r="2" spans="2:19" x14ac:dyDescent="0.25">
      <c r="B2" s="2">
        <v>0</v>
      </c>
      <c r="C2" s="2">
        <v>60</v>
      </c>
      <c r="D2" s="2">
        <v>2</v>
      </c>
      <c r="E2" s="2" t="s">
        <v>400</v>
      </c>
      <c r="F2" s="2">
        <v>4</v>
      </c>
      <c r="G2" s="2">
        <v>4</v>
      </c>
      <c r="I2" s="117" t="s">
        <v>20</v>
      </c>
      <c r="J2" s="2">
        <v>15</v>
      </c>
      <c r="L2" s="57">
        <v>4</v>
      </c>
      <c r="M2" s="46" t="s">
        <v>647</v>
      </c>
    </row>
    <row r="3" spans="2:19" x14ac:dyDescent="0.25">
      <c r="B3" s="2">
        <v>0</v>
      </c>
      <c r="C3" s="2">
        <v>43</v>
      </c>
      <c r="D3" s="2">
        <v>3</v>
      </c>
      <c r="E3" s="2" t="s">
        <v>381</v>
      </c>
      <c r="F3" s="2">
        <v>4</v>
      </c>
      <c r="G3" s="2">
        <v>3</v>
      </c>
      <c r="I3" s="117" t="s">
        <v>20</v>
      </c>
      <c r="J3" s="2">
        <v>15</v>
      </c>
      <c r="L3" s="57">
        <v>5</v>
      </c>
      <c r="M3" s="46" t="s">
        <v>647</v>
      </c>
    </row>
    <row r="4" spans="2:19" x14ac:dyDescent="0.25">
      <c r="B4" s="2">
        <v>0</v>
      </c>
      <c r="C4" s="2">
        <v>24</v>
      </c>
      <c r="D4" s="2">
        <v>4</v>
      </c>
      <c r="E4" s="2" t="s">
        <v>356</v>
      </c>
      <c r="F4" s="2">
        <v>4</v>
      </c>
      <c r="G4" s="2">
        <v>1</v>
      </c>
      <c r="I4" s="117" t="s">
        <v>20</v>
      </c>
      <c r="J4" s="2">
        <v>15</v>
      </c>
      <c r="L4" s="57">
        <v>6</v>
      </c>
    </row>
    <row r="5" spans="2:19" x14ac:dyDescent="0.25">
      <c r="B5" s="2">
        <v>0</v>
      </c>
      <c r="C5" s="2">
        <v>12</v>
      </c>
      <c r="D5" s="2">
        <v>4</v>
      </c>
      <c r="E5" s="2" t="s">
        <v>336</v>
      </c>
      <c r="F5" s="2">
        <v>4</v>
      </c>
      <c r="G5" s="2">
        <v>1</v>
      </c>
      <c r="I5" s="117" t="s">
        <v>20</v>
      </c>
      <c r="J5" s="2">
        <v>15</v>
      </c>
      <c r="K5" s="46" t="s">
        <v>669</v>
      </c>
      <c r="L5" s="57">
        <v>8</v>
      </c>
      <c r="M5" s="46" t="s">
        <v>21</v>
      </c>
    </row>
    <row r="6" spans="2:19" x14ac:dyDescent="0.25">
      <c r="B6" s="2">
        <v>0</v>
      </c>
      <c r="C6" s="2">
        <v>9</v>
      </c>
      <c r="D6" s="2">
        <v>5</v>
      </c>
      <c r="E6" s="2" t="s">
        <v>332</v>
      </c>
      <c r="F6" s="2">
        <v>4</v>
      </c>
      <c r="G6" s="2">
        <v>3</v>
      </c>
      <c r="I6" s="117" t="s">
        <v>20</v>
      </c>
      <c r="J6" s="2">
        <v>15</v>
      </c>
      <c r="K6" s="2" t="s">
        <v>104</v>
      </c>
      <c r="L6" s="57">
        <v>10</v>
      </c>
    </row>
    <row r="7" spans="2:19" x14ac:dyDescent="0.25">
      <c r="B7" s="2">
        <v>0</v>
      </c>
      <c r="C7" s="2">
        <v>63</v>
      </c>
      <c r="D7" s="2">
        <v>2</v>
      </c>
      <c r="E7" s="2" t="s">
        <v>403</v>
      </c>
      <c r="F7" s="2">
        <v>4</v>
      </c>
      <c r="G7" s="2">
        <v>4</v>
      </c>
      <c r="I7" s="117" t="s">
        <v>627</v>
      </c>
      <c r="J7" s="2">
        <v>40</v>
      </c>
      <c r="L7" s="57">
        <v>15</v>
      </c>
      <c r="M7" s="46" t="s">
        <v>665</v>
      </c>
    </row>
    <row r="8" spans="2:19" x14ac:dyDescent="0.25">
      <c r="B8" s="2">
        <v>0</v>
      </c>
      <c r="C8" s="2">
        <v>42</v>
      </c>
      <c r="D8" s="2">
        <v>3</v>
      </c>
      <c r="E8" s="2" t="s">
        <v>380</v>
      </c>
      <c r="F8" s="2">
        <v>4</v>
      </c>
      <c r="G8" s="2">
        <v>3</v>
      </c>
      <c r="I8" s="117" t="s">
        <v>624</v>
      </c>
      <c r="J8" s="2">
        <v>25</v>
      </c>
      <c r="L8" s="57">
        <v>13</v>
      </c>
      <c r="M8" s="46" t="s">
        <v>647</v>
      </c>
    </row>
    <row r="9" spans="2:19" x14ac:dyDescent="0.25">
      <c r="B9" s="2">
        <v>0</v>
      </c>
      <c r="C9" s="2">
        <v>52</v>
      </c>
      <c r="D9" s="2">
        <v>3</v>
      </c>
      <c r="E9" s="2" t="s">
        <v>391</v>
      </c>
      <c r="F9" s="2">
        <v>4</v>
      </c>
      <c r="G9" s="2">
        <v>1</v>
      </c>
      <c r="I9" s="117" t="s">
        <v>624</v>
      </c>
      <c r="J9" s="2">
        <v>25</v>
      </c>
      <c r="L9" s="57">
        <v>15</v>
      </c>
      <c r="M9" s="46" t="s">
        <v>647</v>
      </c>
    </row>
    <row r="10" spans="2:19" x14ac:dyDescent="0.25">
      <c r="B10" s="2">
        <v>0</v>
      </c>
      <c r="C10" s="2">
        <v>64</v>
      </c>
      <c r="D10" s="2">
        <v>2</v>
      </c>
      <c r="E10" s="2" t="s">
        <v>404</v>
      </c>
      <c r="F10" s="2">
        <v>4</v>
      </c>
      <c r="G10" s="2">
        <v>4</v>
      </c>
      <c r="I10" s="117" t="s">
        <v>18</v>
      </c>
      <c r="J10" s="2">
        <v>20</v>
      </c>
      <c r="L10" s="57">
        <v>5</v>
      </c>
    </row>
    <row r="11" spans="2:19" x14ac:dyDescent="0.25">
      <c r="B11" s="2">
        <v>0</v>
      </c>
      <c r="C11" s="2">
        <v>38</v>
      </c>
      <c r="D11" s="2">
        <v>3</v>
      </c>
      <c r="E11" s="2" t="s">
        <v>376</v>
      </c>
      <c r="F11" s="2">
        <v>4</v>
      </c>
      <c r="G11" s="2">
        <v>4</v>
      </c>
      <c r="I11" s="117" t="s">
        <v>18</v>
      </c>
      <c r="J11" s="2">
        <v>20</v>
      </c>
      <c r="L11" s="57">
        <v>8</v>
      </c>
      <c r="M11" s="46" t="s">
        <v>17</v>
      </c>
    </row>
    <row r="12" spans="2:19" x14ac:dyDescent="0.25">
      <c r="B12" s="2">
        <v>0</v>
      </c>
      <c r="C12" s="2">
        <v>50</v>
      </c>
      <c r="D12" s="2">
        <v>3</v>
      </c>
      <c r="E12" s="2" t="s">
        <v>389</v>
      </c>
      <c r="F12" s="2">
        <v>4</v>
      </c>
      <c r="G12" s="2">
        <v>2</v>
      </c>
      <c r="I12" s="117" t="s">
        <v>18</v>
      </c>
      <c r="J12" s="2">
        <v>20</v>
      </c>
      <c r="L12" s="57">
        <v>8</v>
      </c>
    </row>
    <row r="13" spans="2:19" x14ac:dyDescent="0.25">
      <c r="B13" s="2">
        <v>0</v>
      </c>
      <c r="C13" s="2">
        <v>13</v>
      </c>
      <c r="D13" s="2">
        <v>4</v>
      </c>
      <c r="E13" s="2" t="s">
        <v>337</v>
      </c>
      <c r="F13" s="2">
        <v>4</v>
      </c>
      <c r="G13" s="2">
        <v>1</v>
      </c>
      <c r="I13" s="117" t="s">
        <v>18</v>
      </c>
      <c r="J13" s="2">
        <v>20</v>
      </c>
      <c r="L13" s="57">
        <v>10</v>
      </c>
    </row>
    <row r="14" spans="2:19" x14ac:dyDescent="0.25">
      <c r="B14" s="2">
        <v>0</v>
      </c>
      <c r="C14" s="2">
        <v>22</v>
      </c>
      <c r="D14" s="2">
        <v>4</v>
      </c>
      <c r="E14" s="2" t="s">
        <v>353</v>
      </c>
      <c r="F14" s="2">
        <v>4</v>
      </c>
      <c r="G14" s="2">
        <v>1</v>
      </c>
      <c r="I14" s="117" t="s">
        <v>18</v>
      </c>
      <c r="J14" s="2">
        <v>20</v>
      </c>
      <c r="L14" s="57">
        <v>10</v>
      </c>
      <c r="M14" s="46" t="s">
        <v>638</v>
      </c>
    </row>
    <row r="15" spans="2:19" x14ac:dyDescent="0.25">
      <c r="B15" s="2">
        <v>0</v>
      </c>
      <c r="C15" s="2">
        <v>8</v>
      </c>
      <c r="D15" s="2">
        <v>5</v>
      </c>
      <c r="E15" s="2" t="s">
        <v>331</v>
      </c>
      <c r="F15" s="2">
        <v>4</v>
      </c>
      <c r="G15" s="2">
        <v>1</v>
      </c>
      <c r="I15" s="117" t="s">
        <v>18</v>
      </c>
      <c r="J15" s="2">
        <v>20</v>
      </c>
      <c r="L15" s="57">
        <v>13</v>
      </c>
      <c r="M15" s="46" t="s">
        <v>638</v>
      </c>
    </row>
    <row r="16" spans="2:19" x14ac:dyDescent="0.25">
      <c r="B16" s="2">
        <v>0</v>
      </c>
      <c r="C16" s="2">
        <v>5</v>
      </c>
      <c r="D16" s="2">
        <v>5</v>
      </c>
      <c r="E16" s="2" t="s">
        <v>325</v>
      </c>
      <c r="F16" s="2">
        <v>4</v>
      </c>
      <c r="G16" s="2">
        <v>1</v>
      </c>
      <c r="I16" s="117" t="s">
        <v>18</v>
      </c>
      <c r="J16" s="2">
        <v>20</v>
      </c>
      <c r="K16" s="2" t="s">
        <v>322</v>
      </c>
      <c r="L16" s="57">
        <v>20</v>
      </c>
      <c r="M16" s="46" t="s">
        <v>17</v>
      </c>
    </row>
    <row r="17" spans="2:13" x14ac:dyDescent="0.25">
      <c r="B17" s="2">
        <v>0</v>
      </c>
      <c r="C17" s="2">
        <v>41</v>
      </c>
      <c r="D17" s="2">
        <v>3</v>
      </c>
      <c r="E17" s="2" t="s">
        <v>379</v>
      </c>
      <c r="F17" s="2">
        <v>4</v>
      </c>
      <c r="G17" s="2">
        <v>1</v>
      </c>
      <c r="I17" s="117" t="s">
        <v>649</v>
      </c>
      <c r="J17" s="2">
        <v>50</v>
      </c>
      <c r="L17" s="57">
        <v>30</v>
      </c>
      <c r="M17" s="46" t="s">
        <v>649</v>
      </c>
    </row>
    <row r="18" spans="2:13" x14ac:dyDescent="0.25">
      <c r="B18" s="2">
        <v>0</v>
      </c>
      <c r="C18" s="2">
        <v>10</v>
      </c>
      <c r="D18" s="2">
        <v>5</v>
      </c>
      <c r="E18" s="2" t="s">
        <v>333</v>
      </c>
      <c r="F18" s="2">
        <v>4</v>
      </c>
      <c r="G18" s="2">
        <v>2</v>
      </c>
      <c r="I18" s="117" t="s">
        <v>649</v>
      </c>
      <c r="J18" s="2">
        <v>50</v>
      </c>
      <c r="L18" s="57">
        <v>50</v>
      </c>
      <c r="M18" s="46" t="s">
        <v>649</v>
      </c>
    </row>
    <row r="19" spans="2:13" x14ac:dyDescent="0.25">
      <c r="B19" s="2">
        <v>0</v>
      </c>
      <c r="C19" s="2">
        <v>53</v>
      </c>
      <c r="D19" s="2">
        <v>3</v>
      </c>
      <c r="E19" s="2" t="s">
        <v>392</v>
      </c>
      <c r="F19" s="2">
        <v>4</v>
      </c>
      <c r="G19" s="2">
        <v>4</v>
      </c>
      <c r="I19" s="117" t="s">
        <v>651</v>
      </c>
      <c r="J19" s="2">
        <v>50</v>
      </c>
      <c r="L19" s="57">
        <v>25</v>
      </c>
      <c r="M19" s="46" t="s">
        <v>627</v>
      </c>
    </row>
    <row r="20" spans="2:13" x14ac:dyDescent="0.25">
      <c r="B20" s="2">
        <v>0</v>
      </c>
      <c r="C20" s="2">
        <v>54</v>
      </c>
      <c r="D20" s="2">
        <v>3</v>
      </c>
      <c r="E20" s="2" t="s">
        <v>393</v>
      </c>
      <c r="F20" s="2">
        <v>4</v>
      </c>
      <c r="G20" s="2">
        <v>1</v>
      </c>
      <c r="I20" s="117" t="s">
        <v>21</v>
      </c>
      <c r="J20" s="2">
        <v>6</v>
      </c>
      <c r="K20" s="2" t="s">
        <v>394</v>
      </c>
      <c r="L20" s="57">
        <v>4</v>
      </c>
      <c r="M20" s="46" t="s">
        <v>666</v>
      </c>
    </row>
    <row r="21" spans="2:13" x14ac:dyDescent="0.25">
      <c r="B21" s="2">
        <v>0</v>
      </c>
      <c r="C21" s="2">
        <v>30</v>
      </c>
      <c r="D21" s="2">
        <v>4</v>
      </c>
      <c r="E21" s="2" t="s">
        <v>362</v>
      </c>
      <c r="F21" s="2">
        <v>4</v>
      </c>
      <c r="G21" s="2">
        <v>1</v>
      </c>
      <c r="I21" s="117" t="s">
        <v>21</v>
      </c>
      <c r="J21" s="2">
        <v>6</v>
      </c>
      <c r="K21" s="2" t="s">
        <v>363</v>
      </c>
      <c r="L21" s="57">
        <v>5</v>
      </c>
      <c r="M21" s="46" t="s">
        <v>649</v>
      </c>
    </row>
    <row r="22" spans="2:13" x14ac:dyDescent="0.25">
      <c r="B22" s="2">
        <v>0</v>
      </c>
      <c r="C22" s="2">
        <v>56</v>
      </c>
      <c r="D22" s="2">
        <v>3</v>
      </c>
      <c r="E22" s="2" t="s">
        <v>396</v>
      </c>
      <c r="F22" s="2">
        <v>4</v>
      </c>
      <c r="G22" s="2">
        <v>1</v>
      </c>
      <c r="I22" s="117" t="s">
        <v>21</v>
      </c>
      <c r="J22" s="2">
        <v>20</v>
      </c>
      <c r="K22" s="2" t="s">
        <v>322</v>
      </c>
      <c r="L22" s="57">
        <v>10</v>
      </c>
      <c r="M22" s="46" t="s">
        <v>21</v>
      </c>
    </row>
    <row r="23" spans="2:13" x14ac:dyDescent="0.25">
      <c r="B23" s="2">
        <v>0</v>
      </c>
      <c r="C23" s="2">
        <v>3</v>
      </c>
      <c r="D23" s="2">
        <v>5</v>
      </c>
      <c r="E23" s="2" t="s">
        <v>321</v>
      </c>
      <c r="F23" s="2">
        <v>4</v>
      </c>
      <c r="G23" s="2">
        <v>3</v>
      </c>
      <c r="I23" s="117" t="s">
        <v>21</v>
      </c>
      <c r="J23" s="2">
        <v>20</v>
      </c>
      <c r="K23" s="2" t="s">
        <v>322</v>
      </c>
      <c r="L23" s="57">
        <v>15</v>
      </c>
      <c r="M23" s="46" t="s">
        <v>21</v>
      </c>
    </row>
    <row r="24" spans="2:13" x14ac:dyDescent="0.25">
      <c r="B24" s="2">
        <v>0</v>
      </c>
      <c r="C24" s="2">
        <v>2</v>
      </c>
      <c r="D24" s="2">
        <v>5</v>
      </c>
      <c r="E24" s="2" t="s">
        <v>318</v>
      </c>
      <c r="F24" s="2">
        <v>4</v>
      </c>
      <c r="G24" s="2">
        <v>1</v>
      </c>
      <c r="I24" s="117" t="s">
        <v>21</v>
      </c>
      <c r="J24" s="2">
        <v>20</v>
      </c>
      <c r="K24" s="2" t="s">
        <v>319</v>
      </c>
      <c r="L24" s="57">
        <v>20</v>
      </c>
      <c r="M24" s="46" t="s">
        <v>649</v>
      </c>
    </row>
    <row r="25" spans="2:13" x14ac:dyDescent="0.25">
      <c r="B25" s="2">
        <v>0</v>
      </c>
      <c r="C25" s="2">
        <v>25</v>
      </c>
      <c r="D25" s="2">
        <v>4</v>
      </c>
      <c r="E25" s="2" t="s">
        <v>357</v>
      </c>
      <c r="F25" s="2">
        <v>4</v>
      </c>
      <c r="G25" s="2">
        <v>1</v>
      </c>
      <c r="I25" s="117" t="s">
        <v>21</v>
      </c>
      <c r="J25" s="2">
        <v>60</v>
      </c>
      <c r="K25" s="2" t="s">
        <v>355</v>
      </c>
      <c r="L25" s="57">
        <v>40</v>
      </c>
      <c r="M25" s="46" t="s">
        <v>627</v>
      </c>
    </row>
    <row r="26" spans="2:13" x14ac:dyDescent="0.25">
      <c r="B26" s="2">
        <v>0</v>
      </c>
      <c r="C26" s="2">
        <v>61</v>
      </c>
      <c r="D26" s="2">
        <v>2</v>
      </c>
      <c r="E26" s="2" t="s">
        <v>401</v>
      </c>
      <c r="F26" s="2">
        <v>4</v>
      </c>
      <c r="G26" s="2">
        <v>4</v>
      </c>
      <c r="I26" s="117" t="s">
        <v>22</v>
      </c>
      <c r="J26" s="2">
        <v>100</v>
      </c>
      <c r="L26" s="57">
        <v>15</v>
      </c>
      <c r="M26" s="46" t="s">
        <v>21</v>
      </c>
    </row>
    <row r="27" spans="2:13" x14ac:dyDescent="0.25">
      <c r="B27" s="2">
        <v>0</v>
      </c>
      <c r="C27" s="2">
        <v>39</v>
      </c>
      <c r="D27" s="2">
        <v>3</v>
      </c>
      <c r="E27" s="2" t="s">
        <v>377</v>
      </c>
      <c r="F27" s="2">
        <v>4</v>
      </c>
      <c r="G27" s="2">
        <v>2</v>
      </c>
      <c r="I27" s="117" t="s">
        <v>22</v>
      </c>
      <c r="J27" s="2">
        <v>100</v>
      </c>
      <c r="L27" s="57">
        <v>20</v>
      </c>
      <c r="M27" s="46" t="s">
        <v>627</v>
      </c>
    </row>
    <row r="28" spans="2:13" x14ac:dyDescent="0.25">
      <c r="B28" s="2">
        <v>0</v>
      </c>
      <c r="C28" s="2">
        <v>29</v>
      </c>
      <c r="D28" s="2">
        <v>4</v>
      </c>
      <c r="E28" s="2" t="s">
        <v>361</v>
      </c>
      <c r="F28" s="2">
        <v>4</v>
      </c>
      <c r="G28" s="2">
        <v>3</v>
      </c>
      <c r="I28" s="117" t="s">
        <v>20</v>
      </c>
      <c r="J28" s="2">
        <v>15</v>
      </c>
      <c r="K28" s="2" t="s">
        <v>319</v>
      </c>
      <c r="L28" s="57">
        <v>10</v>
      </c>
      <c r="M28" s="46" t="s">
        <v>665</v>
      </c>
    </row>
    <row r="29" spans="2:13" x14ac:dyDescent="0.25">
      <c r="B29" s="2">
        <v>0</v>
      </c>
      <c r="C29" s="2">
        <v>55</v>
      </c>
      <c r="D29" s="2">
        <v>3</v>
      </c>
      <c r="E29" s="2" t="s">
        <v>395</v>
      </c>
      <c r="F29" s="2">
        <v>4</v>
      </c>
      <c r="G29" s="2">
        <v>4</v>
      </c>
      <c r="I29" s="117" t="s">
        <v>627</v>
      </c>
      <c r="J29" s="2">
        <v>40</v>
      </c>
      <c r="L29" s="57">
        <v>20</v>
      </c>
      <c r="M29" s="46" t="s">
        <v>17</v>
      </c>
    </row>
    <row r="30" spans="2:13" x14ac:dyDescent="0.25">
      <c r="B30" s="2">
        <v>0</v>
      </c>
      <c r="C30" s="2">
        <v>1</v>
      </c>
      <c r="D30" s="2">
        <v>5</v>
      </c>
      <c r="E30" s="2" t="s">
        <v>316</v>
      </c>
      <c r="F30" s="2">
        <v>4</v>
      </c>
      <c r="G30" s="2">
        <v>1</v>
      </c>
      <c r="I30" s="117" t="s">
        <v>627</v>
      </c>
      <c r="J30" s="2">
        <v>40</v>
      </c>
      <c r="L30" s="57">
        <v>30</v>
      </c>
      <c r="M30" s="46" t="s">
        <v>627</v>
      </c>
    </row>
    <row r="31" spans="2:13" x14ac:dyDescent="0.25">
      <c r="B31" s="2">
        <v>0</v>
      </c>
      <c r="C31" s="2">
        <v>7</v>
      </c>
      <c r="D31" s="2">
        <v>5</v>
      </c>
      <c r="E31" s="2" t="s">
        <v>329</v>
      </c>
      <c r="F31" s="2">
        <v>4</v>
      </c>
      <c r="G31" s="2">
        <v>1</v>
      </c>
      <c r="I31" s="117" t="s">
        <v>627</v>
      </c>
      <c r="J31" s="2">
        <v>40</v>
      </c>
      <c r="L31" s="57">
        <v>30</v>
      </c>
      <c r="M31" s="46" t="s">
        <v>627</v>
      </c>
    </row>
    <row r="32" spans="2:13" x14ac:dyDescent="0.25">
      <c r="B32" s="2">
        <v>0</v>
      </c>
      <c r="C32" s="2">
        <v>31</v>
      </c>
      <c r="D32" s="2">
        <v>4</v>
      </c>
      <c r="E32" s="2" t="s">
        <v>364</v>
      </c>
      <c r="F32" s="2">
        <v>4</v>
      </c>
      <c r="G32" s="2">
        <v>3</v>
      </c>
      <c r="I32" s="117" t="s">
        <v>627</v>
      </c>
      <c r="J32" s="2">
        <v>40</v>
      </c>
      <c r="K32" s="2" t="s">
        <v>322</v>
      </c>
      <c r="L32" s="57">
        <v>35</v>
      </c>
    </row>
    <row r="33" spans="2:15" x14ac:dyDescent="0.25">
      <c r="B33" s="2">
        <v>0</v>
      </c>
      <c r="C33" s="2">
        <v>48</v>
      </c>
      <c r="D33" s="2">
        <v>3</v>
      </c>
      <c r="E33" s="2" t="s">
        <v>387</v>
      </c>
      <c r="F33" s="2">
        <v>4</v>
      </c>
      <c r="G33" s="2">
        <v>4</v>
      </c>
      <c r="I33" s="117" t="s">
        <v>17</v>
      </c>
      <c r="J33" s="2">
        <v>15</v>
      </c>
      <c r="L33" s="57">
        <v>5</v>
      </c>
      <c r="M33" s="46" t="s">
        <v>17</v>
      </c>
    </row>
    <row r="34" spans="2:15" x14ac:dyDescent="0.25">
      <c r="B34" s="2">
        <v>0</v>
      </c>
      <c r="C34" s="2">
        <v>35</v>
      </c>
      <c r="D34" s="2">
        <v>4</v>
      </c>
      <c r="E34" s="2" t="s">
        <v>371</v>
      </c>
      <c r="F34" s="2">
        <v>4</v>
      </c>
      <c r="G34" s="2">
        <v>4</v>
      </c>
      <c r="I34" s="117" t="s">
        <v>658</v>
      </c>
      <c r="J34" s="2">
        <v>25</v>
      </c>
      <c r="K34" s="2" t="s">
        <v>372</v>
      </c>
      <c r="L34" s="57">
        <v>20</v>
      </c>
      <c r="O34" s="2" t="s">
        <v>335</v>
      </c>
    </row>
    <row r="35" spans="2:15" x14ac:dyDescent="0.25">
      <c r="B35" s="2">
        <v>0</v>
      </c>
      <c r="C35" s="2">
        <v>33</v>
      </c>
      <c r="D35" s="2">
        <v>4</v>
      </c>
      <c r="E35" s="2" t="s">
        <v>367</v>
      </c>
      <c r="F35" s="2">
        <v>4</v>
      </c>
      <c r="G35" s="2">
        <v>4</v>
      </c>
      <c r="I35" s="117" t="s">
        <v>658</v>
      </c>
      <c r="J35" s="2">
        <v>25</v>
      </c>
      <c r="K35" s="2" t="s">
        <v>368</v>
      </c>
      <c r="L35" s="57">
        <v>20</v>
      </c>
      <c r="O35" s="2" t="s">
        <v>335</v>
      </c>
    </row>
    <row r="36" spans="2:15" x14ac:dyDescent="0.25">
      <c r="B36" s="2">
        <v>0</v>
      </c>
      <c r="C36" s="2">
        <v>34</v>
      </c>
      <c r="D36" s="2">
        <v>4</v>
      </c>
      <c r="E36" s="2" t="s">
        <v>369</v>
      </c>
      <c r="F36" s="2">
        <v>4</v>
      </c>
      <c r="G36" s="2">
        <v>4</v>
      </c>
      <c r="I36" s="117" t="s">
        <v>658</v>
      </c>
      <c r="J36" s="2">
        <v>25</v>
      </c>
      <c r="K36" s="2" t="s">
        <v>370</v>
      </c>
      <c r="L36" s="57">
        <v>20</v>
      </c>
      <c r="O36" s="2" t="s">
        <v>335</v>
      </c>
    </row>
    <row r="37" spans="2:15" x14ac:dyDescent="0.25">
      <c r="B37" s="2">
        <v>0</v>
      </c>
      <c r="C37" s="2">
        <v>32</v>
      </c>
      <c r="D37" s="2">
        <v>4</v>
      </c>
      <c r="E37" s="2" t="s">
        <v>365</v>
      </c>
      <c r="F37" s="2">
        <v>4</v>
      </c>
      <c r="G37" s="2">
        <v>4</v>
      </c>
      <c r="I37" s="117" t="s">
        <v>658</v>
      </c>
      <c r="J37" s="2">
        <v>25</v>
      </c>
      <c r="K37" s="2" t="s">
        <v>366</v>
      </c>
      <c r="L37" s="57">
        <v>20</v>
      </c>
      <c r="O37" s="2" t="s">
        <v>335</v>
      </c>
    </row>
    <row r="38" spans="2:15" x14ac:dyDescent="0.25">
      <c r="B38" s="2">
        <v>0</v>
      </c>
      <c r="C38" s="2">
        <v>36</v>
      </c>
      <c r="D38" s="2">
        <v>4</v>
      </c>
      <c r="E38" s="2" t="s">
        <v>373</v>
      </c>
      <c r="F38" s="2">
        <v>4</v>
      </c>
      <c r="G38" s="2">
        <v>4</v>
      </c>
      <c r="I38" s="117" t="s">
        <v>658</v>
      </c>
      <c r="J38" s="2">
        <v>25</v>
      </c>
      <c r="K38" s="2" t="s">
        <v>374</v>
      </c>
      <c r="L38" s="57">
        <v>20</v>
      </c>
      <c r="O38" s="2" t="s">
        <v>335</v>
      </c>
    </row>
    <row r="39" spans="2:15" x14ac:dyDescent="0.25">
      <c r="B39" s="2">
        <v>0</v>
      </c>
      <c r="C39" s="2">
        <v>11</v>
      </c>
      <c r="D39" s="2">
        <v>5</v>
      </c>
      <c r="E39" s="2" t="s">
        <v>37</v>
      </c>
      <c r="F39" s="2">
        <v>4</v>
      </c>
      <c r="G39" s="2">
        <v>4</v>
      </c>
      <c r="I39" s="117" t="s">
        <v>658</v>
      </c>
      <c r="J39" s="2">
        <v>25</v>
      </c>
      <c r="K39" s="117" t="s">
        <v>671</v>
      </c>
      <c r="L39" s="57">
        <v>25</v>
      </c>
      <c r="O39" s="2" t="s">
        <v>335</v>
      </c>
    </row>
    <row r="40" spans="2:15" x14ac:dyDescent="0.25">
      <c r="B40" s="2">
        <v>0</v>
      </c>
      <c r="C40" s="2">
        <v>57</v>
      </c>
      <c r="D40" s="2">
        <v>3</v>
      </c>
      <c r="E40" s="2" t="s">
        <v>397</v>
      </c>
      <c r="F40" s="2">
        <v>4</v>
      </c>
      <c r="G40" s="2">
        <v>4</v>
      </c>
      <c r="I40" s="117" t="s">
        <v>658</v>
      </c>
      <c r="J40" s="2">
        <v>100</v>
      </c>
      <c r="K40" s="2" t="s">
        <v>345</v>
      </c>
      <c r="L40" s="57">
        <v>25</v>
      </c>
    </row>
    <row r="41" spans="2:15" x14ac:dyDescent="0.25">
      <c r="B41" s="2">
        <v>0</v>
      </c>
      <c r="C41" s="2">
        <v>17</v>
      </c>
      <c r="D41" s="2">
        <v>4</v>
      </c>
      <c r="E41" s="2" t="s">
        <v>344</v>
      </c>
      <c r="F41" s="2">
        <v>4</v>
      </c>
      <c r="G41" s="2">
        <v>2</v>
      </c>
      <c r="I41" s="117" t="s">
        <v>658</v>
      </c>
      <c r="J41" s="2">
        <v>100</v>
      </c>
      <c r="K41" s="2" t="s">
        <v>345</v>
      </c>
      <c r="L41" s="57">
        <v>50</v>
      </c>
    </row>
    <row r="42" spans="2:15" x14ac:dyDescent="0.25">
      <c r="B42" s="2">
        <v>0</v>
      </c>
      <c r="C42" s="2">
        <v>44</v>
      </c>
      <c r="D42" s="2">
        <v>3</v>
      </c>
      <c r="E42" s="2" t="s">
        <v>382</v>
      </c>
      <c r="F42" s="2">
        <v>4</v>
      </c>
      <c r="G42" s="2">
        <v>1</v>
      </c>
      <c r="I42" s="117" t="s">
        <v>658</v>
      </c>
      <c r="J42" s="2">
        <v>100</v>
      </c>
      <c r="K42" s="2" t="s">
        <v>383</v>
      </c>
      <c r="L42" s="57">
        <v>25</v>
      </c>
    </row>
    <row r="43" spans="2:15" x14ac:dyDescent="0.25">
      <c r="B43" s="2">
        <v>0</v>
      </c>
      <c r="C43" s="2">
        <v>46</v>
      </c>
      <c r="D43" s="2">
        <v>3</v>
      </c>
      <c r="E43" s="2" t="s">
        <v>385</v>
      </c>
      <c r="F43" s="2">
        <v>4</v>
      </c>
      <c r="G43" s="2">
        <v>1</v>
      </c>
      <c r="I43" s="117" t="s">
        <v>658</v>
      </c>
      <c r="J43" s="2">
        <v>100</v>
      </c>
      <c r="K43" s="2" t="s">
        <v>340</v>
      </c>
      <c r="L43" s="57">
        <v>25</v>
      </c>
    </row>
    <row r="44" spans="2:15" x14ac:dyDescent="0.25">
      <c r="B44" s="2">
        <v>0</v>
      </c>
      <c r="C44" s="2">
        <v>15</v>
      </c>
      <c r="D44" s="2">
        <v>4</v>
      </c>
      <c r="E44" s="2" t="s">
        <v>339</v>
      </c>
      <c r="F44" s="2">
        <v>4</v>
      </c>
      <c r="G44" s="2">
        <v>2</v>
      </c>
      <c r="I44" s="117" t="s">
        <v>658</v>
      </c>
      <c r="J44" s="2">
        <v>100</v>
      </c>
      <c r="K44" s="2" t="s">
        <v>340</v>
      </c>
      <c r="L44" s="57">
        <v>50</v>
      </c>
    </row>
    <row r="45" spans="2:15" x14ac:dyDescent="0.25">
      <c r="B45" s="2">
        <v>0</v>
      </c>
      <c r="C45" s="2">
        <v>19</v>
      </c>
      <c r="D45" s="2">
        <v>4</v>
      </c>
      <c r="E45" s="2" t="s">
        <v>348</v>
      </c>
      <c r="F45" s="2">
        <v>4</v>
      </c>
      <c r="G45" s="2">
        <v>2</v>
      </c>
      <c r="I45" s="117" t="s">
        <v>660</v>
      </c>
      <c r="J45" s="2">
        <v>15</v>
      </c>
      <c r="K45" s="2" t="s">
        <v>24</v>
      </c>
      <c r="L45" s="57">
        <v>10</v>
      </c>
    </row>
    <row r="46" spans="2:15" x14ac:dyDescent="0.25">
      <c r="B46" s="2">
        <v>0</v>
      </c>
      <c r="C46" s="2">
        <v>37</v>
      </c>
      <c r="D46" s="2">
        <v>3</v>
      </c>
      <c r="E46" s="2" t="s">
        <v>375</v>
      </c>
      <c r="F46" s="2">
        <v>4</v>
      </c>
      <c r="G46" s="2">
        <v>2</v>
      </c>
      <c r="I46" s="117" t="s">
        <v>660</v>
      </c>
      <c r="J46" s="2">
        <v>30</v>
      </c>
      <c r="K46" s="2" t="s">
        <v>324</v>
      </c>
      <c r="L46" s="57">
        <v>20</v>
      </c>
      <c r="M46" s="46" t="s">
        <v>647</v>
      </c>
    </row>
    <row r="47" spans="2:15" x14ac:dyDescent="0.25">
      <c r="B47" s="2">
        <v>0</v>
      </c>
      <c r="C47" s="2">
        <v>14</v>
      </c>
      <c r="D47" s="2">
        <v>4</v>
      </c>
      <c r="E47" s="2" t="s">
        <v>338</v>
      </c>
      <c r="F47" s="2">
        <v>4</v>
      </c>
      <c r="G47" s="2">
        <v>4</v>
      </c>
      <c r="I47" s="117" t="s">
        <v>660</v>
      </c>
      <c r="J47" s="2">
        <v>30</v>
      </c>
      <c r="K47" s="2" t="s">
        <v>324</v>
      </c>
      <c r="L47" s="57">
        <v>25</v>
      </c>
      <c r="M47" s="46" t="s">
        <v>647</v>
      </c>
    </row>
    <row r="48" spans="2:15" x14ac:dyDescent="0.25">
      <c r="B48" s="2">
        <v>0</v>
      </c>
      <c r="C48" s="2">
        <v>4</v>
      </c>
      <c r="D48" s="2">
        <v>5</v>
      </c>
      <c r="E48" s="2" t="s">
        <v>323</v>
      </c>
      <c r="F48" s="2">
        <v>4</v>
      </c>
      <c r="G48" s="2">
        <v>1</v>
      </c>
      <c r="I48" s="117" t="s">
        <v>660</v>
      </c>
      <c r="J48" s="2">
        <v>30</v>
      </c>
      <c r="K48" s="2" t="s">
        <v>324</v>
      </c>
      <c r="L48" s="57">
        <v>30</v>
      </c>
      <c r="M48" s="46" t="s">
        <v>647</v>
      </c>
    </row>
    <row r="49" spans="2:13" x14ac:dyDescent="0.25">
      <c r="B49" s="2">
        <v>0</v>
      </c>
      <c r="C49" s="2">
        <v>40</v>
      </c>
      <c r="D49" s="2">
        <v>3</v>
      </c>
      <c r="E49" s="2" t="s">
        <v>378</v>
      </c>
      <c r="F49" s="2">
        <v>4</v>
      </c>
      <c r="G49" s="2">
        <v>4</v>
      </c>
      <c r="I49" s="117" t="s">
        <v>638</v>
      </c>
      <c r="J49" s="2">
        <v>30</v>
      </c>
      <c r="L49" s="57">
        <v>20</v>
      </c>
      <c r="M49" s="46" t="s">
        <v>638</v>
      </c>
    </row>
    <row r="50" spans="2:13" x14ac:dyDescent="0.25">
      <c r="B50" s="2">
        <v>0</v>
      </c>
      <c r="C50" s="2">
        <v>26</v>
      </c>
      <c r="D50" s="2">
        <v>4</v>
      </c>
      <c r="E50" s="2" t="s">
        <v>358</v>
      </c>
      <c r="F50" s="2">
        <v>4</v>
      </c>
      <c r="G50" s="2">
        <v>2</v>
      </c>
      <c r="I50" s="117" t="s">
        <v>19</v>
      </c>
      <c r="J50" s="2">
        <v>20</v>
      </c>
      <c r="K50" s="2" t="s">
        <v>322</v>
      </c>
      <c r="L50" s="57">
        <v>20</v>
      </c>
      <c r="M50" s="46" t="s">
        <v>21</v>
      </c>
    </row>
    <row r="51" spans="2:13" x14ac:dyDescent="0.25">
      <c r="B51" s="2">
        <v>0</v>
      </c>
      <c r="C51" s="2">
        <v>49</v>
      </c>
      <c r="D51" s="2">
        <v>3</v>
      </c>
      <c r="E51" s="2" t="s">
        <v>388</v>
      </c>
      <c r="F51" s="2">
        <v>4</v>
      </c>
      <c r="G51" s="2">
        <v>1</v>
      </c>
      <c r="I51" s="117" t="s">
        <v>19</v>
      </c>
      <c r="J51" s="2">
        <v>100</v>
      </c>
      <c r="K51" s="2" t="s">
        <v>355</v>
      </c>
      <c r="L51" s="57">
        <v>50</v>
      </c>
      <c r="M51" s="46" t="s">
        <v>627</v>
      </c>
    </row>
    <row r="52" spans="2:13" x14ac:dyDescent="0.25">
      <c r="B52" s="2">
        <v>0</v>
      </c>
      <c r="C52" s="2">
        <v>23</v>
      </c>
      <c r="D52" s="2">
        <v>4</v>
      </c>
      <c r="E52" s="2" t="s">
        <v>354</v>
      </c>
      <c r="F52" s="2">
        <v>4</v>
      </c>
      <c r="G52" s="2">
        <v>2</v>
      </c>
      <c r="I52" s="117" t="s">
        <v>19</v>
      </c>
      <c r="J52" s="2">
        <v>100</v>
      </c>
      <c r="K52" s="2" t="s">
        <v>355</v>
      </c>
      <c r="L52" s="57">
        <v>60</v>
      </c>
      <c r="M52" s="46" t="s">
        <v>627</v>
      </c>
    </row>
    <row r="53" spans="2:13" x14ac:dyDescent="0.25">
      <c r="B53" s="2">
        <v>0</v>
      </c>
      <c r="C53" s="2">
        <v>62</v>
      </c>
      <c r="D53" s="2">
        <v>2</v>
      </c>
      <c r="E53" s="2" t="s">
        <v>402</v>
      </c>
      <c r="F53" s="2">
        <v>4</v>
      </c>
      <c r="G53" s="2">
        <v>4</v>
      </c>
      <c r="I53" s="117" t="s">
        <v>663</v>
      </c>
      <c r="J53" s="2">
        <v>10</v>
      </c>
      <c r="L53" s="57">
        <v>10</v>
      </c>
      <c r="M53" s="46" t="s">
        <v>627</v>
      </c>
    </row>
    <row r="54" spans="2:13" x14ac:dyDescent="0.25">
      <c r="B54" s="2">
        <v>0</v>
      </c>
      <c r="C54" s="2">
        <v>47</v>
      </c>
      <c r="D54" s="2">
        <v>3</v>
      </c>
      <c r="E54" s="2" t="s">
        <v>386</v>
      </c>
      <c r="F54" s="2">
        <v>4</v>
      </c>
      <c r="G54" s="2">
        <v>3</v>
      </c>
      <c r="I54" s="117" t="s">
        <v>663</v>
      </c>
      <c r="J54" s="2">
        <v>10</v>
      </c>
      <c r="L54" s="57">
        <v>10</v>
      </c>
      <c r="M54" s="46" t="s">
        <v>17</v>
      </c>
    </row>
    <row r="55" spans="2:13" x14ac:dyDescent="0.25">
      <c r="B55" s="2">
        <v>0</v>
      </c>
      <c r="C55" s="2">
        <v>28</v>
      </c>
      <c r="D55" s="2">
        <v>4</v>
      </c>
      <c r="E55" s="2" t="s">
        <v>360</v>
      </c>
      <c r="F55" s="2">
        <v>4</v>
      </c>
      <c r="G55" s="2">
        <v>3</v>
      </c>
      <c r="I55" s="117" t="s">
        <v>21</v>
      </c>
      <c r="J55" s="2">
        <v>15</v>
      </c>
      <c r="K55" s="2" t="s">
        <v>317</v>
      </c>
      <c r="L55" s="57">
        <v>10</v>
      </c>
      <c r="M55" s="46" t="s">
        <v>665</v>
      </c>
    </row>
    <row r="56" spans="2:13" x14ac:dyDescent="0.25">
      <c r="B56" s="2">
        <v>0</v>
      </c>
      <c r="C56" s="2">
        <v>6</v>
      </c>
      <c r="D56" s="2">
        <v>5</v>
      </c>
      <c r="E56" s="2" t="s">
        <v>327</v>
      </c>
      <c r="F56" s="2">
        <v>2</v>
      </c>
      <c r="G56" s="2">
        <v>1</v>
      </c>
      <c r="I56" s="117" t="s">
        <v>664</v>
      </c>
      <c r="J56" s="2">
        <v>20</v>
      </c>
      <c r="L56" s="57">
        <v>20</v>
      </c>
      <c r="M56" s="46" t="s">
        <v>665</v>
      </c>
    </row>
    <row r="57" spans="2:13" x14ac:dyDescent="0.25">
      <c r="B57" s="2">
        <v>0</v>
      </c>
      <c r="C57" s="2">
        <v>59</v>
      </c>
      <c r="D57" s="2">
        <v>3</v>
      </c>
      <c r="E57" s="2" t="s">
        <v>399</v>
      </c>
      <c r="F57" s="2">
        <v>4</v>
      </c>
      <c r="G57" s="2">
        <v>2</v>
      </c>
      <c r="I57" s="117" t="s">
        <v>658</v>
      </c>
      <c r="J57" s="2">
        <v>100</v>
      </c>
      <c r="K57" s="2" t="s">
        <v>334</v>
      </c>
      <c r="L57" s="57">
        <v>25</v>
      </c>
    </row>
    <row r="58" spans="2:13" x14ac:dyDescent="0.25">
      <c r="B58" s="2">
        <v>0</v>
      </c>
      <c r="C58" s="2">
        <v>58</v>
      </c>
      <c r="D58" s="2">
        <v>3</v>
      </c>
      <c r="E58" s="2" t="s">
        <v>398</v>
      </c>
      <c r="F58" s="2">
        <v>4</v>
      </c>
      <c r="G58" s="2">
        <v>3</v>
      </c>
      <c r="I58" s="117" t="s">
        <v>658</v>
      </c>
      <c r="J58" s="2">
        <v>100</v>
      </c>
      <c r="K58" s="2" t="s">
        <v>352</v>
      </c>
      <c r="L58" s="57">
        <v>25</v>
      </c>
    </row>
    <row r="59" spans="2:13" x14ac:dyDescent="0.25">
      <c r="B59" s="2">
        <v>0</v>
      </c>
      <c r="C59" s="2">
        <v>21</v>
      </c>
      <c r="D59" s="2">
        <v>4</v>
      </c>
      <c r="E59" s="2" t="s">
        <v>351</v>
      </c>
      <c r="F59" s="2">
        <v>4</v>
      </c>
      <c r="G59" s="2">
        <v>2</v>
      </c>
      <c r="I59" s="117" t="s">
        <v>658</v>
      </c>
      <c r="J59" s="2">
        <v>100</v>
      </c>
      <c r="K59" s="2" t="s">
        <v>352</v>
      </c>
      <c r="L59" s="57">
        <v>50</v>
      </c>
    </row>
    <row r="60" spans="2:13" x14ac:dyDescent="0.25">
      <c r="B60" s="2">
        <v>0</v>
      </c>
      <c r="C60" s="2">
        <v>20</v>
      </c>
      <c r="D60" s="2">
        <v>4</v>
      </c>
      <c r="E60" s="2" t="s">
        <v>350</v>
      </c>
      <c r="F60" s="2">
        <v>4</v>
      </c>
      <c r="G60" s="2">
        <v>3</v>
      </c>
      <c r="I60" s="117" t="s">
        <v>658</v>
      </c>
      <c r="J60" s="2">
        <v>100</v>
      </c>
      <c r="K60" s="2" t="s">
        <v>326</v>
      </c>
      <c r="L60" s="57">
        <v>50</v>
      </c>
    </row>
    <row r="61" spans="2:13" x14ac:dyDescent="0.25">
      <c r="B61" s="2">
        <v>0</v>
      </c>
      <c r="C61" s="2">
        <v>45</v>
      </c>
      <c r="D61" s="2">
        <v>3</v>
      </c>
      <c r="E61" s="2" t="s">
        <v>384</v>
      </c>
      <c r="F61" s="2">
        <v>4</v>
      </c>
      <c r="G61" s="2">
        <v>3</v>
      </c>
      <c r="I61" s="117" t="s">
        <v>658</v>
      </c>
      <c r="J61" s="2">
        <v>100</v>
      </c>
      <c r="K61" s="2" t="s">
        <v>347</v>
      </c>
      <c r="L61" s="57">
        <v>25</v>
      </c>
    </row>
    <row r="62" spans="2:13" x14ac:dyDescent="0.25">
      <c r="B62" s="2">
        <v>0</v>
      </c>
      <c r="C62" s="2">
        <v>27</v>
      </c>
      <c r="D62" s="2">
        <v>4</v>
      </c>
      <c r="E62" s="2" t="s">
        <v>359</v>
      </c>
      <c r="F62" s="2">
        <v>4</v>
      </c>
      <c r="G62" s="2">
        <v>2</v>
      </c>
      <c r="I62" s="117" t="s">
        <v>658</v>
      </c>
      <c r="J62" s="2">
        <v>100</v>
      </c>
      <c r="K62" s="2" t="s">
        <v>347</v>
      </c>
      <c r="L62" s="290">
        <v>25</v>
      </c>
    </row>
    <row r="63" spans="2:13" x14ac:dyDescent="0.25">
      <c r="B63" s="2">
        <v>0</v>
      </c>
      <c r="C63" s="2">
        <v>18</v>
      </c>
      <c r="D63" s="2">
        <v>4</v>
      </c>
      <c r="E63" s="2" t="s">
        <v>346</v>
      </c>
      <c r="F63" s="2">
        <v>4</v>
      </c>
      <c r="G63" s="2">
        <v>1</v>
      </c>
      <c r="I63" s="117" t="s">
        <v>658</v>
      </c>
      <c r="J63" s="2">
        <v>100</v>
      </c>
      <c r="K63" s="2" t="s">
        <v>347</v>
      </c>
      <c r="L63" s="57">
        <v>50</v>
      </c>
    </row>
    <row r="64" spans="2:13" x14ac:dyDescent="0.25">
      <c r="B64" s="2">
        <v>0</v>
      </c>
      <c r="C64" s="2">
        <v>51</v>
      </c>
      <c r="D64" s="2">
        <v>3</v>
      </c>
      <c r="E64" s="2" t="s">
        <v>390</v>
      </c>
      <c r="F64" s="2">
        <v>4</v>
      </c>
      <c r="G64" s="2">
        <v>1</v>
      </c>
      <c r="I64" s="117" t="s">
        <v>658</v>
      </c>
      <c r="J64" s="2">
        <v>100</v>
      </c>
      <c r="K64" s="2" t="s">
        <v>343</v>
      </c>
      <c r="L64" s="57">
        <v>25</v>
      </c>
    </row>
    <row r="65" spans="2:15" x14ac:dyDescent="0.25">
      <c r="B65" s="2">
        <v>0</v>
      </c>
      <c r="C65" s="2">
        <v>16</v>
      </c>
      <c r="D65" s="2">
        <v>4</v>
      </c>
      <c r="E65" s="2" t="s">
        <v>342</v>
      </c>
      <c r="F65" s="2">
        <v>4</v>
      </c>
      <c r="G65" s="2">
        <v>4</v>
      </c>
      <c r="I65" s="117" t="s">
        <v>658</v>
      </c>
      <c r="J65" s="2">
        <v>100</v>
      </c>
      <c r="K65" s="2" t="s">
        <v>343</v>
      </c>
      <c r="L65" s="57">
        <v>50</v>
      </c>
    </row>
    <row r="66" spans="2:15" x14ac:dyDescent="0.25">
      <c r="B66" s="2">
        <v>1</v>
      </c>
      <c r="C66" s="2">
        <v>4</v>
      </c>
      <c r="D66" s="2">
        <v>4</v>
      </c>
      <c r="E66" s="2" t="s">
        <v>409</v>
      </c>
      <c r="F66" s="2">
        <v>4</v>
      </c>
      <c r="G66" s="2">
        <v>2</v>
      </c>
      <c r="I66" s="117" t="s">
        <v>649</v>
      </c>
      <c r="J66" s="2">
        <v>50</v>
      </c>
      <c r="L66" s="57">
        <v>40</v>
      </c>
      <c r="M66" s="46" t="s">
        <v>649</v>
      </c>
    </row>
    <row r="67" spans="2:15" x14ac:dyDescent="0.25">
      <c r="B67" s="2">
        <v>1</v>
      </c>
      <c r="C67" s="2">
        <v>2</v>
      </c>
      <c r="D67" s="2">
        <v>5</v>
      </c>
      <c r="E67" s="2" t="s">
        <v>406</v>
      </c>
      <c r="F67" s="2">
        <v>4</v>
      </c>
      <c r="G67" s="2">
        <v>3</v>
      </c>
      <c r="I67" s="117" t="s">
        <v>21</v>
      </c>
      <c r="J67" s="2">
        <v>20</v>
      </c>
      <c r="K67" s="2" t="s">
        <v>104</v>
      </c>
      <c r="L67" s="57">
        <v>13</v>
      </c>
    </row>
    <row r="68" spans="2:15" x14ac:dyDescent="0.25">
      <c r="B68" s="2">
        <v>1</v>
      </c>
      <c r="C68" s="2">
        <v>1</v>
      </c>
      <c r="D68" s="2">
        <v>5</v>
      </c>
      <c r="E68" s="2" t="s">
        <v>405</v>
      </c>
      <c r="F68" s="2">
        <v>4</v>
      </c>
      <c r="G68" s="2">
        <v>3</v>
      </c>
      <c r="I68" s="117" t="s">
        <v>21</v>
      </c>
      <c r="J68" s="2">
        <v>60</v>
      </c>
      <c r="K68" s="2" t="s">
        <v>355</v>
      </c>
      <c r="L68" s="57">
        <v>50</v>
      </c>
      <c r="M68" s="46" t="s">
        <v>647</v>
      </c>
    </row>
    <row r="69" spans="2:15" x14ac:dyDescent="0.25">
      <c r="B69" s="2">
        <v>1</v>
      </c>
      <c r="C69" s="2">
        <v>5</v>
      </c>
      <c r="D69" s="2">
        <v>3</v>
      </c>
      <c r="E69" s="2" t="s">
        <v>410</v>
      </c>
      <c r="F69" s="2">
        <v>4</v>
      </c>
      <c r="G69" s="2">
        <v>2</v>
      </c>
      <c r="I69" s="117" t="s">
        <v>22</v>
      </c>
      <c r="J69" s="2">
        <v>100</v>
      </c>
      <c r="L69" s="57">
        <v>20</v>
      </c>
      <c r="M69" s="46" t="s">
        <v>17</v>
      </c>
    </row>
    <row r="70" spans="2:15" x14ac:dyDescent="0.25">
      <c r="B70" s="2">
        <v>1</v>
      </c>
      <c r="C70" s="2">
        <v>3</v>
      </c>
      <c r="D70" s="2">
        <v>4</v>
      </c>
      <c r="E70" s="2" t="s">
        <v>407</v>
      </c>
      <c r="F70" s="2">
        <v>4</v>
      </c>
      <c r="G70" s="2">
        <v>1</v>
      </c>
      <c r="I70" s="117" t="s">
        <v>658</v>
      </c>
      <c r="J70" s="2">
        <v>100</v>
      </c>
      <c r="K70" s="2" t="s">
        <v>343</v>
      </c>
      <c r="L70" s="57">
        <v>25</v>
      </c>
      <c r="O70" s="2" t="s">
        <v>408</v>
      </c>
    </row>
    <row r="71" spans="2:15" x14ac:dyDescent="0.25">
      <c r="B71" s="2">
        <v>2</v>
      </c>
      <c r="C71" s="2">
        <v>4</v>
      </c>
      <c r="D71" s="2">
        <v>4</v>
      </c>
      <c r="E71" s="2" t="s">
        <v>418</v>
      </c>
      <c r="F71" s="2">
        <v>4</v>
      </c>
      <c r="G71" s="2">
        <v>3</v>
      </c>
      <c r="I71" s="117" t="s">
        <v>658</v>
      </c>
      <c r="J71" s="2">
        <v>100</v>
      </c>
      <c r="K71" s="2" t="s">
        <v>383</v>
      </c>
      <c r="L71" s="57">
        <v>50</v>
      </c>
      <c r="N71" s="2" t="s">
        <v>419</v>
      </c>
    </row>
    <row r="72" spans="2:15" x14ac:dyDescent="0.25">
      <c r="B72" s="2">
        <v>2</v>
      </c>
      <c r="C72" s="2">
        <v>3</v>
      </c>
      <c r="D72" s="2">
        <v>5</v>
      </c>
      <c r="E72" s="2" t="s">
        <v>415</v>
      </c>
      <c r="F72" s="2">
        <v>4</v>
      </c>
      <c r="G72" s="2">
        <v>2</v>
      </c>
      <c r="I72" s="117" t="s">
        <v>627</v>
      </c>
      <c r="J72" s="2">
        <v>40</v>
      </c>
      <c r="L72" s="57">
        <v>30</v>
      </c>
      <c r="N72" s="2" t="s">
        <v>416</v>
      </c>
      <c r="O72" s="2" t="s">
        <v>417</v>
      </c>
    </row>
    <row r="73" spans="2:15" x14ac:dyDescent="0.25">
      <c r="B73" s="2">
        <v>2</v>
      </c>
      <c r="C73" s="2">
        <v>1</v>
      </c>
      <c r="D73" s="2">
        <v>5</v>
      </c>
      <c r="E73" s="2" t="s">
        <v>411</v>
      </c>
      <c r="F73" s="2">
        <v>4</v>
      </c>
      <c r="G73" s="2">
        <v>2</v>
      </c>
      <c r="I73" s="117" t="s">
        <v>627</v>
      </c>
      <c r="J73" s="2">
        <v>40</v>
      </c>
      <c r="K73" s="2" t="s">
        <v>322</v>
      </c>
      <c r="L73" s="57">
        <v>40</v>
      </c>
      <c r="N73" s="2" t="s">
        <v>412</v>
      </c>
    </row>
    <row r="74" spans="2:15" x14ac:dyDescent="0.25">
      <c r="B74" s="2">
        <v>2</v>
      </c>
      <c r="C74" s="2">
        <v>2</v>
      </c>
      <c r="D74" s="2">
        <v>5</v>
      </c>
      <c r="E74" s="2" t="s">
        <v>413</v>
      </c>
      <c r="F74" s="2">
        <v>4</v>
      </c>
      <c r="G74" s="2">
        <v>1</v>
      </c>
      <c r="I74" s="117" t="s">
        <v>658</v>
      </c>
      <c r="J74" s="2">
        <v>15</v>
      </c>
      <c r="K74" s="2" t="s">
        <v>349</v>
      </c>
      <c r="L74" s="57">
        <v>10</v>
      </c>
      <c r="N74" s="2" t="s">
        <v>414</v>
      </c>
    </row>
    <row r="75" spans="2:15" x14ac:dyDescent="0.25">
      <c r="B75" s="2">
        <v>2</v>
      </c>
      <c r="C75" s="2">
        <v>5</v>
      </c>
      <c r="D75" s="2">
        <v>3</v>
      </c>
      <c r="E75" s="2" t="s">
        <v>420</v>
      </c>
      <c r="F75" s="2">
        <v>4</v>
      </c>
      <c r="G75" s="2">
        <v>1</v>
      </c>
      <c r="I75" s="117" t="s">
        <v>658</v>
      </c>
      <c r="J75" s="2">
        <v>100</v>
      </c>
      <c r="K75" s="2" t="s">
        <v>326</v>
      </c>
      <c r="L75" s="57">
        <v>25</v>
      </c>
      <c r="N75" s="2" t="s">
        <v>419</v>
      </c>
    </row>
    <row r="76" spans="2:15" x14ac:dyDescent="0.25">
      <c r="B76" s="2">
        <v>3</v>
      </c>
      <c r="C76" s="2">
        <v>5</v>
      </c>
      <c r="D76" s="2">
        <v>3</v>
      </c>
      <c r="E76" s="2" t="s">
        <v>426</v>
      </c>
      <c r="F76" s="2">
        <v>4</v>
      </c>
      <c r="G76" s="2">
        <v>1</v>
      </c>
      <c r="I76" s="117" t="s">
        <v>658</v>
      </c>
      <c r="J76" s="2">
        <v>100</v>
      </c>
      <c r="K76" s="2" t="s">
        <v>424</v>
      </c>
      <c r="L76" s="57">
        <v>25</v>
      </c>
    </row>
    <row r="77" spans="2:15" x14ac:dyDescent="0.25">
      <c r="B77" s="2">
        <v>3</v>
      </c>
      <c r="C77" s="2">
        <v>4</v>
      </c>
      <c r="D77" s="2">
        <v>4</v>
      </c>
      <c r="E77" s="2" t="s">
        <v>425</v>
      </c>
      <c r="F77" s="2">
        <v>4</v>
      </c>
      <c r="G77" s="2">
        <v>1</v>
      </c>
      <c r="I77" s="117" t="s">
        <v>658</v>
      </c>
      <c r="J77" s="2">
        <v>100</v>
      </c>
      <c r="K77" s="2" t="s">
        <v>424</v>
      </c>
      <c r="L77" s="57">
        <v>25</v>
      </c>
      <c r="O77" s="2" t="s">
        <v>408</v>
      </c>
    </row>
    <row r="78" spans="2:15" x14ac:dyDescent="0.25">
      <c r="B78" s="2">
        <v>3</v>
      </c>
      <c r="C78" s="2">
        <v>3</v>
      </c>
      <c r="D78" s="2">
        <v>4</v>
      </c>
      <c r="E78" s="2" t="s">
        <v>423</v>
      </c>
      <c r="F78" s="2">
        <v>4</v>
      </c>
      <c r="G78" s="2">
        <v>2</v>
      </c>
      <c r="I78" s="117" t="s">
        <v>658</v>
      </c>
      <c r="J78" s="2">
        <v>100</v>
      </c>
      <c r="K78" s="2" t="s">
        <v>424</v>
      </c>
      <c r="L78" s="57">
        <v>75</v>
      </c>
    </row>
    <row r="79" spans="2:15" x14ac:dyDescent="0.25">
      <c r="B79" s="2">
        <v>3</v>
      </c>
      <c r="C79" s="2">
        <v>1</v>
      </c>
      <c r="D79" s="2">
        <v>5</v>
      </c>
      <c r="E79" s="2" t="s">
        <v>421</v>
      </c>
      <c r="F79" s="2">
        <v>2</v>
      </c>
      <c r="G79" s="2">
        <v>1</v>
      </c>
      <c r="I79" s="117" t="s">
        <v>18</v>
      </c>
      <c r="J79" s="2">
        <v>20</v>
      </c>
      <c r="K79" s="2" t="s">
        <v>104</v>
      </c>
      <c r="L79" s="57">
        <v>15</v>
      </c>
      <c r="M79" s="46" t="s">
        <v>638</v>
      </c>
    </row>
    <row r="80" spans="2:15" x14ac:dyDescent="0.25">
      <c r="B80" s="2">
        <v>3</v>
      </c>
      <c r="C80" s="2">
        <v>2</v>
      </c>
      <c r="D80" s="2">
        <v>5</v>
      </c>
      <c r="E80" s="2" t="s">
        <v>422</v>
      </c>
      <c r="F80" s="2">
        <v>4</v>
      </c>
      <c r="G80" s="2">
        <v>2</v>
      </c>
      <c r="I80" s="117" t="s">
        <v>17</v>
      </c>
      <c r="J80" s="2">
        <v>15</v>
      </c>
      <c r="L80" s="57">
        <v>8</v>
      </c>
      <c r="M80" s="46" t="s">
        <v>17</v>
      </c>
    </row>
    <row r="81" spans="2:15" x14ac:dyDescent="0.25">
      <c r="B81" s="2">
        <v>4</v>
      </c>
      <c r="C81" s="2">
        <v>3</v>
      </c>
      <c r="D81" s="2">
        <v>5</v>
      </c>
      <c r="E81" s="2" t="s">
        <v>430</v>
      </c>
      <c r="F81" s="2">
        <v>4</v>
      </c>
      <c r="G81" s="2">
        <v>2</v>
      </c>
      <c r="I81" s="117" t="s">
        <v>18</v>
      </c>
      <c r="J81" s="2">
        <v>20</v>
      </c>
      <c r="L81" s="57">
        <v>13</v>
      </c>
      <c r="N81" s="2" t="s">
        <v>416</v>
      </c>
      <c r="O81" s="2" t="s">
        <v>417</v>
      </c>
    </row>
    <row r="82" spans="2:15" x14ac:dyDescent="0.25">
      <c r="B82" s="2">
        <v>4</v>
      </c>
      <c r="C82" s="2">
        <v>4</v>
      </c>
      <c r="D82" s="2">
        <v>4</v>
      </c>
      <c r="E82" s="2" t="s">
        <v>431</v>
      </c>
      <c r="F82" s="2">
        <v>4</v>
      </c>
      <c r="G82" s="2">
        <v>3</v>
      </c>
      <c r="I82" s="117" t="s">
        <v>649</v>
      </c>
      <c r="J82" s="2">
        <v>50</v>
      </c>
      <c r="L82" s="57">
        <v>40</v>
      </c>
      <c r="N82" s="2" t="s">
        <v>432</v>
      </c>
    </row>
    <row r="83" spans="2:15" x14ac:dyDescent="0.25">
      <c r="B83" s="2">
        <v>4</v>
      </c>
      <c r="C83" s="2">
        <v>1</v>
      </c>
      <c r="D83" s="2">
        <v>5</v>
      </c>
      <c r="E83" s="2" t="s">
        <v>427</v>
      </c>
      <c r="F83" s="2">
        <v>4</v>
      </c>
      <c r="G83" s="2">
        <v>1</v>
      </c>
      <c r="I83" s="117" t="s">
        <v>22</v>
      </c>
      <c r="J83" s="2">
        <v>100</v>
      </c>
      <c r="L83" s="57">
        <v>50</v>
      </c>
      <c r="N83" s="2" t="s">
        <v>428</v>
      </c>
    </row>
    <row r="84" spans="2:15" x14ac:dyDescent="0.25">
      <c r="B84" s="2">
        <v>4</v>
      </c>
      <c r="C84" s="2">
        <v>2</v>
      </c>
      <c r="D84" s="2">
        <v>5</v>
      </c>
      <c r="E84" s="2" t="s">
        <v>429</v>
      </c>
      <c r="F84" s="2">
        <v>0</v>
      </c>
      <c r="G84" s="2">
        <v>1</v>
      </c>
      <c r="I84" s="117" t="s">
        <v>660</v>
      </c>
      <c r="J84" s="2">
        <v>30</v>
      </c>
      <c r="K84" s="2" t="s">
        <v>324</v>
      </c>
      <c r="L84" s="57">
        <v>30</v>
      </c>
      <c r="N84" s="2" t="s">
        <v>428</v>
      </c>
    </row>
    <row r="85" spans="2:15" x14ac:dyDescent="0.25">
      <c r="B85" s="2">
        <v>4</v>
      </c>
      <c r="C85" s="2">
        <v>5</v>
      </c>
      <c r="D85" s="2">
        <v>3</v>
      </c>
      <c r="E85" s="2" t="s">
        <v>433</v>
      </c>
      <c r="F85" s="2">
        <v>4</v>
      </c>
      <c r="G85" s="2">
        <v>2</v>
      </c>
      <c r="I85" s="117" t="s">
        <v>19</v>
      </c>
      <c r="J85" s="2">
        <v>20</v>
      </c>
      <c r="K85" s="2" t="s">
        <v>322</v>
      </c>
      <c r="L85" s="57">
        <v>20</v>
      </c>
      <c r="N85" s="2" t="s">
        <v>432</v>
      </c>
    </row>
    <row r="86" spans="2:15" x14ac:dyDescent="0.25">
      <c r="B86" s="2">
        <v>5</v>
      </c>
      <c r="C86" s="2">
        <v>3</v>
      </c>
      <c r="D86" s="2">
        <v>4</v>
      </c>
      <c r="E86" s="2" t="s">
        <v>436</v>
      </c>
      <c r="F86" s="2">
        <v>4</v>
      </c>
      <c r="G86" s="2">
        <v>1</v>
      </c>
      <c r="H86" s="2" t="s">
        <v>330</v>
      </c>
      <c r="I86" s="117" t="s">
        <v>20</v>
      </c>
      <c r="J86" s="2">
        <v>15</v>
      </c>
      <c r="L86" s="57">
        <v>8</v>
      </c>
    </row>
    <row r="87" spans="2:15" x14ac:dyDescent="0.25">
      <c r="B87" s="2">
        <v>5</v>
      </c>
      <c r="C87" s="2">
        <v>1</v>
      </c>
      <c r="D87" s="2">
        <v>5</v>
      </c>
      <c r="E87" s="2" t="s">
        <v>434</v>
      </c>
      <c r="F87" s="2">
        <v>4</v>
      </c>
      <c r="G87" s="2">
        <v>2</v>
      </c>
      <c r="I87" s="117" t="s">
        <v>627</v>
      </c>
      <c r="J87" s="2">
        <v>40</v>
      </c>
      <c r="L87" s="57">
        <v>30</v>
      </c>
      <c r="M87" s="46" t="s">
        <v>627</v>
      </c>
    </row>
    <row r="88" spans="2:15" x14ac:dyDescent="0.25">
      <c r="B88" s="2">
        <v>5</v>
      </c>
      <c r="C88" s="2">
        <v>5</v>
      </c>
      <c r="D88" s="2">
        <v>3</v>
      </c>
      <c r="E88" s="2" t="s">
        <v>439</v>
      </c>
      <c r="F88" s="2">
        <v>4</v>
      </c>
      <c r="G88" s="2">
        <v>1</v>
      </c>
      <c r="H88" s="2" t="s">
        <v>330</v>
      </c>
      <c r="I88" s="117" t="s">
        <v>17</v>
      </c>
      <c r="J88" s="2">
        <v>15</v>
      </c>
      <c r="L88" s="57">
        <v>6</v>
      </c>
      <c r="M88" s="46" t="s">
        <v>667</v>
      </c>
    </row>
    <row r="89" spans="2:15" x14ac:dyDescent="0.25">
      <c r="B89" s="2">
        <v>5</v>
      </c>
      <c r="C89" s="2">
        <v>4</v>
      </c>
      <c r="D89" s="2">
        <v>4</v>
      </c>
      <c r="E89" s="2" t="s">
        <v>437</v>
      </c>
      <c r="F89" s="2">
        <v>4</v>
      </c>
      <c r="G89" s="2">
        <v>1</v>
      </c>
      <c r="I89" s="117" t="s">
        <v>658</v>
      </c>
      <c r="J89" s="2">
        <v>100</v>
      </c>
      <c r="K89" s="2" t="s">
        <v>326</v>
      </c>
      <c r="L89" s="57">
        <v>25</v>
      </c>
      <c r="O89" s="2" t="s">
        <v>408</v>
      </c>
    </row>
    <row r="90" spans="2:15" x14ac:dyDescent="0.25">
      <c r="B90" s="2">
        <v>5</v>
      </c>
      <c r="C90" s="2">
        <v>2</v>
      </c>
      <c r="D90" s="2">
        <v>5</v>
      </c>
      <c r="E90" s="2" t="s">
        <v>435</v>
      </c>
      <c r="F90" s="2">
        <v>4</v>
      </c>
      <c r="G90" s="2">
        <v>2</v>
      </c>
      <c r="I90" s="117" t="s">
        <v>658</v>
      </c>
      <c r="J90" s="2">
        <v>100</v>
      </c>
      <c r="K90" s="2" t="s">
        <v>326</v>
      </c>
      <c r="L90" s="290">
        <v>60</v>
      </c>
    </row>
    <row r="91" spans="2:15" x14ac:dyDescent="0.25">
      <c r="B91" s="2">
        <v>6</v>
      </c>
      <c r="C91" s="2">
        <v>6</v>
      </c>
      <c r="D91" s="2">
        <v>4</v>
      </c>
      <c r="E91" s="2" t="s">
        <v>446</v>
      </c>
      <c r="F91" s="2">
        <v>4</v>
      </c>
      <c r="G91" s="2">
        <v>2</v>
      </c>
      <c r="I91" s="117" t="s">
        <v>658</v>
      </c>
      <c r="J91" s="2">
        <v>100</v>
      </c>
      <c r="K91" s="2" t="s">
        <v>345</v>
      </c>
      <c r="L91" s="57">
        <v>50</v>
      </c>
      <c r="N91" s="2" t="s">
        <v>432</v>
      </c>
    </row>
    <row r="92" spans="2:15" x14ac:dyDescent="0.25">
      <c r="B92" s="2">
        <v>6</v>
      </c>
      <c r="C92" s="2">
        <v>3</v>
      </c>
      <c r="D92" s="2">
        <v>5</v>
      </c>
      <c r="E92" s="2" t="s">
        <v>442</v>
      </c>
      <c r="F92" s="2">
        <v>4</v>
      </c>
      <c r="G92" s="2">
        <v>2</v>
      </c>
      <c r="H92" s="2" t="s">
        <v>341</v>
      </c>
      <c r="I92" s="117" t="s">
        <v>20</v>
      </c>
      <c r="J92" s="2">
        <v>15</v>
      </c>
      <c r="K92" s="2" t="s">
        <v>319</v>
      </c>
      <c r="L92" s="57">
        <v>12</v>
      </c>
      <c r="N92" s="2" t="s">
        <v>428</v>
      </c>
    </row>
    <row r="93" spans="2:15" x14ac:dyDescent="0.25">
      <c r="B93" s="2">
        <v>6</v>
      </c>
      <c r="C93" s="2">
        <v>7</v>
      </c>
      <c r="D93" s="2">
        <v>3</v>
      </c>
      <c r="E93" s="2" t="s">
        <v>447</v>
      </c>
      <c r="F93" s="2">
        <v>4</v>
      </c>
      <c r="G93" s="2">
        <v>2</v>
      </c>
      <c r="I93" s="117" t="s">
        <v>18</v>
      </c>
      <c r="J93" s="2">
        <v>20</v>
      </c>
      <c r="L93" s="57">
        <v>8</v>
      </c>
      <c r="N93" s="2" t="s">
        <v>432</v>
      </c>
    </row>
    <row r="94" spans="2:15" x14ac:dyDescent="0.25">
      <c r="B94" s="2">
        <v>6</v>
      </c>
      <c r="C94" s="2">
        <v>5</v>
      </c>
      <c r="D94" s="2">
        <v>5</v>
      </c>
      <c r="E94" s="2" t="s">
        <v>444</v>
      </c>
      <c r="F94" s="2">
        <v>4</v>
      </c>
      <c r="G94" s="2">
        <v>1</v>
      </c>
      <c r="I94" s="117" t="s">
        <v>650</v>
      </c>
      <c r="J94" s="2">
        <v>10</v>
      </c>
      <c r="L94" s="57">
        <v>10</v>
      </c>
      <c r="O94" s="2" t="s">
        <v>445</v>
      </c>
    </row>
    <row r="95" spans="2:15" x14ac:dyDescent="0.25">
      <c r="B95" s="2">
        <v>6</v>
      </c>
      <c r="C95" s="2">
        <v>4</v>
      </c>
      <c r="D95" s="2">
        <v>5</v>
      </c>
      <c r="E95" s="2" t="s">
        <v>443</v>
      </c>
      <c r="F95" s="2">
        <v>4</v>
      </c>
      <c r="G95" s="2">
        <v>1</v>
      </c>
      <c r="I95" s="117" t="s">
        <v>22</v>
      </c>
      <c r="J95" s="2">
        <v>100</v>
      </c>
      <c r="L95" s="57">
        <v>50</v>
      </c>
      <c r="N95" s="289" t="s">
        <v>428</v>
      </c>
      <c r="O95" s="2" t="s">
        <v>417</v>
      </c>
    </row>
    <row r="96" spans="2:15" x14ac:dyDescent="0.25">
      <c r="B96" s="2">
        <v>6</v>
      </c>
      <c r="C96" s="2">
        <v>1</v>
      </c>
      <c r="D96" s="2">
        <v>5</v>
      </c>
      <c r="E96" s="2" t="s">
        <v>440</v>
      </c>
      <c r="F96" s="2">
        <v>4</v>
      </c>
      <c r="G96" s="2">
        <v>4</v>
      </c>
      <c r="I96" s="117" t="s">
        <v>658</v>
      </c>
      <c r="J96" s="2">
        <v>25</v>
      </c>
      <c r="K96" s="117" t="s">
        <v>672</v>
      </c>
      <c r="L96" s="57">
        <v>25</v>
      </c>
      <c r="O96" s="2" t="s">
        <v>335</v>
      </c>
    </row>
    <row r="97" spans="2:15" x14ac:dyDescent="0.25">
      <c r="B97" s="2">
        <v>6</v>
      </c>
      <c r="C97" s="2">
        <v>2</v>
      </c>
      <c r="D97" s="2">
        <v>5</v>
      </c>
      <c r="E97" s="2" t="s">
        <v>441</v>
      </c>
      <c r="F97" s="2">
        <v>4</v>
      </c>
      <c r="G97" s="2">
        <v>2</v>
      </c>
      <c r="I97" s="117" t="s">
        <v>19</v>
      </c>
      <c r="J97" s="2">
        <v>20</v>
      </c>
      <c r="K97" s="2" t="s">
        <v>104</v>
      </c>
      <c r="L97" s="57">
        <v>13</v>
      </c>
      <c r="N97" s="2" t="s">
        <v>428</v>
      </c>
    </row>
    <row r="98" spans="2:15" x14ac:dyDescent="0.25">
      <c r="B98" s="2">
        <v>7</v>
      </c>
      <c r="C98" s="2">
        <v>5</v>
      </c>
      <c r="D98" s="2">
        <v>3</v>
      </c>
      <c r="E98" s="2" t="s">
        <v>453</v>
      </c>
      <c r="F98" s="2">
        <v>4</v>
      </c>
      <c r="G98" s="2">
        <v>1</v>
      </c>
      <c r="I98" s="117" t="s">
        <v>21</v>
      </c>
      <c r="J98" s="2">
        <v>6</v>
      </c>
      <c r="K98" s="2" t="s">
        <v>394</v>
      </c>
      <c r="L98" s="57">
        <v>4</v>
      </c>
      <c r="M98" s="46" t="s">
        <v>665</v>
      </c>
    </row>
    <row r="99" spans="2:15" x14ac:dyDescent="0.25">
      <c r="B99" s="2">
        <v>7</v>
      </c>
      <c r="C99" s="2">
        <v>3</v>
      </c>
      <c r="D99" s="2">
        <v>4</v>
      </c>
      <c r="E99" s="2" t="s">
        <v>451</v>
      </c>
      <c r="F99" s="2">
        <v>4</v>
      </c>
      <c r="G99" s="2">
        <v>1</v>
      </c>
      <c r="I99" s="117" t="s">
        <v>21</v>
      </c>
      <c r="J99" s="2">
        <v>60</v>
      </c>
      <c r="K99" s="2" t="s">
        <v>355</v>
      </c>
      <c r="L99" s="57">
        <v>40</v>
      </c>
      <c r="M99" s="46" t="s">
        <v>649</v>
      </c>
      <c r="O99" s="2" t="s">
        <v>449</v>
      </c>
    </row>
    <row r="100" spans="2:15" x14ac:dyDescent="0.25">
      <c r="B100" s="2">
        <v>7</v>
      </c>
      <c r="C100" s="2">
        <v>2</v>
      </c>
      <c r="D100" s="2">
        <v>5</v>
      </c>
      <c r="E100" s="2" t="s">
        <v>450</v>
      </c>
      <c r="F100" s="2">
        <v>4</v>
      </c>
      <c r="G100" s="2">
        <v>1</v>
      </c>
      <c r="I100" s="117" t="s">
        <v>627</v>
      </c>
      <c r="J100" s="2">
        <v>40</v>
      </c>
      <c r="L100" s="57">
        <v>30</v>
      </c>
      <c r="M100" s="46" t="s">
        <v>627</v>
      </c>
      <c r="O100" s="2" t="s">
        <v>449</v>
      </c>
    </row>
    <row r="101" spans="2:15" x14ac:dyDescent="0.25">
      <c r="B101" s="2">
        <v>7</v>
      </c>
      <c r="C101" s="2">
        <v>1</v>
      </c>
      <c r="D101" s="2">
        <v>5</v>
      </c>
      <c r="E101" s="2" t="s">
        <v>448</v>
      </c>
      <c r="F101" s="2">
        <v>4</v>
      </c>
      <c r="G101" s="2">
        <v>1</v>
      </c>
      <c r="I101" s="117" t="s">
        <v>658</v>
      </c>
      <c r="J101" s="2">
        <v>15</v>
      </c>
      <c r="K101" s="2" t="s">
        <v>330</v>
      </c>
      <c r="L101" s="57">
        <v>13</v>
      </c>
      <c r="O101" s="2" t="s">
        <v>449</v>
      </c>
    </row>
    <row r="102" spans="2:15" x14ac:dyDescent="0.25">
      <c r="B102" s="2">
        <v>7</v>
      </c>
      <c r="C102" s="2">
        <v>4</v>
      </c>
      <c r="D102" s="2">
        <v>4</v>
      </c>
      <c r="E102" s="2" t="s">
        <v>452</v>
      </c>
      <c r="F102" s="2">
        <v>4</v>
      </c>
      <c r="G102" s="2">
        <v>2</v>
      </c>
      <c r="H102" s="2" t="s">
        <v>349</v>
      </c>
      <c r="I102" s="117" t="s">
        <v>638</v>
      </c>
      <c r="J102" s="2">
        <v>30</v>
      </c>
      <c r="L102" s="57">
        <v>25</v>
      </c>
      <c r="O102" s="2" t="s">
        <v>408</v>
      </c>
    </row>
    <row r="103" spans="2:15" x14ac:dyDescent="0.25">
      <c r="B103" s="2">
        <v>8</v>
      </c>
      <c r="C103" s="2">
        <v>4</v>
      </c>
      <c r="D103" s="2">
        <v>4</v>
      </c>
      <c r="E103" s="2" t="s">
        <v>458</v>
      </c>
      <c r="F103" s="2">
        <v>4</v>
      </c>
      <c r="G103" s="2">
        <v>2</v>
      </c>
      <c r="I103" s="117" t="s">
        <v>658</v>
      </c>
      <c r="J103" s="2">
        <v>100</v>
      </c>
      <c r="K103" s="2" t="s">
        <v>352</v>
      </c>
      <c r="L103" s="57">
        <v>50</v>
      </c>
      <c r="N103" s="2" t="s">
        <v>432</v>
      </c>
    </row>
    <row r="104" spans="2:15" x14ac:dyDescent="0.25">
      <c r="B104" s="2">
        <v>8</v>
      </c>
      <c r="C104" s="2">
        <v>2</v>
      </c>
      <c r="D104" s="2">
        <v>5</v>
      </c>
      <c r="E104" s="2" t="s">
        <v>456</v>
      </c>
      <c r="F104" s="2">
        <v>4</v>
      </c>
      <c r="G104" s="2">
        <v>1</v>
      </c>
      <c r="I104" s="117" t="s">
        <v>649</v>
      </c>
      <c r="J104" s="2">
        <v>50</v>
      </c>
      <c r="L104" s="57">
        <v>50</v>
      </c>
      <c r="N104" s="2" t="s">
        <v>428</v>
      </c>
    </row>
    <row r="105" spans="2:15" x14ac:dyDescent="0.25">
      <c r="B105" s="2">
        <v>8</v>
      </c>
      <c r="C105" s="2">
        <v>5</v>
      </c>
      <c r="D105" s="2">
        <v>3</v>
      </c>
      <c r="E105" s="2" t="s">
        <v>459</v>
      </c>
      <c r="F105" s="2">
        <v>4</v>
      </c>
      <c r="G105" s="2">
        <v>3</v>
      </c>
      <c r="I105" s="117" t="s">
        <v>22</v>
      </c>
      <c r="J105" s="2">
        <v>100</v>
      </c>
      <c r="L105" s="57">
        <v>20</v>
      </c>
      <c r="N105" s="2" t="s">
        <v>432</v>
      </c>
    </row>
    <row r="106" spans="2:15" x14ac:dyDescent="0.25">
      <c r="B106" s="2">
        <v>8</v>
      </c>
      <c r="C106" s="2">
        <v>1</v>
      </c>
      <c r="D106" s="2">
        <v>5</v>
      </c>
      <c r="E106" s="2" t="s">
        <v>454</v>
      </c>
      <c r="F106" s="2">
        <v>4</v>
      </c>
      <c r="G106" s="2">
        <v>1</v>
      </c>
      <c r="H106" s="2" t="s">
        <v>455</v>
      </c>
      <c r="I106" s="117" t="s">
        <v>627</v>
      </c>
      <c r="J106" s="2">
        <v>40</v>
      </c>
      <c r="L106" s="57">
        <v>40</v>
      </c>
      <c r="N106" s="2" t="s">
        <v>428</v>
      </c>
    </row>
    <row r="107" spans="2:15" x14ac:dyDescent="0.25">
      <c r="B107" s="2">
        <v>8</v>
      </c>
      <c r="C107" s="2">
        <v>3</v>
      </c>
      <c r="D107" s="2">
        <v>5</v>
      </c>
      <c r="E107" s="2" t="s">
        <v>457</v>
      </c>
      <c r="F107" s="2">
        <v>4</v>
      </c>
      <c r="G107" s="2">
        <v>2</v>
      </c>
      <c r="H107" s="46" t="s">
        <v>673</v>
      </c>
      <c r="I107" s="117" t="s">
        <v>638</v>
      </c>
      <c r="J107" s="2">
        <v>30</v>
      </c>
      <c r="L107" s="57">
        <v>25</v>
      </c>
      <c r="N107" s="2" t="s">
        <v>428</v>
      </c>
      <c r="O107" s="2" t="s">
        <v>417</v>
      </c>
    </row>
    <row r="108" spans="2:15" x14ac:dyDescent="0.25">
      <c r="B108" s="2">
        <v>9</v>
      </c>
      <c r="C108" s="2">
        <v>4</v>
      </c>
      <c r="D108" s="2">
        <v>4</v>
      </c>
      <c r="E108" s="2" t="s">
        <v>464</v>
      </c>
      <c r="F108" s="2">
        <v>4</v>
      </c>
      <c r="G108" s="2">
        <v>2</v>
      </c>
      <c r="I108" s="117" t="s">
        <v>658</v>
      </c>
      <c r="J108" s="2">
        <v>100</v>
      </c>
      <c r="K108" s="2" t="s">
        <v>340</v>
      </c>
      <c r="L108" s="57">
        <v>75</v>
      </c>
      <c r="O108" s="2" t="s">
        <v>408</v>
      </c>
    </row>
    <row r="109" spans="2:15" x14ac:dyDescent="0.25">
      <c r="B109" s="2">
        <v>9</v>
      </c>
      <c r="C109" s="2">
        <v>2</v>
      </c>
      <c r="D109" s="2">
        <v>5</v>
      </c>
      <c r="E109" s="2" t="s">
        <v>461</v>
      </c>
      <c r="F109" s="2">
        <v>4</v>
      </c>
      <c r="G109" s="2">
        <v>1</v>
      </c>
      <c r="H109" s="2" t="s">
        <v>462</v>
      </c>
      <c r="I109" s="117" t="s">
        <v>20</v>
      </c>
      <c r="J109" s="2">
        <v>15</v>
      </c>
      <c r="L109" s="57">
        <v>14</v>
      </c>
    </row>
    <row r="110" spans="2:15" x14ac:dyDescent="0.25">
      <c r="B110" s="2">
        <v>9</v>
      </c>
      <c r="C110" s="2">
        <v>1</v>
      </c>
      <c r="D110" s="2">
        <v>5</v>
      </c>
      <c r="E110" s="2" t="s">
        <v>460</v>
      </c>
      <c r="F110" s="2">
        <v>4</v>
      </c>
      <c r="G110" s="2">
        <v>1</v>
      </c>
      <c r="I110" s="117" t="s">
        <v>18</v>
      </c>
      <c r="J110" s="2">
        <v>20</v>
      </c>
      <c r="L110" s="57">
        <v>13</v>
      </c>
      <c r="M110" s="46" t="s">
        <v>638</v>
      </c>
    </row>
    <row r="111" spans="2:15" x14ac:dyDescent="0.25">
      <c r="B111" s="2">
        <v>9</v>
      </c>
      <c r="C111" s="2">
        <v>3</v>
      </c>
      <c r="D111" s="2">
        <v>4</v>
      </c>
      <c r="E111" s="2" t="s">
        <v>463</v>
      </c>
      <c r="F111" s="2">
        <v>4</v>
      </c>
      <c r="G111" s="2">
        <v>1</v>
      </c>
      <c r="I111" s="117" t="s">
        <v>649</v>
      </c>
      <c r="J111" s="2">
        <v>50</v>
      </c>
      <c r="L111" s="57">
        <v>40</v>
      </c>
      <c r="M111" s="46" t="s">
        <v>649</v>
      </c>
    </row>
    <row r="112" spans="2:15" x14ac:dyDescent="0.25">
      <c r="B112" s="2">
        <v>9</v>
      </c>
      <c r="C112" s="2">
        <v>5</v>
      </c>
      <c r="D112" s="2">
        <v>3</v>
      </c>
      <c r="E112" s="2" t="s">
        <v>465</v>
      </c>
      <c r="F112" s="2">
        <v>4</v>
      </c>
      <c r="G112" s="2">
        <v>1</v>
      </c>
      <c r="H112" s="2" t="s">
        <v>320</v>
      </c>
      <c r="I112" s="117" t="s">
        <v>660</v>
      </c>
      <c r="J112" s="2">
        <v>30</v>
      </c>
      <c r="K112" s="2" t="s">
        <v>324</v>
      </c>
      <c r="L112" s="57">
        <v>25</v>
      </c>
    </row>
    <row r="113" spans="2:15" x14ac:dyDescent="0.25">
      <c r="B113" s="2">
        <v>10</v>
      </c>
      <c r="C113" s="2">
        <v>10</v>
      </c>
      <c r="D113" s="2">
        <v>4</v>
      </c>
      <c r="E113" s="2" t="s">
        <v>478</v>
      </c>
      <c r="F113" s="2">
        <v>4</v>
      </c>
      <c r="G113" s="2">
        <v>2</v>
      </c>
      <c r="I113" s="117" t="s">
        <v>21</v>
      </c>
      <c r="J113" s="2">
        <v>18</v>
      </c>
      <c r="K113" s="2" t="s">
        <v>479</v>
      </c>
      <c r="L113" s="57">
        <v>14</v>
      </c>
      <c r="M113" s="46" t="s">
        <v>665</v>
      </c>
    </row>
    <row r="114" spans="2:15" x14ac:dyDescent="0.25">
      <c r="B114" s="2">
        <v>10</v>
      </c>
      <c r="C114" s="2">
        <v>8</v>
      </c>
      <c r="D114" s="2">
        <v>5</v>
      </c>
      <c r="E114" s="2" t="s">
        <v>476</v>
      </c>
      <c r="F114" s="2">
        <v>4</v>
      </c>
      <c r="G114" s="2">
        <v>1</v>
      </c>
      <c r="I114" s="117" t="s">
        <v>18</v>
      </c>
      <c r="J114" s="2">
        <v>20</v>
      </c>
      <c r="L114" s="57">
        <v>13</v>
      </c>
      <c r="O114" s="2" t="s">
        <v>471</v>
      </c>
    </row>
    <row r="115" spans="2:15" x14ac:dyDescent="0.25">
      <c r="B115" s="2">
        <v>10</v>
      </c>
      <c r="C115" s="2">
        <v>4</v>
      </c>
      <c r="D115" s="2">
        <v>5</v>
      </c>
      <c r="E115" s="2" t="s">
        <v>472</v>
      </c>
      <c r="F115" s="2">
        <v>4</v>
      </c>
      <c r="G115" s="2">
        <v>1</v>
      </c>
      <c r="I115" s="117" t="s">
        <v>650</v>
      </c>
      <c r="J115" s="2">
        <v>10</v>
      </c>
      <c r="L115" s="57">
        <v>10</v>
      </c>
      <c r="O115" s="2" t="s">
        <v>471</v>
      </c>
    </row>
    <row r="116" spans="2:15" x14ac:dyDescent="0.25">
      <c r="B116" s="2">
        <v>10</v>
      </c>
      <c r="C116" s="2">
        <v>5</v>
      </c>
      <c r="D116" s="2">
        <v>5</v>
      </c>
      <c r="E116" s="2" t="s">
        <v>473</v>
      </c>
      <c r="F116" s="2">
        <v>4</v>
      </c>
      <c r="G116" s="2">
        <v>1</v>
      </c>
      <c r="I116" s="117" t="s">
        <v>21</v>
      </c>
      <c r="J116" s="2">
        <v>60</v>
      </c>
      <c r="K116" s="2" t="s">
        <v>355</v>
      </c>
      <c r="L116" s="57">
        <v>50</v>
      </c>
      <c r="O116" s="2" t="s">
        <v>471</v>
      </c>
    </row>
    <row r="117" spans="2:15" x14ac:dyDescent="0.25">
      <c r="B117" s="2">
        <v>10</v>
      </c>
      <c r="C117" s="2">
        <v>2</v>
      </c>
      <c r="D117" s="2">
        <v>5</v>
      </c>
      <c r="E117" s="2" t="s">
        <v>467</v>
      </c>
      <c r="F117" s="2">
        <v>4</v>
      </c>
      <c r="G117" s="2">
        <v>1</v>
      </c>
      <c r="H117" s="2" t="s">
        <v>328</v>
      </c>
      <c r="I117" s="117" t="s">
        <v>655</v>
      </c>
      <c r="J117" s="46" t="s">
        <v>653</v>
      </c>
      <c r="L117" s="57" t="s">
        <v>438</v>
      </c>
      <c r="M117" s="46" t="s">
        <v>666</v>
      </c>
    </row>
    <row r="118" spans="2:15" x14ac:dyDescent="0.25">
      <c r="B118" s="2">
        <v>10</v>
      </c>
      <c r="C118" s="2">
        <v>11</v>
      </c>
      <c r="D118" s="2">
        <v>3</v>
      </c>
      <c r="E118" s="2" t="s">
        <v>480</v>
      </c>
      <c r="F118" s="2">
        <v>4</v>
      </c>
      <c r="G118" s="2">
        <v>2</v>
      </c>
      <c r="I118" s="117" t="s">
        <v>22</v>
      </c>
      <c r="J118" s="2">
        <v>100</v>
      </c>
      <c r="L118" s="57">
        <v>20</v>
      </c>
      <c r="M118" s="46" t="s">
        <v>668</v>
      </c>
    </row>
    <row r="119" spans="2:15" x14ac:dyDescent="0.25">
      <c r="B119" s="2">
        <v>10</v>
      </c>
      <c r="C119" s="2">
        <v>1</v>
      </c>
      <c r="D119" s="2">
        <v>5</v>
      </c>
      <c r="E119" s="2" t="s">
        <v>466</v>
      </c>
      <c r="F119" s="2">
        <v>4</v>
      </c>
      <c r="G119" s="2">
        <v>1</v>
      </c>
      <c r="I119" s="117" t="s">
        <v>22</v>
      </c>
      <c r="J119" s="2">
        <v>100</v>
      </c>
      <c r="L119" s="57">
        <v>50</v>
      </c>
    </row>
    <row r="120" spans="2:15" x14ac:dyDescent="0.25">
      <c r="B120" s="2">
        <v>10</v>
      </c>
      <c r="C120" s="2">
        <v>9</v>
      </c>
      <c r="D120" s="2">
        <v>5</v>
      </c>
      <c r="E120" s="2" t="s">
        <v>477</v>
      </c>
      <c r="F120" s="2">
        <v>4</v>
      </c>
      <c r="G120" s="2">
        <v>2</v>
      </c>
      <c r="H120" s="2" t="s">
        <v>328</v>
      </c>
      <c r="I120" s="117" t="s">
        <v>17</v>
      </c>
      <c r="J120" s="2">
        <v>15</v>
      </c>
      <c r="L120" s="57">
        <v>10</v>
      </c>
      <c r="O120" s="2" t="s">
        <v>471</v>
      </c>
    </row>
    <row r="121" spans="2:15" x14ac:dyDescent="0.25">
      <c r="B121" s="2">
        <v>10</v>
      </c>
      <c r="C121" s="2">
        <v>6</v>
      </c>
      <c r="D121" s="2">
        <v>5</v>
      </c>
      <c r="E121" s="2" t="s">
        <v>474</v>
      </c>
      <c r="F121" s="2">
        <v>4</v>
      </c>
      <c r="G121" s="2">
        <v>2</v>
      </c>
      <c r="I121" s="117" t="s">
        <v>660</v>
      </c>
      <c r="J121" s="2">
        <v>30</v>
      </c>
      <c r="K121" s="2" t="s">
        <v>324</v>
      </c>
      <c r="L121" s="290">
        <v>30</v>
      </c>
      <c r="O121" s="2" t="s">
        <v>471</v>
      </c>
    </row>
    <row r="122" spans="2:15" x14ac:dyDescent="0.25">
      <c r="B122" s="2">
        <v>10</v>
      </c>
      <c r="C122" s="2">
        <v>7</v>
      </c>
      <c r="D122" s="2">
        <v>5</v>
      </c>
      <c r="E122" s="2" t="s">
        <v>475</v>
      </c>
      <c r="F122" s="2">
        <v>4</v>
      </c>
      <c r="G122" s="2">
        <v>4</v>
      </c>
      <c r="I122" s="117" t="s">
        <v>660</v>
      </c>
      <c r="J122" s="2">
        <v>30</v>
      </c>
      <c r="K122" s="2" t="s">
        <v>343</v>
      </c>
      <c r="L122" s="57">
        <v>30</v>
      </c>
      <c r="O122" s="2" t="s">
        <v>471</v>
      </c>
    </row>
    <row r="123" spans="2:15" x14ac:dyDescent="0.25">
      <c r="B123" s="2">
        <v>10</v>
      </c>
      <c r="C123" s="2">
        <v>3</v>
      </c>
      <c r="D123" s="2">
        <v>5</v>
      </c>
      <c r="E123" s="2" t="s">
        <v>468</v>
      </c>
      <c r="F123" s="2">
        <v>4</v>
      </c>
      <c r="G123" s="2">
        <v>3</v>
      </c>
      <c r="I123" s="117" t="s">
        <v>637</v>
      </c>
      <c r="J123" s="46" t="s">
        <v>661</v>
      </c>
      <c r="K123" s="2" t="s">
        <v>469</v>
      </c>
      <c r="L123" s="57" t="s">
        <v>470</v>
      </c>
      <c r="O123" s="2" t="s">
        <v>471</v>
      </c>
    </row>
    <row r="124" spans="2:15" x14ac:dyDescent="0.25">
      <c r="B124" s="2">
        <v>11</v>
      </c>
      <c r="C124" s="2">
        <v>5</v>
      </c>
      <c r="D124" s="2">
        <v>3</v>
      </c>
      <c r="E124" s="2" t="s">
        <v>487</v>
      </c>
      <c r="F124" s="2">
        <v>4</v>
      </c>
      <c r="G124" s="2">
        <v>1</v>
      </c>
      <c r="I124" s="117" t="s">
        <v>658</v>
      </c>
      <c r="J124" s="2">
        <v>100</v>
      </c>
      <c r="K124" s="2" t="s">
        <v>340</v>
      </c>
      <c r="L124" s="57">
        <v>25</v>
      </c>
    </row>
    <row r="125" spans="2:15" x14ac:dyDescent="0.25">
      <c r="B125" s="2">
        <v>11</v>
      </c>
      <c r="C125" s="2">
        <v>4</v>
      </c>
      <c r="D125" s="2">
        <v>4</v>
      </c>
      <c r="E125" s="2" t="s">
        <v>486</v>
      </c>
      <c r="F125" s="2">
        <v>4</v>
      </c>
      <c r="G125" s="2">
        <v>1</v>
      </c>
      <c r="I125" s="117" t="s">
        <v>658</v>
      </c>
      <c r="J125" s="2">
        <v>100</v>
      </c>
      <c r="K125" s="2" t="s">
        <v>352</v>
      </c>
      <c r="L125" s="57">
        <v>25</v>
      </c>
      <c r="O125" s="2" t="s">
        <v>408</v>
      </c>
    </row>
    <row r="126" spans="2:15" x14ac:dyDescent="0.25">
      <c r="B126" s="2">
        <v>11</v>
      </c>
      <c r="C126" s="2">
        <v>2</v>
      </c>
      <c r="D126" s="2">
        <v>5</v>
      </c>
      <c r="E126" s="2" t="s">
        <v>484</v>
      </c>
      <c r="F126" s="2">
        <v>4</v>
      </c>
      <c r="G126" s="2">
        <v>1</v>
      </c>
      <c r="H126" s="2" t="s">
        <v>330</v>
      </c>
      <c r="I126" s="117" t="s">
        <v>655</v>
      </c>
      <c r="J126" s="46" t="s">
        <v>653</v>
      </c>
      <c r="L126" s="57" t="s">
        <v>438</v>
      </c>
      <c r="M126" s="46" t="s">
        <v>667</v>
      </c>
    </row>
    <row r="127" spans="2:15" x14ac:dyDescent="0.25">
      <c r="B127" s="2">
        <v>11</v>
      </c>
      <c r="C127" s="2">
        <v>3</v>
      </c>
      <c r="D127" s="2">
        <v>4</v>
      </c>
      <c r="E127" s="2" t="s">
        <v>485</v>
      </c>
      <c r="F127" s="2">
        <v>4</v>
      </c>
      <c r="G127" s="2">
        <v>4</v>
      </c>
      <c r="I127" s="117" t="s">
        <v>22</v>
      </c>
      <c r="J127" s="2">
        <v>100</v>
      </c>
      <c r="L127" s="57">
        <v>25</v>
      </c>
      <c r="M127" s="46" t="s">
        <v>670</v>
      </c>
    </row>
    <row r="128" spans="2:15" x14ac:dyDescent="0.25">
      <c r="B128" s="2">
        <v>11</v>
      </c>
      <c r="C128" s="2">
        <v>1</v>
      </c>
      <c r="D128" s="2">
        <v>5</v>
      </c>
      <c r="E128" s="2" t="s">
        <v>481</v>
      </c>
      <c r="F128" s="2">
        <v>4</v>
      </c>
      <c r="G128" s="2">
        <v>1</v>
      </c>
      <c r="H128" s="2" t="s">
        <v>482</v>
      </c>
      <c r="I128" s="117" t="s">
        <v>627</v>
      </c>
      <c r="J128" s="2">
        <v>40</v>
      </c>
      <c r="L128" s="57">
        <v>40</v>
      </c>
    </row>
    <row r="129" spans="2:15" x14ac:dyDescent="0.25">
      <c r="B129" s="2">
        <v>12</v>
      </c>
      <c r="C129" s="2">
        <v>3</v>
      </c>
      <c r="D129" s="2">
        <v>4</v>
      </c>
      <c r="E129" s="2" t="s">
        <v>491</v>
      </c>
      <c r="F129" s="2">
        <v>4</v>
      </c>
      <c r="G129" s="2">
        <v>1</v>
      </c>
      <c r="I129" s="117" t="s">
        <v>21</v>
      </c>
      <c r="J129" s="2">
        <v>15</v>
      </c>
      <c r="K129" s="2" t="s">
        <v>317</v>
      </c>
      <c r="L129" s="57">
        <v>10</v>
      </c>
      <c r="N129" s="2" t="s">
        <v>412</v>
      </c>
    </row>
    <row r="130" spans="2:15" x14ac:dyDescent="0.25">
      <c r="B130" s="2">
        <v>12</v>
      </c>
      <c r="C130" s="2">
        <v>2</v>
      </c>
      <c r="D130" s="2">
        <v>5</v>
      </c>
      <c r="E130" s="2" t="s">
        <v>490</v>
      </c>
      <c r="F130" s="2">
        <v>4</v>
      </c>
      <c r="G130" s="2">
        <v>4</v>
      </c>
      <c r="I130" s="117" t="s">
        <v>627</v>
      </c>
      <c r="J130" s="2">
        <v>40</v>
      </c>
      <c r="L130" s="57">
        <v>30</v>
      </c>
      <c r="N130" s="289" t="s">
        <v>428</v>
      </c>
      <c r="O130" s="2" t="s">
        <v>417</v>
      </c>
    </row>
    <row r="131" spans="2:15" x14ac:dyDescent="0.25">
      <c r="B131" s="2">
        <v>12</v>
      </c>
      <c r="C131" s="2">
        <v>4</v>
      </c>
      <c r="D131" s="2">
        <v>3</v>
      </c>
      <c r="E131" s="2" t="s">
        <v>492</v>
      </c>
      <c r="F131" s="2">
        <v>4</v>
      </c>
      <c r="G131" s="2">
        <v>4</v>
      </c>
      <c r="H131" s="2" t="s">
        <v>349</v>
      </c>
      <c r="I131" s="117" t="s">
        <v>17</v>
      </c>
      <c r="J131" s="2">
        <v>15</v>
      </c>
      <c r="L131" s="57">
        <v>6</v>
      </c>
      <c r="N131" s="2" t="s">
        <v>432</v>
      </c>
    </row>
    <row r="132" spans="2:15" x14ac:dyDescent="0.25">
      <c r="B132" s="2">
        <v>12</v>
      </c>
      <c r="C132" s="2">
        <v>1</v>
      </c>
      <c r="D132" s="2">
        <v>5</v>
      </c>
      <c r="E132" s="2" t="s">
        <v>488</v>
      </c>
      <c r="F132" s="2">
        <v>4</v>
      </c>
      <c r="G132" s="2">
        <v>1</v>
      </c>
      <c r="I132" s="117" t="s">
        <v>102</v>
      </c>
      <c r="J132" s="46" t="s">
        <v>659</v>
      </c>
      <c r="K132" s="2" t="s">
        <v>355</v>
      </c>
      <c r="L132" s="57" t="s">
        <v>489</v>
      </c>
      <c r="N132" s="2" t="s">
        <v>428</v>
      </c>
    </row>
    <row r="133" spans="2:15" x14ac:dyDescent="0.25">
      <c r="B133" s="2">
        <v>13</v>
      </c>
      <c r="C133" s="2">
        <v>2</v>
      </c>
      <c r="D133" s="2">
        <v>5</v>
      </c>
      <c r="E133" s="2" t="s">
        <v>496</v>
      </c>
      <c r="F133" s="2">
        <v>4</v>
      </c>
      <c r="G133" s="2">
        <v>4</v>
      </c>
      <c r="I133" s="117" t="s">
        <v>639</v>
      </c>
      <c r="J133" s="2">
        <v>35</v>
      </c>
      <c r="L133" s="57">
        <v>35</v>
      </c>
      <c r="N133" s="289" t="s">
        <v>428</v>
      </c>
      <c r="O133" s="2" t="s">
        <v>417</v>
      </c>
    </row>
    <row r="134" spans="2:15" x14ac:dyDescent="0.25">
      <c r="B134" s="2">
        <v>13</v>
      </c>
      <c r="C134" s="2">
        <v>1</v>
      </c>
      <c r="D134" s="2">
        <v>5</v>
      </c>
      <c r="E134" s="2" t="s">
        <v>493</v>
      </c>
      <c r="F134" s="2">
        <v>4</v>
      </c>
      <c r="G134" s="2">
        <v>2</v>
      </c>
      <c r="H134" s="2" t="s">
        <v>494</v>
      </c>
      <c r="I134" s="117" t="s">
        <v>627</v>
      </c>
      <c r="J134" s="2">
        <v>40</v>
      </c>
      <c r="L134" s="57">
        <v>40</v>
      </c>
      <c r="N134" s="2" t="s">
        <v>428</v>
      </c>
    </row>
    <row r="135" spans="2:15" x14ac:dyDescent="0.25">
      <c r="B135" s="2">
        <v>13</v>
      </c>
      <c r="C135" s="2">
        <v>4</v>
      </c>
      <c r="D135" s="2">
        <v>3</v>
      </c>
      <c r="E135" s="2" t="s">
        <v>498</v>
      </c>
      <c r="F135" s="2">
        <v>4</v>
      </c>
      <c r="G135" s="2">
        <v>4</v>
      </c>
      <c r="H135" s="2" t="s">
        <v>341</v>
      </c>
      <c r="I135" s="117" t="s">
        <v>17</v>
      </c>
      <c r="J135" s="2">
        <v>15</v>
      </c>
      <c r="L135" s="57">
        <v>6</v>
      </c>
      <c r="N135" s="2" t="s">
        <v>432</v>
      </c>
    </row>
    <row r="136" spans="2:15" x14ac:dyDescent="0.25">
      <c r="B136" s="2">
        <v>13</v>
      </c>
      <c r="C136" s="2">
        <v>3</v>
      </c>
      <c r="D136" s="2">
        <v>4</v>
      </c>
      <c r="E136" s="2" t="s">
        <v>497</v>
      </c>
      <c r="F136" s="2">
        <v>4</v>
      </c>
      <c r="G136" s="2">
        <v>2</v>
      </c>
      <c r="I136" s="117" t="s">
        <v>19</v>
      </c>
      <c r="J136" s="2">
        <v>20</v>
      </c>
      <c r="K136" s="2" t="s">
        <v>104</v>
      </c>
      <c r="L136" s="57">
        <v>10</v>
      </c>
      <c r="N136" s="2" t="s">
        <v>414</v>
      </c>
    </row>
    <row r="137" spans="2:15" x14ac:dyDescent="0.25">
      <c r="B137" s="2">
        <v>14</v>
      </c>
      <c r="C137" s="2">
        <v>1</v>
      </c>
      <c r="D137" s="2">
        <v>5</v>
      </c>
      <c r="E137" s="2" t="s">
        <v>499</v>
      </c>
      <c r="F137" s="2">
        <v>4</v>
      </c>
      <c r="G137" s="2">
        <v>4</v>
      </c>
      <c r="I137" s="117" t="s">
        <v>658</v>
      </c>
      <c r="J137" s="2">
        <v>25</v>
      </c>
      <c r="K137" s="117" t="s">
        <v>674</v>
      </c>
      <c r="L137" s="57">
        <v>25</v>
      </c>
      <c r="O137" s="2" t="s">
        <v>335</v>
      </c>
    </row>
    <row r="138" spans="2:15" x14ac:dyDescent="0.25">
      <c r="B138" s="2">
        <v>15</v>
      </c>
      <c r="C138" s="2">
        <v>1</v>
      </c>
      <c r="D138" s="2">
        <v>5</v>
      </c>
      <c r="E138" s="2" t="s">
        <v>500</v>
      </c>
      <c r="F138" s="2">
        <v>4</v>
      </c>
      <c r="G138" s="2">
        <v>2</v>
      </c>
      <c r="I138" s="117" t="s">
        <v>21</v>
      </c>
      <c r="J138" s="2">
        <v>6</v>
      </c>
      <c r="K138" s="2" t="s">
        <v>394</v>
      </c>
      <c r="L138" s="57">
        <v>6</v>
      </c>
      <c r="N138" s="2" t="s">
        <v>501</v>
      </c>
      <c r="O138" s="2" t="s">
        <v>502</v>
      </c>
    </row>
    <row r="139" spans="2:15" x14ac:dyDescent="0.25">
      <c r="B139" s="2">
        <v>15</v>
      </c>
      <c r="C139" s="2">
        <v>2</v>
      </c>
      <c r="D139" s="2">
        <v>4</v>
      </c>
      <c r="E139" s="2" t="s">
        <v>503</v>
      </c>
      <c r="F139" s="2">
        <v>4</v>
      </c>
      <c r="G139" s="2">
        <v>1</v>
      </c>
      <c r="I139" s="117" t="s">
        <v>654</v>
      </c>
      <c r="J139" s="46" t="s">
        <v>652</v>
      </c>
      <c r="L139" s="57" t="s">
        <v>438</v>
      </c>
      <c r="N139" s="2" t="s">
        <v>504</v>
      </c>
      <c r="O139" s="2" t="s">
        <v>502</v>
      </c>
    </row>
    <row r="140" spans="2:15" x14ac:dyDescent="0.25">
      <c r="B140" s="2">
        <v>15</v>
      </c>
      <c r="C140" s="2">
        <v>3</v>
      </c>
      <c r="D140" s="2">
        <v>3</v>
      </c>
      <c r="E140" s="2" t="s">
        <v>505</v>
      </c>
      <c r="F140" s="2">
        <v>4</v>
      </c>
      <c r="G140" s="2">
        <v>1</v>
      </c>
      <c r="I140" s="117" t="s">
        <v>664</v>
      </c>
      <c r="J140" s="2">
        <v>20</v>
      </c>
      <c r="L140" s="57">
        <v>10</v>
      </c>
      <c r="N140" s="2" t="s">
        <v>506</v>
      </c>
      <c r="O140" s="2" t="s">
        <v>502</v>
      </c>
    </row>
    <row r="141" spans="2:15" x14ac:dyDescent="0.25">
      <c r="B141" s="2">
        <v>16</v>
      </c>
      <c r="C141" s="2">
        <v>1</v>
      </c>
      <c r="D141" s="2">
        <v>5</v>
      </c>
      <c r="E141" s="2" t="s">
        <v>507</v>
      </c>
      <c r="F141" s="2">
        <v>4</v>
      </c>
      <c r="G141" s="2">
        <v>2</v>
      </c>
      <c r="I141" s="117" t="s">
        <v>21</v>
      </c>
      <c r="J141" s="2">
        <v>20</v>
      </c>
      <c r="K141" s="2" t="s">
        <v>104</v>
      </c>
      <c r="L141" s="57">
        <v>13</v>
      </c>
      <c r="O141" s="2" t="s">
        <v>508</v>
      </c>
    </row>
    <row r="142" spans="2:15" x14ac:dyDescent="0.25">
      <c r="B142" s="2">
        <v>17</v>
      </c>
      <c r="C142" s="2">
        <v>1</v>
      </c>
      <c r="D142" s="2">
        <v>5</v>
      </c>
      <c r="E142" s="2" t="s">
        <v>509</v>
      </c>
      <c r="F142" s="2">
        <v>1</v>
      </c>
      <c r="G142" s="2">
        <v>1</v>
      </c>
      <c r="I142" s="117" t="s">
        <v>658</v>
      </c>
      <c r="J142" s="2">
        <v>100</v>
      </c>
      <c r="K142" s="2" t="s">
        <v>340</v>
      </c>
      <c r="L142" s="57">
        <v>60</v>
      </c>
    </row>
    <row r="143" spans="2:15" x14ac:dyDescent="0.25">
      <c r="B143" s="2">
        <v>17</v>
      </c>
      <c r="C143" s="2">
        <v>3</v>
      </c>
      <c r="D143" s="2">
        <v>4</v>
      </c>
      <c r="E143" s="2" t="s">
        <v>511</v>
      </c>
      <c r="F143" s="2">
        <v>4</v>
      </c>
      <c r="G143" s="2">
        <v>1</v>
      </c>
      <c r="I143" s="117" t="s">
        <v>18</v>
      </c>
      <c r="J143" s="2">
        <v>20</v>
      </c>
      <c r="L143" s="57">
        <v>10</v>
      </c>
      <c r="M143" s="46" t="s">
        <v>665</v>
      </c>
    </row>
    <row r="144" spans="2:15" x14ac:dyDescent="0.25">
      <c r="B144" s="2">
        <v>17</v>
      </c>
      <c r="C144" s="2">
        <v>2</v>
      </c>
      <c r="D144" s="2">
        <v>5</v>
      </c>
      <c r="E144" s="2" t="s">
        <v>510</v>
      </c>
      <c r="F144" s="2">
        <v>4</v>
      </c>
      <c r="G144" s="2">
        <v>1</v>
      </c>
      <c r="H144" s="2" t="s">
        <v>349</v>
      </c>
      <c r="I144" s="117" t="s">
        <v>655</v>
      </c>
      <c r="J144" s="46" t="s">
        <v>653</v>
      </c>
      <c r="L144" s="57" t="s">
        <v>438</v>
      </c>
      <c r="M144" s="46" t="s">
        <v>670</v>
      </c>
    </row>
    <row r="145" spans="2:15" x14ac:dyDescent="0.25">
      <c r="B145" s="2">
        <v>18</v>
      </c>
      <c r="C145" s="2">
        <v>1</v>
      </c>
      <c r="D145" s="2">
        <v>5</v>
      </c>
      <c r="E145" s="2" t="s">
        <v>512</v>
      </c>
      <c r="F145" s="2">
        <v>4</v>
      </c>
      <c r="G145" s="2">
        <v>1</v>
      </c>
      <c r="I145" s="2" t="s">
        <v>23</v>
      </c>
      <c r="J145" s="2">
        <v>8</v>
      </c>
      <c r="L145" s="57">
        <v>8</v>
      </c>
      <c r="M145" s="46" t="s">
        <v>638</v>
      </c>
    </row>
    <row r="146" spans="2:15" x14ac:dyDescent="0.25">
      <c r="B146" s="2">
        <v>18</v>
      </c>
      <c r="C146" s="2">
        <v>2</v>
      </c>
      <c r="D146" s="2">
        <v>4</v>
      </c>
      <c r="E146" s="2" t="s">
        <v>513</v>
      </c>
      <c r="F146" s="2">
        <v>4</v>
      </c>
      <c r="G146" s="2">
        <v>2</v>
      </c>
      <c r="I146" s="117" t="s">
        <v>21</v>
      </c>
      <c r="J146" s="2">
        <v>20</v>
      </c>
      <c r="K146" s="2" t="s">
        <v>104</v>
      </c>
      <c r="L146" s="57">
        <v>10</v>
      </c>
      <c r="M146" s="46" t="s">
        <v>21</v>
      </c>
    </row>
    <row r="147" spans="2:15" x14ac:dyDescent="0.25">
      <c r="B147" s="2">
        <v>18</v>
      </c>
      <c r="C147" s="2">
        <v>3</v>
      </c>
      <c r="D147" s="2">
        <v>4</v>
      </c>
      <c r="E147" s="2" t="s">
        <v>514</v>
      </c>
      <c r="F147" s="2">
        <v>4</v>
      </c>
      <c r="G147" s="2">
        <v>3</v>
      </c>
      <c r="I147" s="117" t="s">
        <v>658</v>
      </c>
      <c r="J147" s="2">
        <v>15</v>
      </c>
      <c r="K147" s="2" t="s">
        <v>320</v>
      </c>
      <c r="L147" s="57">
        <v>10</v>
      </c>
      <c r="O147" s="2" t="s">
        <v>408</v>
      </c>
    </row>
    <row r="148" spans="2:15" x14ac:dyDescent="0.25">
      <c r="B148" s="2">
        <v>19</v>
      </c>
      <c r="C148" s="2">
        <v>2</v>
      </c>
      <c r="D148" s="2">
        <v>4</v>
      </c>
      <c r="E148" s="2" t="s">
        <v>516</v>
      </c>
      <c r="F148" s="2">
        <v>4</v>
      </c>
      <c r="G148" s="2">
        <v>2</v>
      </c>
      <c r="I148" s="117" t="s">
        <v>637</v>
      </c>
      <c r="J148" s="46" t="s">
        <v>657</v>
      </c>
      <c r="K148" s="2" t="s">
        <v>317</v>
      </c>
      <c r="L148" s="57" t="s">
        <v>517</v>
      </c>
      <c r="M148" s="46" t="s">
        <v>638</v>
      </c>
    </row>
    <row r="149" spans="2:15" x14ac:dyDescent="0.25">
      <c r="B149" s="2">
        <v>19</v>
      </c>
      <c r="C149" s="2">
        <v>1</v>
      </c>
      <c r="D149" s="2">
        <v>5</v>
      </c>
      <c r="E149" s="2" t="s">
        <v>515</v>
      </c>
      <c r="F149" s="2">
        <v>4</v>
      </c>
      <c r="G149" s="2">
        <v>1</v>
      </c>
      <c r="I149" s="117" t="s">
        <v>21</v>
      </c>
      <c r="J149" s="2">
        <v>18</v>
      </c>
      <c r="K149" s="2" t="s">
        <v>479</v>
      </c>
      <c r="L149" s="57">
        <v>18</v>
      </c>
      <c r="M149" s="46" t="s">
        <v>665</v>
      </c>
    </row>
    <row r="150" spans="2:15" x14ac:dyDescent="0.25">
      <c r="B150" s="2">
        <v>20</v>
      </c>
      <c r="C150" s="2">
        <v>1</v>
      </c>
      <c r="D150" s="2">
        <v>5</v>
      </c>
      <c r="E150" s="2" t="s">
        <v>519</v>
      </c>
      <c r="F150" s="2">
        <v>4</v>
      </c>
      <c r="G150" s="2">
        <v>1</v>
      </c>
      <c r="H150" s="2" t="s">
        <v>341</v>
      </c>
      <c r="I150" s="117" t="s">
        <v>655</v>
      </c>
      <c r="J150" s="46" t="s">
        <v>653</v>
      </c>
      <c r="L150" s="57" t="s">
        <v>438</v>
      </c>
      <c r="M150" s="46" t="s">
        <v>666</v>
      </c>
    </row>
    <row r="151" spans="2:15" x14ac:dyDescent="0.25">
      <c r="B151" s="2">
        <v>20</v>
      </c>
      <c r="C151" s="2">
        <v>2</v>
      </c>
      <c r="D151" s="2">
        <v>4</v>
      </c>
      <c r="E151" s="2" t="s">
        <v>520</v>
      </c>
      <c r="F151" s="2">
        <v>4</v>
      </c>
      <c r="G151" s="2">
        <v>1</v>
      </c>
      <c r="I151" s="2" t="s">
        <v>518</v>
      </c>
      <c r="K151" s="2" t="s">
        <v>521</v>
      </c>
      <c r="L151" s="57">
        <v>30</v>
      </c>
      <c r="M151" s="46" t="s">
        <v>627</v>
      </c>
    </row>
    <row r="152" spans="2:15" x14ac:dyDescent="0.25">
      <c r="B152" s="2">
        <v>21</v>
      </c>
      <c r="C152" s="2">
        <v>3</v>
      </c>
      <c r="D152" s="2">
        <v>4</v>
      </c>
      <c r="E152" s="2" t="s">
        <v>524</v>
      </c>
      <c r="F152" s="2">
        <v>4</v>
      </c>
      <c r="G152" s="2">
        <v>1</v>
      </c>
      <c r="H152" s="2" t="s">
        <v>328</v>
      </c>
      <c r="I152" s="117" t="s">
        <v>20</v>
      </c>
      <c r="J152" s="2">
        <v>15</v>
      </c>
      <c r="K152" s="2" t="s">
        <v>319</v>
      </c>
      <c r="L152" s="57">
        <v>12</v>
      </c>
      <c r="N152" s="2" t="s">
        <v>414</v>
      </c>
    </row>
    <row r="153" spans="2:15" x14ac:dyDescent="0.25">
      <c r="B153" s="2">
        <v>21</v>
      </c>
      <c r="C153" s="2">
        <v>1</v>
      </c>
      <c r="D153" s="2">
        <v>5</v>
      </c>
      <c r="E153" s="2" t="s">
        <v>522</v>
      </c>
      <c r="F153" s="2">
        <v>4</v>
      </c>
      <c r="G153" s="2">
        <v>1</v>
      </c>
      <c r="I153" s="117" t="s">
        <v>656</v>
      </c>
      <c r="J153" s="46" t="s">
        <v>653</v>
      </c>
      <c r="K153" s="2" t="s">
        <v>495</v>
      </c>
      <c r="L153" s="57" t="s">
        <v>438</v>
      </c>
      <c r="N153" s="2" t="s">
        <v>428</v>
      </c>
    </row>
    <row r="154" spans="2:15" x14ac:dyDescent="0.25">
      <c r="B154" s="2">
        <v>21</v>
      </c>
      <c r="C154" s="2">
        <v>2</v>
      </c>
      <c r="D154" s="2">
        <v>5</v>
      </c>
      <c r="E154" s="2" t="s">
        <v>523</v>
      </c>
      <c r="F154" s="2">
        <v>4</v>
      </c>
      <c r="G154" s="2">
        <v>4</v>
      </c>
      <c r="I154" s="117" t="s">
        <v>102</v>
      </c>
      <c r="J154" s="46" t="s">
        <v>653</v>
      </c>
      <c r="K154" s="2" t="s">
        <v>317</v>
      </c>
      <c r="L154" s="57" t="s">
        <v>438</v>
      </c>
      <c r="N154" s="289" t="s">
        <v>1040</v>
      </c>
      <c r="O154" s="2" t="s">
        <v>417</v>
      </c>
    </row>
    <row r="155" spans="2:15" x14ac:dyDescent="0.25">
      <c r="B155" s="2">
        <v>22</v>
      </c>
      <c r="C155" s="2">
        <v>1</v>
      </c>
      <c r="D155" s="2">
        <v>5</v>
      </c>
      <c r="E155" s="2" t="s">
        <v>525</v>
      </c>
      <c r="F155" s="2">
        <v>4</v>
      </c>
      <c r="G155" s="2">
        <v>4</v>
      </c>
      <c r="I155" s="117" t="s">
        <v>658</v>
      </c>
      <c r="J155" s="2">
        <v>25</v>
      </c>
      <c r="K155" s="117" t="s">
        <v>675</v>
      </c>
      <c r="L155" s="57">
        <v>25</v>
      </c>
      <c r="O155" s="2" t="s">
        <v>335</v>
      </c>
    </row>
    <row r="156" spans="2:15" x14ac:dyDescent="0.25">
      <c r="B156" s="2">
        <v>23</v>
      </c>
      <c r="C156" s="2">
        <v>1</v>
      </c>
      <c r="D156" s="2">
        <v>5</v>
      </c>
      <c r="E156" s="2" t="s">
        <v>526</v>
      </c>
      <c r="F156" s="2">
        <v>4</v>
      </c>
      <c r="G156" s="2">
        <v>1</v>
      </c>
      <c r="H156" s="2" t="s">
        <v>462</v>
      </c>
      <c r="I156" s="117" t="s">
        <v>627</v>
      </c>
      <c r="J156" s="2">
        <v>40</v>
      </c>
      <c r="L156" s="57">
        <v>40</v>
      </c>
    </row>
    <row r="157" spans="2:15" x14ac:dyDescent="0.25">
      <c r="B157" s="2">
        <v>23</v>
      </c>
      <c r="C157" s="2">
        <v>2</v>
      </c>
      <c r="D157" s="2">
        <v>4</v>
      </c>
      <c r="E157" s="2" t="s">
        <v>527</v>
      </c>
      <c r="F157" s="2">
        <v>4</v>
      </c>
      <c r="G157" s="2">
        <v>1</v>
      </c>
      <c r="H157" s="2" t="s">
        <v>341</v>
      </c>
      <c r="I157" s="117" t="s">
        <v>17</v>
      </c>
      <c r="J157" s="2">
        <v>15</v>
      </c>
      <c r="L157" s="57">
        <v>7</v>
      </c>
      <c r="M157" s="46" t="s">
        <v>668</v>
      </c>
    </row>
    <row r="158" spans="2:15" x14ac:dyDescent="0.25">
      <c r="B158" s="2">
        <v>23</v>
      </c>
      <c r="C158" s="2">
        <v>3</v>
      </c>
      <c r="D158" s="2">
        <v>4</v>
      </c>
      <c r="E158" s="2" t="s">
        <v>528</v>
      </c>
      <c r="F158" s="2">
        <v>4</v>
      </c>
      <c r="G158" s="2">
        <v>2</v>
      </c>
      <c r="I158" s="117" t="s">
        <v>658</v>
      </c>
      <c r="J158" s="2">
        <v>15</v>
      </c>
      <c r="K158" s="2" t="s">
        <v>328</v>
      </c>
      <c r="L158" s="57">
        <v>10</v>
      </c>
      <c r="O158" s="2" t="s">
        <v>408</v>
      </c>
    </row>
    <row r="159" spans="2:15" x14ac:dyDescent="0.25">
      <c r="B159" s="2">
        <v>24</v>
      </c>
      <c r="C159" s="2">
        <v>1</v>
      </c>
      <c r="D159" s="2">
        <v>5</v>
      </c>
      <c r="E159" s="2" t="s">
        <v>529</v>
      </c>
      <c r="F159" s="2">
        <v>4</v>
      </c>
      <c r="G159" s="2">
        <v>4</v>
      </c>
      <c r="I159" s="117" t="s">
        <v>624</v>
      </c>
      <c r="J159" s="2">
        <v>25</v>
      </c>
      <c r="L159" s="57">
        <v>20</v>
      </c>
      <c r="N159" s="2" t="s">
        <v>428</v>
      </c>
    </row>
    <row r="160" spans="2:15" x14ac:dyDescent="0.25">
      <c r="B160" s="2">
        <v>24</v>
      </c>
      <c r="C160" s="2">
        <v>2</v>
      </c>
      <c r="D160" s="2">
        <v>5</v>
      </c>
      <c r="E160" s="2" t="s">
        <v>530</v>
      </c>
      <c r="F160" s="2">
        <v>4</v>
      </c>
      <c r="G160" s="2">
        <v>4</v>
      </c>
      <c r="I160" s="117" t="s">
        <v>624</v>
      </c>
      <c r="J160" s="2">
        <v>25</v>
      </c>
      <c r="K160" s="46" t="s">
        <v>669</v>
      </c>
      <c r="L160" s="57">
        <v>22</v>
      </c>
      <c r="N160" s="2" t="s">
        <v>416</v>
      </c>
      <c r="O160" s="2" t="s">
        <v>417</v>
      </c>
    </row>
    <row r="161" spans="2:15" x14ac:dyDescent="0.25">
      <c r="B161" s="2">
        <v>24</v>
      </c>
      <c r="C161" s="2">
        <v>3</v>
      </c>
      <c r="D161" s="2">
        <v>4</v>
      </c>
      <c r="E161" s="2" t="s">
        <v>531</v>
      </c>
      <c r="F161" s="2">
        <v>4</v>
      </c>
      <c r="G161" s="2">
        <v>1</v>
      </c>
      <c r="H161" s="2" t="s">
        <v>330</v>
      </c>
      <c r="I161" s="117" t="s">
        <v>17</v>
      </c>
      <c r="J161" s="2">
        <v>15</v>
      </c>
      <c r="L161" s="57">
        <v>7</v>
      </c>
      <c r="N161" s="2" t="s">
        <v>414</v>
      </c>
    </row>
    <row r="162" spans="2:15" x14ac:dyDescent="0.25">
      <c r="B162" s="2">
        <v>25</v>
      </c>
      <c r="C162" s="2">
        <v>2</v>
      </c>
      <c r="D162" s="2">
        <v>4</v>
      </c>
      <c r="E162" s="2" t="s">
        <v>534</v>
      </c>
      <c r="F162" s="2">
        <v>4</v>
      </c>
      <c r="G162" s="2">
        <v>1</v>
      </c>
      <c r="H162" s="2" t="s">
        <v>320</v>
      </c>
      <c r="I162" s="117" t="s">
        <v>624</v>
      </c>
      <c r="J162" s="2">
        <v>25</v>
      </c>
      <c r="L162" s="57">
        <v>15</v>
      </c>
    </row>
    <row r="163" spans="2:15" x14ac:dyDescent="0.25">
      <c r="B163" s="2">
        <v>25</v>
      </c>
      <c r="C163" s="2">
        <v>1</v>
      </c>
      <c r="D163" s="2">
        <v>5</v>
      </c>
      <c r="E163" s="2" t="s">
        <v>532</v>
      </c>
      <c r="F163" s="2">
        <v>4</v>
      </c>
      <c r="G163" s="2">
        <v>1</v>
      </c>
      <c r="H163" s="2" t="s">
        <v>533</v>
      </c>
      <c r="I163" s="117" t="s">
        <v>627</v>
      </c>
      <c r="J163" s="2">
        <v>40</v>
      </c>
      <c r="L163" s="57">
        <v>40</v>
      </c>
    </row>
    <row r="164" spans="2:15" x14ac:dyDescent="0.25">
      <c r="B164" s="2">
        <v>26</v>
      </c>
      <c r="C164" s="2">
        <v>2</v>
      </c>
      <c r="D164" s="2">
        <v>4</v>
      </c>
      <c r="E164" s="2" t="s">
        <v>536</v>
      </c>
      <c r="F164" s="2">
        <v>4</v>
      </c>
      <c r="G164" s="2">
        <v>3</v>
      </c>
      <c r="I164" s="117" t="s">
        <v>21</v>
      </c>
      <c r="J164" s="2">
        <v>20</v>
      </c>
      <c r="K164" s="2" t="s">
        <v>104</v>
      </c>
      <c r="L164" s="57">
        <v>10</v>
      </c>
      <c r="M164" s="46" t="s">
        <v>21</v>
      </c>
    </row>
    <row r="165" spans="2:15" x14ac:dyDescent="0.25">
      <c r="B165" s="2">
        <v>26</v>
      </c>
      <c r="C165" s="2">
        <v>1</v>
      </c>
      <c r="D165" s="2">
        <v>5</v>
      </c>
      <c r="E165" s="2" t="s">
        <v>535</v>
      </c>
      <c r="F165" s="2">
        <v>4</v>
      </c>
      <c r="G165" s="2">
        <v>1</v>
      </c>
      <c r="I165" s="117" t="s">
        <v>656</v>
      </c>
      <c r="J165" s="46" t="s">
        <v>653</v>
      </c>
      <c r="K165" s="2" t="s">
        <v>495</v>
      </c>
      <c r="L165" s="57" t="s">
        <v>438</v>
      </c>
      <c r="M165" s="46" t="s">
        <v>17</v>
      </c>
    </row>
    <row r="166" spans="2:15" x14ac:dyDescent="0.25">
      <c r="B166" s="2">
        <v>27</v>
      </c>
      <c r="C166" s="2">
        <v>1</v>
      </c>
      <c r="D166" s="2">
        <v>5</v>
      </c>
      <c r="E166" s="2" t="s">
        <v>537</v>
      </c>
      <c r="F166" s="2">
        <v>4</v>
      </c>
      <c r="G166" s="2">
        <v>4</v>
      </c>
      <c r="I166" s="117" t="s">
        <v>658</v>
      </c>
      <c r="J166" s="2">
        <v>25</v>
      </c>
      <c r="K166" s="117" t="s">
        <v>676</v>
      </c>
      <c r="L166" s="57">
        <v>25</v>
      </c>
      <c r="O166" s="2" t="s">
        <v>335</v>
      </c>
    </row>
    <row r="167" spans="2:15" x14ac:dyDescent="0.25">
      <c r="B167" s="2">
        <v>28</v>
      </c>
      <c r="C167" s="2">
        <v>1</v>
      </c>
      <c r="D167" s="2">
        <v>5</v>
      </c>
      <c r="E167" s="2" t="s">
        <v>538</v>
      </c>
      <c r="F167" s="2">
        <v>4</v>
      </c>
      <c r="G167" s="2">
        <v>1</v>
      </c>
      <c r="I167" s="117" t="s">
        <v>17</v>
      </c>
      <c r="J167" s="46" t="s">
        <v>657</v>
      </c>
      <c r="K167" s="2" t="s">
        <v>540</v>
      </c>
      <c r="L167" s="57" t="s">
        <v>517</v>
      </c>
      <c r="O167" s="2" t="s">
        <v>539</v>
      </c>
    </row>
    <row r="168" spans="2:15" x14ac:dyDescent="0.25">
      <c r="B168" s="2">
        <v>28</v>
      </c>
      <c r="C168" s="2">
        <v>2</v>
      </c>
      <c r="D168" s="2">
        <v>4</v>
      </c>
      <c r="E168" s="2" t="s">
        <v>541</v>
      </c>
      <c r="F168" s="2">
        <v>4</v>
      </c>
      <c r="G168" s="2">
        <v>1</v>
      </c>
      <c r="I168" s="117" t="s">
        <v>658</v>
      </c>
      <c r="J168" s="2">
        <v>15</v>
      </c>
      <c r="K168" s="2" t="s">
        <v>330</v>
      </c>
      <c r="L168" s="57">
        <v>10</v>
      </c>
      <c r="O168" s="2" t="s">
        <v>408</v>
      </c>
    </row>
    <row r="169" spans="2:15" x14ac:dyDescent="0.25">
      <c r="B169" s="2">
        <v>29</v>
      </c>
      <c r="C169" s="2">
        <v>1</v>
      </c>
      <c r="D169" s="2">
        <v>5</v>
      </c>
      <c r="E169" s="2" t="s">
        <v>542</v>
      </c>
      <c r="F169" s="2">
        <v>4</v>
      </c>
      <c r="G169" s="2">
        <v>2</v>
      </c>
      <c r="I169" s="117" t="s">
        <v>21</v>
      </c>
      <c r="J169" s="2">
        <v>20</v>
      </c>
      <c r="K169" s="2" t="s">
        <v>322</v>
      </c>
      <c r="L169" s="57">
        <v>15</v>
      </c>
      <c r="M169" s="46" t="s">
        <v>21</v>
      </c>
    </row>
    <row r="170" spans="2:15" x14ac:dyDescent="0.25">
      <c r="B170" s="2">
        <v>29</v>
      </c>
      <c r="C170" s="2">
        <v>3</v>
      </c>
      <c r="D170" s="2">
        <v>4</v>
      </c>
      <c r="E170" s="2" t="s">
        <v>544</v>
      </c>
      <c r="F170" s="2">
        <v>4</v>
      </c>
      <c r="G170" s="2">
        <v>4</v>
      </c>
      <c r="I170" s="117" t="s">
        <v>102</v>
      </c>
      <c r="J170" s="46" t="s">
        <v>653</v>
      </c>
      <c r="K170" s="2" t="s">
        <v>317</v>
      </c>
      <c r="L170" s="57" t="s">
        <v>438</v>
      </c>
      <c r="M170" s="46" t="s">
        <v>647</v>
      </c>
    </row>
    <row r="171" spans="2:15" x14ac:dyDescent="0.25">
      <c r="B171" s="2">
        <v>29</v>
      </c>
      <c r="C171" s="2">
        <v>2</v>
      </c>
      <c r="D171" s="2">
        <v>5</v>
      </c>
      <c r="E171" s="2" t="s">
        <v>543</v>
      </c>
      <c r="F171" s="2">
        <v>4</v>
      </c>
      <c r="G171" s="2">
        <v>1</v>
      </c>
      <c r="I171" s="117" t="s">
        <v>21</v>
      </c>
      <c r="J171" s="46" t="s">
        <v>652</v>
      </c>
      <c r="K171" s="2" t="s">
        <v>483</v>
      </c>
      <c r="L171" s="57" t="s">
        <v>438</v>
      </c>
      <c r="M171" s="46" t="s">
        <v>665</v>
      </c>
    </row>
    <row r="172" spans="2:15" x14ac:dyDescent="0.25">
      <c r="B172" s="2">
        <v>30</v>
      </c>
      <c r="C172" s="2">
        <v>1</v>
      </c>
      <c r="D172" s="2">
        <v>5</v>
      </c>
      <c r="E172" s="2" t="s">
        <v>545</v>
      </c>
      <c r="F172" s="2">
        <v>4</v>
      </c>
      <c r="G172" s="2">
        <v>2</v>
      </c>
      <c r="H172" s="2" t="s">
        <v>546</v>
      </c>
      <c r="I172" s="117" t="s">
        <v>627</v>
      </c>
      <c r="J172" s="2">
        <v>40</v>
      </c>
      <c r="L172" s="57">
        <v>40</v>
      </c>
    </row>
    <row r="173" spans="2:15" x14ac:dyDescent="0.25">
      <c r="B173" s="2">
        <v>30</v>
      </c>
      <c r="C173" s="2">
        <v>2</v>
      </c>
      <c r="D173" s="2">
        <v>4</v>
      </c>
      <c r="E173" s="2" t="s">
        <v>547</v>
      </c>
      <c r="F173" s="2">
        <v>4</v>
      </c>
      <c r="G173" s="2">
        <v>1</v>
      </c>
      <c r="I173" s="117" t="s">
        <v>658</v>
      </c>
      <c r="J173" s="2">
        <v>15</v>
      </c>
      <c r="K173" s="2" t="s">
        <v>349</v>
      </c>
      <c r="L173" s="57">
        <v>10</v>
      </c>
    </row>
    <row r="174" spans="2:15" x14ac:dyDescent="0.25">
      <c r="B174" s="2">
        <v>31</v>
      </c>
      <c r="C174" s="2">
        <v>2</v>
      </c>
      <c r="D174" s="2">
        <v>4</v>
      </c>
      <c r="E174" s="2" t="s">
        <v>549</v>
      </c>
      <c r="F174" s="2">
        <v>4</v>
      </c>
      <c r="G174" s="2">
        <v>2</v>
      </c>
      <c r="I174" s="117" t="s">
        <v>638</v>
      </c>
      <c r="J174" s="2">
        <v>30</v>
      </c>
      <c r="L174" s="57">
        <v>20</v>
      </c>
      <c r="M174" s="46" t="s">
        <v>638</v>
      </c>
    </row>
    <row r="175" spans="2:15" x14ac:dyDescent="0.25">
      <c r="B175" s="2">
        <v>31</v>
      </c>
      <c r="C175" s="2">
        <v>1</v>
      </c>
      <c r="D175" s="2">
        <v>5</v>
      </c>
      <c r="E175" s="2" t="s">
        <v>548</v>
      </c>
      <c r="F175" s="2">
        <v>0</v>
      </c>
      <c r="G175" s="2">
        <v>1</v>
      </c>
      <c r="I175" s="117" t="s">
        <v>21</v>
      </c>
      <c r="J175" s="2">
        <v>18</v>
      </c>
      <c r="K175" s="2" t="s">
        <v>479</v>
      </c>
      <c r="L175" s="57">
        <v>18</v>
      </c>
      <c r="M175" s="46" t="s">
        <v>665</v>
      </c>
    </row>
    <row r="176" spans="2:15" x14ac:dyDescent="0.25">
      <c r="B176" s="2">
        <v>32</v>
      </c>
      <c r="C176" s="2">
        <v>1</v>
      </c>
      <c r="D176" s="2">
        <v>5</v>
      </c>
      <c r="E176" s="2" t="s">
        <v>550</v>
      </c>
      <c r="F176" s="2">
        <v>4</v>
      </c>
      <c r="G176" s="2">
        <v>1</v>
      </c>
      <c r="H176" s="2" t="s">
        <v>494</v>
      </c>
      <c r="I176" s="117" t="s">
        <v>20</v>
      </c>
      <c r="J176" s="2">
        <v>15</v>
      </c>
      <c r="L176" s="57">
        <v>14</v>
      </c>
    </row>
    <row r="177" spans="2:15" x14ac:dyDescent="0.25">
      <c r="B177" s="2">
        <v>32</v>
      </c>
      <c r="C177" s="2">
        <v>2</v>
      </c>
      <c r="D177" s="2">
        <v>4</v>
      </c>
      <c r="E177" s="2" t="s">
        <v>552</v>
      </c>
      <c r="F177" s="2">
        <v>4</v>
      </c>
      <c r="G177" s="2">
        <v>4</v>
      </c>
      <c r="I177" s="117" t="s">
        <v>624</v>
      </c>
      <c r="J177" s="2">
        <v>25</v>
      </c>
      <c r="L177" s="57">
        <v>15</v>
      </c>
      <c r="M177" s="46" t="s">
        <v>17</v>
      </c>
    </row>
    <row r="178" spans="2:15" x14ac:dyDescent="0.25">
      <c r="B178" s="2">
        <v>33</v>
      </c>
      <c r="C178" s="2">
        <v>3</v>
      </c>
      <c r="D178" s="2">
        <v>5</v>
      </c>
      <c r="E178" s="2" t="s">
        <v>557</v>
      </c>
      <c r="F178" s="2">
        <v>4</v>
      </c>
      <c r="G178" s="2">
        <v>2</v>
      </c>
      <c r="I178" s="117" t="s">
        <v>624</v>
      </c>
      <c r="J178" s="2">
        <v>25</v>
      </c>
      <c r="K178" s="2" t="s">
        <v>104</v>
      </c>
      <c r="L178" s="57">
        <v>22</v>
      </c>
      <c r="N178" s="2" t="s">
        <v>554</v>
      </c>
      <c r="O178" s="2" t="s">
        <v>555</v>
      </c>
    </row>
    <row r="179" spans="2:15" x14ac:dyDescent="0.25">
      <c r="B179" s="2">
        <v>33</v>
      </c>
      <c r="C179" s="2">
        <v>5</v>
      </c>
      <c r="D179" s="2">
        <v>5</v>
      </c>
      <c r="E179" s="2" t="s">
        <v>559</v>
      </c>
      <c r="F179" s="2">
        <v>4</v>
      </c>
      <c r="G179" s="2">
        <v>1</v>
      </c>
      <c r="I179" s="117" t="s">
        <v>18</v>
      </c>
      <c r="J179" s="2">
        <v>20</v>
      </c>
      <c r="L179" s="57">
        <v>13</v>
      </c>
      <c r="O179" s="2" t="s">
        <v>560</v>
      </c>
    </row>
    <row r="180" spans="2:15" x14ac:dyDescent="0.25">
      <c r="B180" s="2">
        <v>33</v>
      </c>
      <c r="C180" s="2">
        <v>1</v>
      </c>
      <c r="D180" s="2">
        <v>5</v>
      </c>
      <c r="E180" s="2" t="s">
        <v>553</v>
      </c>
      <c r="F180" s="2">
        <v>4</v>
      </c>
      <c r="G180" s="2">
        <v>2</v>
      </c>
      <c r="I180" s="117" t="s">
        <v>21</v>
      </c>
      <c r="J180" s="2">
        <v>20</v>
      </c>
      <c r="K180" s="2" t="s">
        <v>104</v>
      </c>
      <c r="L180" s="57">
        <v>13</v>
      </c>
      <c r="N180" s="2" t="s">
        <v>554</v>
      </c>
      <c r="O180" s="2" t="s">
        <v>555</v>
      </c>
    </row>
    <row r="181" spans="2:15" x14ac:dyDescent="0.25">
      <c r="B181" s="2">
        <v>33</v>
      </c>
      <c r="C181" s="2">
        <v>2</v>
      </c>
      <c r="D181" s="2">
        <v>5</v>
      </c>
      <c r="E181" s="2" t="s">
        <v>556</v>
      </c>
      <c r="F181" s="2">
        <v>4</v>
      </c>
      <c r="G181" s="2">
        <v>2</v>
      </c>
      <c r="I181" s="117" t="s">
        <v>21</v>
      </c>
      <c r="J181" s="2">
        <v>20</v>
      </c>
      <c r="K181" s="2" t="s">
        <v>319</v>
      </c>
      <c r="L181" s="57">
        <v>20</v>
      </c>
      <c r="N181" s="2" t="s">
        <v>554</v>
      </c>
      <c r="O181" s="2" t="s">
        <v>555</v>
      </c>
    </row>
    <row r="182" spans="2:15" x14ac:dyDescent="0.25">
      <c r="B182" s="2">
        <v>33</v>
      </c>
      <c r="C182" s="2">
        <v>6</v>
      </c>
      <c r="D182" s="2">
        <v>5</v>
      </c>
      <c r="E182" s="2" t="s">
        <v>561</v>
      </c>
      <c r="F182" s="2">
        <v>4</v>
      </c>
      <c r="G182" s="2">
        <v>2</v>
      </c>
      <c r="I182" s="117" t="s">
        <v>627</v>
      </c>
      <c r="J182" s="2">
        <v>40</v>
      </c>
      <c r="L182" s="57">
        <v>30</v>
      </c>
      <c r="N182" s="2" t="s">
        <v>554</v>
      </c>
      <c r="O182" s="2" t="s">
        <v>555</v>
      </c>
    </row>
    <row r="183" spans="2:15" x14ac:dyDescent="0.25">
      <c r="B183" s="2">
        <v>33</v>
      </c>
      <c r="C183" s="2">
        <v>4</v>
      </c>
      <c r="D183" s="2">
        <v>5</v>
      </c>
      <c r="E183" s="2" t="s">
        <v>558</v>
      </c>
      <c r="F183" s="2">
        <v>4</v>
      </c>
      <c r="G183" s="2">
        <v>2</v>
      </c>
      <c r="I183" s="117" t="s">
        <v>17</v>
      </c>
      <c r="J183" s="2">
        <v>15</v>
      </c>
      <c r="L183" s="57">
        <v>8</v>
      </c>
      <c r="N183" s="2" t="s">
        <v>554</v>
      </c>
      <c r="O183" s="2" t="s">
        <v>555</v>
      </c>
    </row>
    <row r="184" spans="2:15" x14ac:dyDescent="0.25">
      <c r="B184" s="2">
        <v>34</v>
      </c>
      <c r="C184" s="2">
        <v>2</v>
      </c>
      <c r="D184" s="2">
        <v>4</v>
      </c>
      <c r="E184" s="2" t="s">
        <v>563</v>
      </c>
      <c r="F184" s="2">
        <v>4</v>
      </c>
      <c r="G184" s="2">
        <v>1</v>
      </c>
      <c r="I184" s="117" t="s">
        <v>658</v>
      </c>
      <c r="J184" s="2">
        <v>100</v>
      </c>
      <c r="K184" s="2" t="s">
        <v>334</v>
      </c>
      <c r="L184" s="57">
        <v>75</v>
      </c>
    </row>
    <row r="185" spans="2:15" x14ac:dyDescent="0.25">
      <c r="B185" s="2">
        <v>34</v>
      </c>
      <c r="C185" s="2">
        <v>1</v>
      </c>
      <c r="D185" s="2">
        <v>5</v>
      </c>
      <c r="E185" s="2" t="s">
        <v>562</v>
      </c>
      <c r="F185" s="2">
        <v>4</v>
      </c>
      <c r="G185" s="2">
        <v>1</v>
      </c>
      <c r="H185" s="2" t="s">
        <v>349</v>
      </c>
      <c r="I185" s="117" t="s">
        <v>20</v>
      </c>
      <c r="J185" s="2">
        <v>15</v>
      </c>
      <c r="K185" s="2" t="s">
        <v>319</v>
      </c>
      <c r="L185" s="57">
        <v>12</v>
      </c>
    </row>
    <row r="186" spans="2:15" x14ac:dyDescent="0.25">
      <c r="B186" s="2">
        <v>35</v>
      </c>
      <c r="C186" s="2">
        <v>2</v>
      </c>
      <c r="D186" s="2">
        <v>4</v>
      </c>
      <c r="E186" s="2" t="s">
        <v>565</v>
      </c>
      <c r="F186" s="2">
        <v>4</v>
      </c>
      <c r="G186" s="2">
        <v>2</v>
      </c>
      <c r="I186" s="117" t="s">
        <v>658</v>
      </c>
      <c r="J186" s="2">
        <v>15</v>
      </c>
      <c r="K186" s="2" t="s">
        <v>328</v>
      </c>
      <c r="L186" s="57">
        <v>10</v>
      </c>
      <c r="N186" s="2" t="s">
        <v>432</v>
      </c>
    </row>
    <row r="187" spans="2:15" x14ac:dyDescent="0.25">
      <c r="B187" s="2">
        <v>35</v>
      </c>
      <c r="C187" s="2">
        <v>1</v>
      </c>
      <c r="D187" s="2">
        <v>5</v>
      </c>
      <c r="E187" s="2" t="s">
        <v>564</v>
      </c>
      <c r="F187" s="2">
        <v>4</v>
      </c>
      <c r="G187" s="2">
        <v>2</v>
      </c>
      <c r="I187" s="117" t="s">
        <v>660</v>
      </c>
      <c r="J187" s="2">
        <v>25</v>
      </c>
      <c r="K187" s="2" t="s">
        <v>347</v>
      </c>
      <c r="L187" s="57">
        <v>20</v>
      </c>
      <c r="N187" s="2" t="s">
        <v>428</v>
      </c>
    </row>
    <row r="188" spans="2:15" x14ac:dyDescent="0.25">
      <c r="B188" s="2">
        <v>36</v>
      </c>
      <c r="C188" s="2">
        <v>2</v>
      </c>
      <c r="D188" s="2">
        <v>4</v>
      </c>
      <c r="E188" s="2" t="s">
        <v>567</v>
      </c>
      <c r="F188" s="2">
        <v>4</v>
      </c>
      <c r="G188" s="2">
        <v>1</v>
      </c>
      <c r="I188" s="117" t="s">
        <v>20</v>
      </c>
      <c r="J188" s="2">
        <v>15</v>
      </c>
      <c r="K188" s="2" t="s">
        <v>319</v>
      </c>
      <c r="L188" s="57">
        <v>10</v>
      </c>
      <c r="O188" s="2" t="s">
        <v>449</v>
      </c>
    </row>
    <row r="189" spans="2:15" x14ac:dyDescent="0.25">
      <c r="B189" s="2">
        <v>36</v>
      </c>
      <c r="C189" s="2">
        <v>1</v>
      </c>
      <c r="D189" s="2">
        <v>5</v>
      </c>
      <c r="E189" s="2" t="s">
        <v>566</v>
      </c>
      <c r="F189" s="2">
        <v>4</v>
      </c>
      <c r="G189" s="2">
        <v>1</v>
      </c>
      <c r="I189" s="117" t="s">
        <v>627</v>
      </c>
      <c r="J189" s="2">
        <v>40</v>
      </c>
      <c r="L189" s="57">
        <v>30</v>
      </c>
      <c r="M189" s="46" t="s">
        <v>627</v>
      </c>
      <c r="O189" s="2" t="s">
        <v>449</v>
      </c>
    </row>
    <row r="190" spans="2:15" x14ac:dyDescent="0.25">
      <c r="B190" s="2">
        <v>36</v>
      </c>
      <c r="C190" s="2">
        <v>3</v>
      </c>
      <c r="D190" s="2">
        <v>4</v>
      </c>
      <c r="E190" s="2" t="s">
        <v>568</v>
      </c>
      <c r="F190" s="2">
        <v>4</v>
      </c>
      <c r="G190" s="2">
        <v>2</v>
      </c>
      <c r="H190" s="2" t="s">
        <v>330</v>
      </c>
      <c r="I190" s="117" t="s">
        <v>638</v>
      </c>
      <c r="J190" s="2">
        <v>30</v>
      </c>
      <c r="L190" s="57">
        <v>25</v>
      </c>
      <c r="O190" s="2" t="s">
        <v>408</v>
      </c>
    </row>
    <row r="191" spans="2:15" x14ac:dyDescent="0.25">
      <c r="B191" s="2">
        <v>37</v>
      </c>
      <c r="C191" s="2">
        <v>1</v>
      </c>
      <c r="D191" s="2">
        <v>5</v>
      </c>
      <c r="E191" s="2" t="s">
        <v>569</v>
      </c>
      <c r="F191" s="2">
        <v>4</v>
      </c>
      <c r="G191" s="2">
        <v>1</v>
      </c>
      <c r="H191" s="2" t="s">
        <v>320</v>
      </c>
      <c r="I191" s="117" t="s">
        <v>17</v>
      </c>
      <c r="J191" s="2">
        <v>15</v>
      </c>
      <c r="L191" s="57">
        <v>10</v>
      </c>
    </row>
    <row r="192" spans="2:15" x14ac:dyDescent="0.25">
      <c r="B192" s="2">
        <v>37</v>
      </c>
      <c r="C192" s="2">
        <v>2</v>
      </c>
      <c r="D192" s="2">
        <v>4</v>
      </c>
      <c r="E192" s="2" t="s">
        <v>570</v>
      </c>
      <c r="F192" s="2">
        <v>4</v>
      </c>
      <c r="G192" s="2">
        <v>3</v>
      </c>
      <c r="I192" s="117" t="s">
        <v>660</v>
      </c>
      <c r="J192" s="2">
        <v>30</v>
      </c>
      <c r="K192" s="2" t="s">
        <v>352</v>
      </c>
      <c r="L192" s="57">
        <v>25</v>
      </c>
    </row>
    <row r="193" spans="2:15" x14ac:dyDescent="0.25">
      <c r="B193" s="2">
        <v>38</v>
      </c>
      <c r="C193" s="2">
        <v>1</v>
      </c>
      <c r="D193" s="2">
        <v>5</v>
      </c>
      <c r="E193" s="2" t="s">
        <v>571</v>
      </c>
      <c r="F193" s="2">
        <v>4</v>
      </c>
      <c r="G193" s="2">
        <v>1</v>
      </c>
      <c r="I193" s="117" t="s">
        <v>637</v>
      </c>
      <c r="J193" s="46" t="s">
        <v>657</v>
      </c>
      <c r="K193" s="2" t="s">
        <v>317</v>
      </c>
      <c r="L193" s="57" t="s">
        <v>517</v>
      </c>
      <c r="O193" s="2" t="s">
        <v>572</v>
      </c>
    </row>
    <row r="194" spans="2:15" x14ac:dyDescent="0.25">
      <c r="B194" s="2">
        <v>39</v>
      </c>
      <c r="C194" s="2">
        <v>1</v>
      </c>
      <c r="D194" s="2">
        <v>5</v>
      </c>
      <c r="E194" s="2" t="s">
        <v>573</v>
      </c>
      <c r="F194" s="2">
        <v>4</v>
      </c>
      <c r="G194" s="2">
        <v>2</v>
      </c>
      <c r="I194" s="117" t="s">
        <v>624</v>
      </c>
      <c r="J194" s="2">
        <v>15</v>
      </c>
      <c r="K194" s="2" t="s">
        <v>317</v>
      </c>
      <c r="L194" s="57">
        <v>15</v>
      </c>
      <c r="O194" s="2" t="s">
        <v>574</v>
      </c>
    </row>
    <row r="195" spans="2:15" x14ac:dyDescent="0.25">
      <c r="B195" s="2">
        <v>39</v>
      </c>
      <c r="C195" s="2">
        <v>2</v>
      </c>
      <c r="D195" s="2">
        <v>5</v>
      </c>
      <c r="E195" s="2" t="s">
        <v>575</v>
      </c>
      <c r="F195" s="2">
        <v>4</v>
      </c>
      <c r="G195" s="2">
        <v>1</v>
      </c>
      <c r="H195" s="2" t="s">
        <v>349</v>
      </c>
      <c r="I195" s="117" t="s">
        <v>655</v>
      </c>
      <c r="J195" s="46" t="s">
        <v>653</v>
      </c>
      <c r="L195" s="57" t="s">
        <v>438</v>
      </c>
      <c r="O195" s="2" t="s">
        <v>574</v>
      </c>
    </row>
    <row r="196" spans="2:15" x14ac:dyDescent="0.25">
      <c r="B196" s="2">
        <v>39</v>
      </c>
      <c r="C196" s="2">
        <v>3</v>
      </c>
      <c r="D196" s="2">
        <v>4</v>
      </c>
      <c r="E196" s="2" t="s">
        <v>576</v>
      </c>
      <c r="F196" s="2">
        <v>4</v>
      </c>
      <c r="G196" s="2">
        <v>1</v>
      </c>
      <c r="I196" s="117" t="s">
        <v>19</v>
      </c>
      <c r="J196" s="2">
        <v>20</v>
      </c>
      <c r="K196" s="2" t="s">
        <v>104</v>
      </c>
      <c r="L196" s="57">
        <v>10</v>
      </c>
      <c r="O196" s="2" t="s">
        <v>408</v>
      </c>
    </row>
    <row r="197" spans="2:15" x14ac:dyDescent="0.25">
      <c r="B197" s="2">
        <v>40</v>
      </c>
      <c r="C197" s="2">
        <v>3</v>
      </c>
      <c r="D197" s="2">
        <v>5</v>
      </c>
      <c r="E197" s="2" t="s">
        <v>579</v>
      </c>
      <c r="F197" s="2">
        <v>4</v>
      </c>
      <c r="G197" s="2">
        <v>1</v>
      </c>
      <c r="I197" s="117" t="s">
        <v>649</v>
      </c>
      <c r="J197" s="2">
        <v>50</v>
      </c>
      <c r="L197" s="57">
        <v>50</v>
      </c>
      <c r="M197" s="46" t="s">
        <v>649</v>
      </c>
      <c r="O197" s="2" t="s">
        <v>574</v>
      </c>
    </row>
    <row r="198" spans="2:15" x14ac:dyDescent="0.25">
      <c r="B198" s="2">
        <v>40</v>
      </c>
      <c r="C198" s="2">
        <v>2</v>
      </c>
      <c r="D198" s="2">
        <v>5</v>
      </c>
      <c r="E198" s="2" t="s">
        <v>101</v>
      </c>
      <c r="F198" s="2">
        <v>4</v>
      </c>
      <c r="G198" s="2">
        <v>1</v>
      </c>
      <c r="I198" s="117" t="s">
        <v>21</v>
      </c>
      <c r="J198" s="2">
        <v>20</v>
      </c>
      <c r="K198" s="2" t="s">
        <v>319</v>
      </c>
      <c r="L198" s="57">
        <v>20</v>
      </c>
      <c r="O198" s="2" t="s">
        <v>578</v>
      </c>
    </row>
    <row r="199" spans="2:15" x14ac:dyDescent="0.25">
      <c r="B199" s="2">
        <v>40</v>
      </c>
      <c r="C199" s="2">
        <v>1</v>
      </c>
      <c r="D199" s="2">
        <v>5</v>
      </c>
      <c r="E199" s="2" t="s">
        <v>577</v>
      </c>
      <c r="F199" s="2">
        <v>4</v>
      </c>
      <c r="G199" s="2">
        <v>1</v>
      </c>
      <c r="I199" s="117" t="s">
        <v>20</v>
      </c>
      <c r="J199" s="2">
        <v>30</v>
      </c>
      <c r="K199" s="2" t="s">
        <v>355</v>
      </c>
      <c r="L199" s="57">
        <v>30</v>
      </c>
      <c r="M199" s="46" t="s">
        <v>665</v>
      </c>
      <c r="O199" s="2" t="s">
        <v>574</v>
      </c>
    </row>
    <row r="200" spans="2:15" x14ac:dyDescent="0.25">
      <c r="B200" s="2">
        <v>41</v>
      </c>
      <c r="C200" s="2">
        <v>2</v>
      </c>
      <c r="D200" s="2">
        <v>4</v>
      </c>
      <c r="E200" s="2" t="s">
        <v>582</v>
      </c>
      <c r="F200" s="2">
        <v>4</v>
      </c>
      <c r="G200" s="2">
        <v>1</v>
      </c>
      <c r="I200" s="117" t="s">
        <v>18</v>
      </c>
      <c r="J200" s="2">
        <v>20</v>
      </c>
      <c r="L200" s="57">
        <v>10</v>
      </c>
      <c r="M200" s="46" t="s">
        <v>638</v>
      </c>
      <c r="O200" s="2" t="s">
        <v>581</v>
      </c>
    </row>
    <row r="201" spans="2:15" x14ac:dyDescent="0.25">
      <c r="B201" s="2">
        <v>41</v>
      </c>
      <c r="C201" s="2">
        <v>1</v>
      </c>
      <c r="D201" s="2">
        <v>5</v>
      </c>
      <c r="E201" s="2" t="s">
        <v>580</v>
      </c>
      <c r="F201" s="2">
        <v>4</v>
      </c>
      <c r="G201" s="2">
        <v>1</v>
      </c>
      <c r="I201" s="117" t="s">
        <v>21</v>
      </c>
      <c r="J201" s="2">
        <v>20</v>
      </c>
      <c r="K201" s="2" t="s">
        <v>322</v>
      </c>
      <c r="L201" s="57">
        <v>15</v>
      </c>
      <c r="M201" s="46" t="s">
        <v>21</v>
      </c>
      <c r="O201" s="2" t="s">
        <v>581</v>
      </c>
    </row>
    <row r="202" spans="2:15" x14ac:dyDescent="0.25">
      <c r="B202" s="2">
        <v>42</v>
      </c>
      <c r="C202" s="2">
        <v>3</v>
      </c>
      <c r="D202" s="2">
        <v>4</v>
      </c>
      <c r="E202" s="2" t="s">
        <v>585</v>
      </c>
      <c r="F202" s="2">
        <v>1</v>
      </c>
      <c r="G202" s="2">
        <v>1</v>
      </c>
      <c r="I202" s="117" t="s">
        <v>20</v>
      </c>
      <c r="J202" s="2">
        <v>15</v>
      </c>
      <c r="K202" s="2" t="s">
        <v>319</v>
      </c>
      <c r="L202" s="57">
        <v>10</v>
      </c>
      <c r="N202" s="2" t="s">
        <v>412</v>
      </c>
    </row>
    <row r="203" spans="2:15" x14ac:dyDescent="0.25">
      <c r="B203" s="2">
        <v>42</v>
      </c>
      <c r="C203" s="2">
        <v>2</v>
      </c>
      <c r="D203" s="2">
        <v>5</v>
      </c>
      <c r="E203" s="2" t="s">
        <v>584</v>
      </c>
      <c r="F203" s="2">
        <v>0</v>
      </c>
      <c r="G203" s="2">
        <v>1</v>
      </c>
      <c r="I203" s="117" t="s">
        <v>21</v>
      </c>
      <c r="J203" s="2">
        <v>20</v>
      </c>
      <c r="K203" s="2" t="s">
        <v>319</v>
      </c>
      <c r="L203" s="57">
        <v>20</v>
      </c>
      <c r="N203" s="2" t="s">
        <v>428</v>
      </c>
    </row>
    <row r="204" spans="2:15" x14ac:dyDescent="0.25">
      <c r="B204" s="2">
        <v>42</v>
      </c>
      <c r="C204" s="2">
        <v>1</v>
      </c>
      <c r="D204" s="2">
        <v>5</v>
      </c>
      <c r="E204" s="2" t="s">
        <v>583</v>
      </c>
      <c r="F204" s="2">
        <v>4</v>
      </c>
      <c r="G204" s="2">
        <v>4</v>
      </c>
      <c r="I204" s="117" t="s">
        <v>627</v>
      </c>
      <c r="J204" s="2">
        <v>40</v>
      </c>
      <c r="K204" s="2" t="s">
        <v>322</v>
      </c>
      <c r="L204" s="57">
        <v>40</v>
      </c>
      <c r="N204" s="289" t="s">
        <v>1040</v>
      </c>
      <c r="O204" s="2" t="s">
        <v>417</v>
      </c>
    </row>
    <row r="205" spans="2:15" x14ac:dyDescent="0.25">
      <c r="B205" s="2">
        <v>43</v>
      </c>
      <c r="C205" s="2">
        <v>3</v>
      </c>
      <c r="D205" s="2">
        <v>5</v>
      </c>
      <c r="E205" s="2" t="s">
        <v>588</v>
      </c>
      <c r="F205" s="2">
        <v>4</v>
      </c>
      <c r="G205" s="2">
        <v>3</v>
      </c>
      <c r="I205" s="117" t="s">
        <v>21</v>
      </c>
      <c r="J205" s="2">
        <v>15</v>
      </c>
      <c r="K205" s="2" t="s">
        <v>317</v>
      </c>
      <c r="L205" s="57">
        <v>13</v>
      </c>
    </row>
    <row r="206" spans="2:15" x14ac:dyDescent="0.25">
      <c r="B206" s="2">
        <v>43</v>
      </c>
      <c r="C206" s="2">
        <v>1</v>
      </c>
      <c r="D206" s="2">
        <v>5</v>
      </c>
      <c r="E206" s="2" t="s">
        <v>586</v>
      </c>
      <c r="F206" s="2">
        <v>4</v>
      </c>
      <c r="G206" s="2">
        <v>1</v>
      </c>
      <c r="H206" s="2" t="s">
        <v>320</v>
      </c>
      <c r="I206" s="117" t="s">
        <v>655</v>
      </c>
      <c r="J206" s="46" t="s">
        <v>653</v>
      </c>
      <c r="L206" s="290" t="s">
        <v>438</v>
      </c>
    </row>
    <row r="207" spans="2:15" x14ac:dyDescent="0.25">
      <c r="B207" s="2">
        <v>43</v>
      </c>
      <c r="C207" s="2">
        <v>4</v>
      </c>
      <c r="D207" s="2">
        <v>4</v>
      </c>
      <c r="E207" s="2" t="s">
        <v>589</v>
      </c>
      <c r="F207" s="2">
        <v>4</v>
      </c>
      <c r="G207" s="2">
        <v>1</v>
      </c>
      <c r="I207" s="117" t="s">
        <v>627</v>
      </c>
      <c r="J207" s="2">
        <v>40</v>
      </c>
      <c r="L207" s="57">
        <v>20</v>
      </c>
      <c r="M207" s="46" t="s">
        <v>21</v>
      </c>
    </row>
    <row r="208" spans="2:15" x14ac:dyDescent="0.25">
      <c r="B208" s="2">
        <v>43</v>
      </c>
      <c r="C208" s="2">
        <v>2</v>
      </c>
      <c r="D208" s="2">
        <v>5</v>
      </c>
      <c r="E208" s="2" t="s">
        <v>587</v>
      </c>
      <c r="F208" s="2">
        <v>0</v>
      </c>
      <c r="G208" s="2">
        <v>1</v>
      </c>
      <c r="I208" s="117" t="s">
        <v>17</v>
      </c>
      <c r="J208" s="2">
        <v>15</v>
      </c>
      <c r="K208" s="2" t="s">
        <v>495</v>
      </c>
      <c r="L208" s="57">
        <v>15</v>
      </c>
      <c r="M208" s="46" t="s">
        <v>21</v>
      </c>
    </row>
    <row r="209" spans="2:15" x14ac:dyDescent="0.25">
      <c r="B209" s="2">
        <v>44</v>
      </c>
      <c r="C209" s="2">
        <v>2</v>
      </c>
      <c r="D209" s="2">
        <v>5</v>
      </c>
      <c r="E209" s="2" t="s">
        <v>591</v>
      </c>
      <c r="F209" s="2">
        <v>0</v>
      </c>
      <c r="G209" s="2">
        <v>1</v>
      </c>
      <c r="I209" s="117" t="s">
        <v>21</v>
      </c>
      <c r="J209" s="2">
        <v>6</v>
      </c>
      <c r="K209" s="2" t="s">
        <v>363</v>
      </c>
      <c r="L209" s="57">
        <v>6</v>
      </c>
      <c r="M209" s="46" t="s">
        <v>647</v>
      </c>
    </row>
    <row r="210" spans="2:15" x14ac:dyDescent="0.25">
      <c r="B210" s="2">
        <v>44</v>
      </c>
      <c r="C210" s="2">
        <v>1</v>
      </c>
      <c r="D210" s="2">
        <v>5</v>
      </c>
      <c r="E210" s="2" t="s">
        <v>590</v>
      </c>
      <c r="F210" s="2">
        <v>4</v>
      </c>
      <c r="G210" s="2">
        <v>1</v>
      </c>
      <c r="I210" s="117" t="s">
        <v>627</v>
      </c>
      <c r="J210" s="295" t="s">
        <v>438</v>
      </c>
      <c r="K210" s="2" t="s">
        <v>483</v>
      </c>
      <c r="L210" s="57" t="s">
        <v>438</v>
      </c>
      <c r="M210" s="46" t="s">
        <v>665</v>
      </c>
    </row>
    <row r="211" spans="2:15" x14ac:dyDescent="0.25">
      <c r="B211" s="2">
        <v>45</v>
      </c>
      <c r="C211" s="2">
        <v>3</v>
      </c>
      <c r="D211" s="2">
        <v>4</v>
      </c>
      <c r="E211" s="2" t="s">
        <v>594</v>
      </c>
      <c r="F211" s="2">
        <v>4</v>
      </c>
      <c r="G211" s="2">
        <v>2</v>
      </c>
      <c r="I211" s="117" t="s">
        <v>658</v>
      </c>
      <c r="J211" s="2">
        <v>100</v>
      </c>
      <c r="K211" s="2" t="s">
        <v>383</v>
      </c>
      <c r="L211" s="57">
        <v>50</v>
      </c>
      <c r="O211" s="2" t="s">
        <v>408</v>
      </c>
    </row>
    <row r="212" spans="2:15" x14ac:dyDescent="0.25">
      <c r="B212" s="2">
        <v>45</v>
      </c>
      <c r="C212" s="2">
        <v>1</v>
      </c>
      <c r="D212" s="2">
        <v>5</v>
      </c>
      <c r="E212" s="2" t="s">
        <v>592</v>
      </c>
      <c r="F212" s="2">
        <v>0</v>
      </c>
      <c r="G212" s="2">
        <v>1</v>
      </c>
      <c r="I212" s="117" t="s">
        <v>21</v>
      </c>
      <c r="J212" s="2">
        <v>10</v>
      </c>
      <c r="K212" s="2" t="s">
        <v>551</v>
      </c>
      <c r="L212" s="57">
        <v>10</v>
      </c>
      <c r="M212" s="46" t="s">
        <v>668</v>
      </c>
    </row>
    <row r="213" spans="2:15" x14ac:dyDescent="0.25">
      <c r="B213" s="2">
        <v>45</v>
      </c>
      <c r="C213" s="2">
        <v>2</v>
      </c>
      <c r="D213" s="2">
        <v>4</v>
      </c>
      <c r="E213" s="2" t="s">
        <v>593</v>
      </c>
      <c r="F213" s="2">
        <v>3</v>
      </c>
      <c r="G213" s="2">
        <v>1</v>
      </c>
      <c r="I213" s="117" t="s">
        <v>19</v>
      </c>
      <c r="J213" s="2">
        <v>100</v>
      </c>
      <c r="K213" s="2" t="s">
        <v>355</v>
      </c>
      <c r="L213" s="57">
        <v>50</v>
      </c>
      <c r="M213" s="46" t="s">
        <v>638</v>
      </c>
    </row>
    <row r="214" spans="2:15" x14ac:dyDescent="0.25">
      <c r="B214" s="2">
        <v>46</v>
      </c>
      <c r="C214" s="2">
        <v>2</v>
      </c>
      <c r="D214" s="2">
        <v>4</v>
      </c>
      <c r="E214" s="2" t="s">
        <v>596</v>
      </c>
      <c r="F214" s="2">
        <v>4</v>
      </c>
      <c r="G214" s="2">
        <v>2</v>
      </c>
      <c r="I214" s="117" t="s">
        <v>660</v>
      </c>
      <c r="J214" s="2">
        <v>25</v>
      </c>
      <c r="K214" s="2" t="s">
        <v>597</v>
      </c>
      <c r="L214" s="57">
        <v>20</v>
      </c>
    </row>
    <row r="215" spans="2:15" x14ac:dyDescent="0.25">
      <c r="B215" s="2">
        <v>46</v>
      </c>
      <c r="C215" s="2">
        <v>1</v>
      </c>
      <c r="D215" s="2">
        <v>5</v>
      </c>
      <c r="E215" s="2" t="s">
        <v>595</v>
      </c>
      <c r="F215" s="2">
        <v>4</v>
      </c>
      <c r="G215" s="2">
        <v>2</v>
      </c>
      <c r="I215" s="117" t="s">
        <v>638</v>
      </c>
      <c r="J215" s="2">
        <v>30</v>
      </c>
      <c r="L215" s="57">
        <v>20</v>
      </c>
      <c r="M215" s="46" t="s">
        <v>21</v>
      </c>
    </row>
    <row r="216" spans="2:15" x14ac:dyDescent="0.25">
      <c r="B216" s="2">
        <v>47</v>
      </c>
      <c r="C216" s="2">
        <v>2</v>
      </c>
      <c r="D216" s="2">
        <v>5</v>
      </c>
      <c r="E216" s="2" t="s">
        <v>599</v>
      </c>
      <c r="F216" s="2">
        <v>4</v>
      </c>
      <c r="G216" s="2">
        <v>2</v>
      </c>
      <c r="I216" s="117" t="s">
        <v>20</v>
      </c>
      <c r="J216" s="2">
        <v>6</v>
      </c>
      <c r="K216" s="2" t="s">
        <v>394</v>
      </c>
      <c r="L216" s="57">
        <v>5</v>
      </c>
      <c r="N216" s="2" t="s">
        <v>600</v>
      </c>
      <c r="O216" s="2" t="s">
        <v>502</v>
      </c>
    </row>
    <row r="217" spans="2:15" x14ac:dyDescent="0.25">
      <c r="B217" s="2">
        <v>47</v>
      </c>
      <c r="C217" s="2">
        <v>1</v>
      </c>
      <c r="D217" s="2">
        <v>5</v>
      </c>
      <c r="E217" s="2" t="s">
        <v>598</v>
      </c>
      <c r="F217" s="2">
        <v>4</v>
      </c>
      <c r="G217" s="2">
        <v>2</v>
      </c>
      <c r="I217" s="117" t="s">
        <v>102</v>
      </c>
      <c r="J217" s="46" t="s">
        <v>659</v>
      </c>
      <c r="K217" s="2" t="s">
        <v>355</v>
      </c>
      <c r="L217" s="57" t="s">
        <v>489</v>
      </c>
      <c r="N217" s="2" t="s">
        <v>501</v>
      </c>
      <c r="O217" s="2" t="s">
        <v>502</v>
      </c>
    </row>
    <row r="218" spans="2:15" x14ac:dyDescent="0.25">
      <c r="B218" s="2">
        <v>48</v>
      </c>
      <c r="C218" s="2">
        <v>2</v>
      </c>
      <c r="D218" s="2">
        <v>4</v>
      </c>
      <c r="E218" s="2" t="s">
        <v>602</v>
      </c>
      <c r="F218" s="2">
        <v>0</v>
      </c>
      <c r="G218" s="2">
        <v>1</v>
      </c>
      <c r="I218" s="117" t="s">
        <v>21</v>
      </c>
      <c r="J218" s="2">
        <v>18</v>
      </c>
      <c r="K218" s="2" t="s">
        <v>479</v>
      </c>
      <c r="L218" s="57">
        <v>14</v>
      </c>
    </row>
    <row r="219" spans="2:15" x14ac:dyDescent="0.25">
      <c r="B219" s="2">
        <v>48</v>
      </c>
      <c r="C219" s="2">
        <v>1</v>
      </c>
      <c r="D219" s="2">
        <v>5</v>
      </c>
      <c r="E219" s="2" t="s">
        <v>601</v>
      </c>
      <c r="F219" s="2">
        <v>0</v>
      </c>
      <c r="G219" s="2">
        <v>1</v>
      </c>
      <c r="I219" s="117" t="s">
        <v>21</v>
      </c>
      <c r="J219" s="2">
        <v>20</v>
      </c>
      <c r="K219" s="2" t="s">
        <v>319</v>
      </c>
      <c r="L219" s="57">
        <v>20</v>
      </c>
      <c r="M219" s="46" t="s">
        <v>649</v>
      </c>
    </row>
    <row r="220" spans="2:15" x14ac:dyDescent="0.25">
      <c r="B220" s="2">
        <v>49</v>
      </c>
      <c r="C220" s="2">
        <v>1</v>
      </c>
      <c r="D220" s="2">
        <v>5</v>
      </c>
      <c r="E220" s="2" t="s">
        <v>603</v>
      </c>
      <c r="F220" s="2">
        <v>0</v>
      </c>
      <c r="G220" s="2">
        <v>1</v>
      </c>
      <c r="I220" s="117" t="s">
        <v>649</v>
      </c>
      <c r="J220" s="2">
        <v>50</v>
      </c>
      <c r="L220" s="57">
        <v>50</v>
      </c>
      <c r="M220" s="46" t="s">
        <v>649</v>
      </c>
    </row>
    <row r="221" spans="2:15" x14ac:dyDescent="0.25">
      <c r="B221" s="2">
        <v>49</v>
      </c>
      <c r="C221" s="2">
        <v>2</v>
      </c>
      <c r="D221" s="2">
        <v>4</v>
      </c>
      <c r="E221" s="2" t="s">
        <v>604</v>
      </c>
      <c r="F221" s="2">
        <v>4</v>
      </c>
      <c r="G221" s="2">
        <v>1</v>
      </c>
      <c r="I221" s="117" t="s">
        <v>21</v>
      </c>
      <c r="J221" s="2">
        <v>15</v>
      </c>
      <c r="K221" s="2" t="s">
        <v>317</v>
      </c>
      <c r="L221" s="57">
        <v>8</v>
      </c>
      <c r="O221" s="2" t="s">
        <v>408</v>
      </c>
    </row>
    <row r="222" spans="2:15" x14ac:dyDescent="0.25">
      <c r="B222" s="2">
        <v>49</v>
      </c>
      <c r="C222" s="2">
        <v>3</v>
      </c>
      <c r="D222" s="2">
        <v>4</v>
      </c>
      <c r="E222" s="2" t="s">
        <v>605</v>
      </c>
      <c r="F222" s="2">
        <v>4</v>
      </c>
      <c r="G222" s="2">
        <v>1</v>
      </c>
      <c r="I222" s="117" t="s">
        <v>17</v>
      </c>
      <c r="J222" s="2">
        <v>15</v>
      </c>
      <c r="K222" s="2" t="s">
        <v>495</v>
      </c>
      <c r="L222" s="57">
        <v>10</v>
      </c>
      <c r="M222" s="46" t="s">
        <v>649</v>
      </c>
    </row>
    <row r="223" spans="2:15" x14ac:dyDescent="0.25">
      <c r="B223" s="2">
        <v>50</v>
      </c>
      <c r="C223" s="2">
        <v>1</v>
      </c>
      <c r="D223" s="2">
        <v>5</v>
      </c>
      <c r="E223" s="2" t="s">
        <v>606</v>
      </c>
      <c r="F223" s="2">
        <v>0</v>
      </c>
      <c r="G223" s="2">
        <v>1</v>
      </c>
      <c r="I223" s="117" t="s">
        <v>660</v>
      </c>
      <c r="J223" s="2">
        <v>30</v>
      </c>
      <c r="K223" s="2" t="s">
        <v>343</v>
      </c>
      <c r="L223" s="57">
        <v>30</v>
      </c>
    </row>
    <row r="224" spans="2:15" x14ac:dyDescent="0.25">
      <c r="B224" s="2">
        <v>50</v>
      </c>
      <c r="C224" s="2">
        <v>2</v>
      </c>
      <c r="D224" s="2">
        <v>4</v>
      </c>
      <c r="E224" s="2" t="s">
        <v>607</v>
      </c>
      <c r="F224" s="2">
        <v>4</v>
      </c>
      <c r="G224" s="2">
        <v>1</v>
      </c>
      <c r="I224" s="117" t="s">
        <v>662</v>
      </c>
      <c r="J224" s="46" t="s">
        <v>653</v>
      </c>
      <c r="L224" s="57" t="s">
        <v>438</v>
      </c>
      <c r="M224" s="46" t="s">
        <v>627</v>
      </c>
    </row>
    <row r="225" spans="2:15" x14ac:dyDescent="0.25">
      <c r="B225" s="2">
        <v>51</v>
      </c>
      <c r="C225" s="2">
        <v>1</v>
      </c>
      <c r="D225" s="2">
        <v>5</v>
      </c>
      <c r="E225" s="2" t="s">
        <v>608</v>
      </c>
      <c r="F225" s="2">
        <v>4</v>
      </c>
      <c r="G225" s="2">
        <v>4</v>
      </c>
      <c r="I225" s="117" t="s">
        <v>20</v>
      </c>
      <c r="J225" s="2">
        <v>15</v>
      </c>
      <c r="L225" s="57">
        <v>8</v>
      </c>
      <c r="N225" s="2" t="s">
        <v>416</v>
      </c>
      <c r="O225" s="2" t="s">
        <v>417</v>
      </c>
    </row>
    <row r="226" spans="2:15" x14ac:dyDescent="0.25">
      <c r="B226" s="2">
        <v>51</v>
      </c>
      <c r="C226" s="2">
        <v>2</v>
      </c>
      <c r="D226" s="2">
        <v>5</v>
      </c>
      <c r="E226" s="2" t="s">
        <v>609</v>
      </c>
      <c r="F226" s="2">
        <v>4</v>
      </c>
      <c r="G226" s="2">
        <v>1</v>
      </c>
      <c r="H226" s="46" t="s">
        <v>0</v>
      </c>
      <c r="I226" s="117" t="s">
        <v>17</v>
      </c>
      <c r="J226" s="2">
        <v>15</v>
      </c>
      <c r="L226" s="57">
        <v>9</v>
      </c>
      <c r="N226" s="2" t="s">
        <v>428</v>
      </c>
    </row>
    <row r="227" spans="2:15" x14ac:dyDescent="0.25">
      <c r="B227" s="2">
        <v>51</v>
      </c>
      <c r="C227" s="2">
        <v>3</v>
      </c>
      <c r="D227" s="2">
        <v>4</v>
      </c>
      <c r="E227" s="2" t="s">
        <v>610</v>
      </c>
      <c r="F227" s="2">
        <v>4</v>
      </c>
      <c r="G227" s="2">
        <v>1</v>
      </c>
      <c r="I227" s="117" t="s">
        <v>660</v>
      </c>
      <c r="J227" s="2">
        <v>15</v>
      </c>
      <c r="K227" s="2" t="s">
        <v>611</v>
      </c>
      <c r="L227" s="57">
        <v>4</v>
      </c>
      <c r="N227" s="2" t="s">
        <v>412</v>
      </c>
    </row>
    <row r="228" spans="2:15" x14ac:dyDescent="0.25">
      <c r="B228" s="2">
        <v>52</v>
      </c>
      <c r="C228" s="2">
        <v>2</v>
      </c>
      <c r="D228" s="2">
        <v>4</v>
      </c>
      <c r="E228" s="2" t="s">
        <v>613</v>
      </c>
      <c r="F228" s="2">
        <v>2</v>
      </c>
      <c r="G228" s="2">
        <v>1</v>
      </c>
      <c r="I228" s="117" t="s">
        <v>664</v>
      </c>
      <c r="J228" s="2">
        <v>20</v>
      </c>
      <c r="L228" s="57">
        <v>15</v>
      </c>
      <c r="M228" s="46" t="s">
        <v>665</v>
      </c>
    </row>
    <row r="229" spans="2:15" x14ac:dyDescent="0.25">
      <c r="B229" s="2">
        <v>52</v>
      </c>
      <c r="C229" s="2">
        <v>1</v>
      </c>
      <c r="D229" s="2">
        <v>5</v>
      </c>
      <c r="E229" s="2" t="s">
        <v>612</v>
      </c>
      <c r="F229" s="2">
        <v>0</v>
      </c>
      <c r="G229" s="2">
        <v>1</v>
      </c>
      <c r="I229" s="117" t="s">
        <v>21</v>
      </c>
      <c r="J229" s="2">
        <v>6</v>
      </c>
      <c r="K229" s="2" t="s">
        <v>363</v>
      </c>
      <c r="L229" s="57">
        <v>6</v>
      </c>
      <c r="M229" s="46" t="s">
        <v>638</v>
      </c>
    </row>
    <row r="230" spans="2:15" x14ac:dyDescent="0.25">
      <c r="B230" s="2">
        <v>53</v>
      </c>
      <c r="C230" s="2">
        <v>3</v>
      </c>
      <c r="D230" s="2">
        <v>4</v>
      </c>
      <c r="E230" s="2" t="s">
        <v>616</v>
      </c>
      <c r="F230" s="2">
        <v>4</v>
      </c>
      <c r="G230" s="2">
        <v>2</v>
      </c>
      <c r="I230" s="117" t="s">
        <v>17</v>
      </c>
      <c r="J230" s="2">
        <v>15</v>
      </c>
      <c r="L230" s="57">
        <v>6</v>
      </c>
      <c r="M230" s="46" t="s">
        <v>17</v>
      </c>
    </row>
    <row r="231" spans="2:15" x14ac:dyDescent="0.25">
      <c r="B231" s="2">
        <v>53</v>
      </c>
      <c r="C231" s="2">
        <v>2</v>
      </c>
      <c r="D231" s="2">
        <v>4</v>
      </c>
      <c r="E231" s="2" t="s">
        <v>615</v>
      </c>
      <c r="F231" s="2">
        <v>4</v>
      </c>
      <c r="G231" s="2">
        <v>2</v>
      </c>
      <c r="I231" s="117" t="s">
        <v>658</v>
      </c>
      <c r="J231" s="2">
        <v>15</v>
      </c>
      <c r="K231" s="2" t="s">
        <v>341</v>
      </c>
      <c r="L231" s="57">
        <v>10</v>
      </c>
      <c r="O231" s="2" t="s">
        <v>408</v>
      </c>
    </row>
    <row r="232" spans="2:15" x14ac:dyDescent="0.25">
      <c r="B232" s="2">
        <v>53</v>
      </c>
      <c r="C232" s="2">
        <v>1</v>
      </c>
      <c r="D232" s="2">
        <v>5</v>
      </c>
      <c r="E232" s="2" t="s">
        <v>614</v>
      </c>
      <c r="F232" s="2">
        <v>4</v>
      </c>
      <c r="G232" s="2">
        <v>1</v>
      </c>
      <c r="I232" s="117" t="s">
        <v>633</v>
      </c>
      <c r="J232" s="2">
        <v>15</v>
      </c>
      <c r="L232" s="57">
        <v>8</v>
      </c>
      <c r="M232" s="46" t="s">
        <v>665</v>
      </c>
    </row>
    <row r="233" spans="2:15" x14ac:dyDescent="0.25">
      <c r="B233" s="2">
        <v>54</v>
      </c>
      <c r="C233" s="2">
        <v>2</v>
      </c>
      <c r="D233" s="2">
        <v>4</v>
      </c>
      <c r="E233" s="2" t="s">
        <v>618</v>
      </c>
      <c r="F233" s="2">
        <v>4</v>
      </c>
      <c r="G233" s="2">
        <v>1</v>
      </c>
      <c r="H233" s="2" t="s">
        <v>533</v>
      </c>
      <c r="I233" s="117" t="s">
        <v>20</v>
      </c>
      <c r="J233" s="2">
        <v>15</v>
      </c>
      <c r="L233" s="57">
        <v>12</v>
      </c>
    </row>
    <row r="234" spans="2:15" x14ac:dyDescent="0.25">
      <c r="B234" s="2">
        <v>54</v>
      </c>
      <c r="C234" s="2">
        <v>1</v>
      </c>
      <c r="D234" s="2">
        <v>5</v>
      </c>
      <c r="E234" s="2" t="s">
        <v>617</v>
      </c>
      <c r="F234" s="2">
        <v>0</v>
      </c>
      <c r="G234" s="2">
        <v>1</v>
      </c>
      <c r="I234" s="117" t="s">
        <v>660</v>
      </c>
      <c r="J234" s="2">
        <v>25</v>
      </c>
      <c r="K234" s="2" t="s">
        <v>345</v>
      </c>
      <c r="L234" s="57">
        <v>20</v>
      </c>
    </row>
    <row r="235" spans="2:15" x14ac:dyDescent="0.25">
      <c r="B235" s="2">
        <v>55</v>
      </c>
      <c r="C235" s="2">
        <v>2</v>
      </c>
      <c r="D235" s="2">
        <v>5</v>
      </c>
      <c r="E235" s="2" t="s">
        <v>619</v>
      </c>
      <c r="F235" s="2">
        <v>4</v>
      </c>
      <c r="G235" s="2">
        <v>1</v>
      </c>
      <c r="H235" s="46" t="s">
        <v>677</v>
      </c>
      <c r="I235" s="117" t="s">
        <v>658</v>
      </c>
      <c r="J235" s="2">
        <v>100</v>
      </c>
      <c r="K235" s="117" t="s">
        <v>678</v>
      </c>
      <c r="L235" s="57">
        <v>75</v>
      </c>
      <c r="N235" s="2" t="s">
        <v>428</v>
      </c>
    </row>
    <row r="236" spans="2:15" x14ac:dyDescent="0.25">
      <c r="B236" s="2">
        <v>55</v>
      </c>
      <c r="C236" s="2">
        <v>1</v>
      </c>
      <c r="D236" s="2">
        <v>5</v>
      </c>
      <c r="E236" s="46" t="s">
        <v>621</v>
      </c>
      <c r="F236" s="2">
        <v>4</v>
      </c>
      <c r="G236" s="2">
        <v>3</v>
      </c>
      <c r="I236" s="117" t="s">
        <v>17</v>
      </c>
      <c r="J236" s="2">
        <v>15</v>
      </c>
      <c r="K236" s="46" t="s">
        <v>622</v>
      </c>
      <c r="L236" s="113">
        <v>12</v>
      </c>
      <c r="N236" s="2" t="s">
        <v>416</v>
      </c>
      <c r="O236" s="46" t="s">
        <v>103</v>
      </c>
    </row>
    <row r="237" spans="2:15" x14ac:dyDescent="0.25">
      <c r="B237" s="2">
        <v>55</v>
      </c>
      <c r="C237" s="2">
        <v>3</v>
      </c>
      <c r="D237" s="2">
        <v>4</v>
      </c>
      <c r="E237" s="2" t="s">
        <v>620</v>
      </c>
      <c r="F237" s="2">
        <v>4</v>
      </c>
      <c r="G237" s="2">
        <v>1</v>
      </c>
      <c r="I237" s="117" t="s">
        <v>660</v>
      </c>
      <c r="J237" s="2">
        <v>25</v>
      </c>
      <c r="K237" s="2" t="s">
        <v>424</v>
      </c>
      <c r="L237" s="57">
        <v>20</v>
      </c>
      <c r="N237" s="2" t="s">
        <v>412</v>
      </c>
    </row>
    <row r="238" spans="2:15" x14ac:dyDescent="0.25">
      <c r="B238" s="2">
        <v>56</v>
      </c>
      <c r="C238" s="2">
        <v>1</v>
      </c>
      <c r="D238" s="2">
        <v>5</v>
      </c>
      <c r="E238" s="46" t="s">
        <v>623</v>
      </c>
      <c r="F238" s="2">
        <v>4</v>
      </c>
      <c r="G238" s="2">
        <v>4</v>
      </c>
      <c r="I238" s="117" t="s">
        <v>624</v>
      </c>
      <c r="J238" s="2">
        <v>25</v>
      </c>
      <c r="K238" s="2" t="s">
        <v>104</v>
      </c>
      <c r="L238" s="57">
        <v>22</v>
      </c>
      <c r="M238" s="46"/>
    </row>
    <row r="239" spans="2:15" x14ac:dyDescent="0.25">
      <c r="B239" s="2">
        <v>56</v>
      </c>
      <c r="C239" s="2">
        <v>2</v>
      </c>
      <c r="D239" s="2">
        <v>4</v>
      </c>
      <c r="E239" s="46" t="s">
        <v>625</v>
      </c>
      <c r="F239" s="2">
        <v>0</v>
      </c>
      <c r="G239" s="2">
        <v>1</v>
      </c>
      <c r="I239" s="117" t="s">
        <v>18</v>
      </c>
      <c r="J239" s="2">
        <v>20</v>
      </c>
      <c r="K239" s="2" t="s">
        <v>626</v>
      </c>
      <c r="L239" s="57">
        <v>15</v>
      </c>
      <c r="M239" s="46" t="s">
        <v>627</v>
      </c>
    </row>
    <row r="240" spans="2:15" x14ac:dyDescent="0.25">
      <c r="B240" s="2">
        <v>57</v>
      </c>
      <c r="C240" s="2">
        <v>1</v>
      </c>
      <c r="D240" s="2">
        <v>4</v>
      </c>
      <c r="E240" s="46" t="s">
        <v>644</v>
      </c>
      <c r="F240" s="2">
        <v>4</v>
      </c>
      <c r="G240" s="2">
        <v>3</v>
      </c>
      <c r="I240" s="46" t="s">
        <v>22</v>
      </c>
      <c r="J240" s="2">
        <v>100</v>
      </c>
      <c r="L240" s="57">
        <v>50</v>
      </c>
    </row>
    <row r="241" spans="2:15" x14ac:dyDescent="0.25">
      <c r="B241" s="2">
        <v>58</v>
      </c>
      <c r="C241" s="2">
        <v>1</v>
      </c>
      <c r="D241" s="2">
        <v>5</v>
      </c>
      <c r="E241" s="46" t="s">
        <v>932</v>
      </c>
      <c r="F241" s="2">
        <v>0</v>
      </c>
      <c r="G241" s="2">
        <v>1</v>
      </c>
      <c r="I241" s="46" t="s">
        <v>19</v>
      </c>
      <c r="J241" s="46" t="s">
        <v>653</v>
      </c>
      <c r="K241" s="46" t="s">
        <v>935</v>
      </c>
      <c r="L241" s="291" t="s">
        <v>653</v>
      </c>
      <c r="M241" s="46" t="s">
        <v>665</v>
      </c>
    </row>
    <row r="242" spans="2:15" x14ac:dyDescent="0.25">
      <c r="B242" s="2">
        <v>58</v>
      </c>
      <c r="C242" s="2">
        <v>2</v>
      </c>
      <c r="D242" s="2">
        <v>4</v>
      </c>
      <c r="E242" s="46" t="s">
        <v>933</v>
      </c>
      <c r="F242" s="2">
        <v>0</v>
      </c>
      <c r="G242" s="2">
        <v>1</v>
      </c>
      <c r="I242" s="46" t="s">
        <v>660</v>
      </c>
      <c r="J242" s="2">
        <v>25</v>
      </c>
      <c r="K242" s="46" t="s">
        <v>936</v>
      </c>
      <c r="L242" s="57">
        <v>15</v>
      </c>
    </row>
    <row r="243" spans="2:15" x14ac:dyDescent="0.25">
      <c r="B243" s="2">
        <v>58</v>
      </c>
      <c r="C243" s="2">
        <v>3</v>
      </c>
      <c r="D243" s="2">
        <v>4</v>
      </c>
      <c r="E243" s="46" t="s">
        <v>934</v>
      </c>
      <c r="F243" s="2">
        <v>4</v>
      </c>
      <c r="G243" s="2">
        <v>1</v>
      </c>
      <c r="I243" s="46" t="s">
        <v>937</v>
      </c>
      <c r="J243" s="2">
        <v>30</v>
      </c>
      <c r="L243" s="57">
        <v>14</v>
      </c>
    </row>
    <row r="244" spans="2:15" x14ac:dyDescent="0.25">
      <c r="B244" s="2">
        <v>59</v>
      </c>
      <c r="C244" s="2">
        <v>1</v>
      </c>
      <c r="D244" s="2">
        <v>5</v>
      </c>
      <c r="E244" s="46" t="s">
        <v>953</v>
      </c>
      <c r="F244" s="2">
        <v>4</v>
      </c>
      <c r="G244" s="2">
        <v>4</v>
      </c>
      <c r="I244" s="46" t="s">
        <v>21</v>
      </c>
      <c r="J244" s="46" t="s">
        <v>657</v>
      </c>
      <c r="K244" s="46" t="s">
        <v>954</v>
      </c>
      <c r="L244" s="291" t="s">
        <v>657</v>
      </c>
      <c r="O244" s="46" t="s">
        <v>938</v>
      </c>
    </row>
    <row r="245" spans="2:15" x14ac:dyDescent="0.25">
      <c r="B245" s="2">
        <v>60</v>
      </c>
      <c r="C245" s="2">
        <v>1</v>
      </c>
      <c r="D245" s="2">
        <v>5</v>
      </c>
      <c r="E245" s="46" t="s">
        <v>987</v>
      </c>
      <c r="F245" s="2">
        <v>0</v>
      </c>
      <c r="G245" s="2">
        <v>1</v>
      </c>
      <c r="I245" s="46" t="s">
        <v>624</v>
      </c>
      <c r="J245" s="46" t="s">
        <v>653</v>
      </c>
      <c r="K245" s="46" t="s">
        <v>989</v>
      </c>
      <c r="L245" s="291" t="s">
        <v>653</v>
      </c>
      <c r="O245" s="46" t="s">
        <v>983</v>
      </c>
    </row>
    <row r="246" spans="2:15" x14ac:dyDescent="0.25">
      <c r="B246" s="2">
        <v>60</v>
      </c>
      <c r="C246" s="2">
        <v>2</v>
      </c>
      <c r="D246" s="2">
        <v>4</v>
      </c>
      <c r="E246" s="46" t="s">
        <v>988</v>
      </c>
      <c r="F246" s="2">
        <v>0</v>
      </c>
      <c r="G246" s="2">
        <v>1</v>
      </c>
      <c r="I246" s="46" t="s">
        <v>22</v>
      </c>
      <c r="J246" s="2">
        <v>100</v>
      </c>
      <c r="L246" s="57">
        <v>25</v>
      </c>
      <c r="O246" s="46" t="s">
        <v>983</v>
      </c>
    </row>
    <row r="247" spans="2:15" x14ac:dyDescent="0.25">
      <c r="B247" s="2">
        <v>61</v>
      </c>
      <c r="C247" s="2">
        <v>1</v>
      </c>
      <c r="D247" s="2">
        <v>5</v>
      </c>
      <c r="E247" s="46" t="s">
        <v>994</v>
      </c>
      <c r="F247" s="2">
        <v>4</v>
      </c>
      <c r="G247" s="2">
        <v>4</v>
      </c>
      <c r="I247" s="2" t="s">
        <v>995</v>
      </c>
      <c r="J247" s="46" t="s">
        <v>653</v>
      </c>
      <c r="L247" s="291" t="s">
        <v>653</v>
      </c>
      <c r="N247" s="289" t="s">
        <v>993</v>
      </c>
    </row>
    <row r="248" spans="2:15" x14ac:dyDescent="0.25">
      <c r="B248" s="2">
        <v>61</v>
      </c>
      <c r="C248" s="2">
        <v>2</v>
      </c>
      <c r="D248" s="2">
        <v>5</v>
      </c>
      <c r="E248" s="46" t="s">
        <v>991</v>
      </c>
      <c r="F248" s="2">
        <v>4</v>
      </c>
      <c r="G248" s="2">
        <v>4</v>
      </c>
      <c r="I248" s="46" t="s">
        <v>660</v>
      </c>
      <c r="J248" s="2">
        <v>25</v>
      </c>
      <c r="K248" s="46" t="s">
        <v>992</v>
      </c>
      <c r="L248" s="57">
        <v>25</v>
      </c>
      <c r="N248" s="2" t="s">
        <v>428</v>
      </c>
    </row>
    <row r="249" spans="2:15" x14ac:dyDescent="0.25">
      <c r="B249" s="2">
        <v>61</v>
      </c>
      <c r="C249" s="2">
        <v>3</v>
      </c>
      <c r="D249" s="2">
        <v>4</v>
      </c>
      <c r="E249" s="46" t="s">
        <v>996</v>
      </c>
      <c r="F249" s="2">
        <v>4</v>
      </c>
      <c r="G249" s="2">
        <v>1</v>
      </c>
      <c r="H249" s="46" t="s">
        <v>943</v>
      </c>
      <c r="I249" s="46" t="s">
        <v>20</v>
      </c>
      <c r="J249" s="2">
        <v>15</v>
      </c>
      <c r="L249" s="57">
        <v>12</v>
      </c>
      <c r="N249" s="2" t="s">
        <v>412</v>
      </c>
    </row>
    <row r="250" spans="2:15" x14ac:dyDescent="0.25">
      <c r="B250" s="2">
        <v>62</v>
      </c>
      <c r="C250" s="2">
        <v>1</v>
      </c>
      <c r="D250" s="2">
        <v>5</v>
      </c>
      <c r="E250" s="46" t="s">
        <v>998</v>
      </c>
      <c r="F250" s="2">
        <v>0</v>
      </c>
      <c r="G250" s="2">
        <v>1</v>
      </c>
      <c r="I250" s="46" t="s">
        <v>660</v>
      </c>
      <c r="J250" s="2">
        <v>30</v>
      </c>
      <c r="K250" s="46" t="s">
        <v>1000</v>
      </c>
      <c r="L250" s="57">
        <v>30</v>
      </c>
    </row>
    <row r="251" spans="2:15" x14ac:dyDescent="0.25">
      <c r="B251" s="2">
        <v>62</v>
      </c>
      <c r="C251" s="2">
        <v>2</v>
      </c>
      <c r="D251" s="2">
        <v>4</v>
      </c>
      <c r="E251" s="46" t="s">
        <v>999</v>
      </c>
      <c r="F251" s="2">
        <v>4</v>
      </c>
      <c r="G251" s="2">
        <v>1</v>
      </c>
      <c r="H251" s="46" t="s">
        <v>943</v>
      </c>
      <c r="I251" s="46" t="s">
        <v>624</v>
      </c>
      <c r="J251" s="2">
        <v>25</v>
      </c>
      <c r="L251" s="57">
        <v>17</v>
      </c>
      <c r="M251" s="46" t="s">
        <v>21</v>
      </c>
    </row>
    <row r="252" spans="2:15" x14ac:dyDescent="0.25">
      <c r="B252" s="2">
        <v>63</v>
      </c>
      <c r="C252" s="2">
        <v>1</v>
      </c>
      <c r="D252" s="2">
        <v>5</v>
      </c>
      <c r="E252" s="46" t="s">
        <v>1034</v>
      </c>
      <c r="F252" s="2">
        <v>0</v>
      </c>
      <c r="G252" s="2">
        <v>1</v>
      </c>
      <c r="I252" s="46" t="s">
        <v>17</v>
      </c>
      <c r="J252" s="2">
        <v>15</v>
      </c>
      <c r="K252" s="46" t="s">
        <v>1035</v>
      </c>
      <c r="L252" s="57">
        <v>15</v>
      </c>
      <c r="M252" s="46" t="s">
        <v>647</v>
      </c>
    </row>
    <row r="253" spans="2:15" x14ac:dyDescent="0.25">
      <c r="B253" s="2">
        <v>63</v>
      </c>
      <c r="C253" s="2">
        <v>2</v>
      </c>
      <c r="D253" s="2">
        <v>5</v>
      </c>
      <c r="E253" s="46" t="s">
        <v>1037</v>
      </c>
      <c r="F253" s="2">
        <v>0</v>
      </c>
      <c r="G253" s="2">
        <v>1</v>
      </c>
      <c r="I253" s="46" t="s">
        <v>21</v>
      </c>
      <c r="J253" s="2">
        <v>20</v>
      </c>
      <c r="K253" s="2" t="s">
        <v>104</v>
      </c>
      <c r="L253" s="57">
        <v>13</v>
      </c>
      <c r="M253" s="46" t="s">
        <v>665</v>
      </c>
      <c r="O253" s="46" t="s">
        <v>1036</v>
      </c>
    </row>
    <row r="254" spans="2:15" x14ac:dyDescent="0.25">
      <c r="B254" s="2">
        <v>64</v>
      </c>
      <c r="C254" s="2">
        <v>1</v>
      </c>
      <c r="D254" s="2">
        <v>5</v>
      </c>
      <c r="E254" s="46" t="s">
        <v>1079</v>
      </c>
      <c r="F254" s="2">
        <v>0</v>
      </c>
      <c r="G254" s="2">
        <v>1</v>
      </c>
      <c r="I254" s="46" t="s">
        <v>660</v>
      </c>
      <c r="J254" s="2">
        <v>15</v>
      </c>
      <c r="K254" s="46" t="s">
        <v>1077</v>
      </c>
      <c r="L254" s="57">
        <v>10</v>
      </c>
      <c r="M254" s="46" t="s">
        <v>17</v>
      </c>
      <c r="O254" s="46" t="s">
        <v>1078</v>
      </c>
    </row>
    <row r="255" spans="2:15" x14ac:dyDescent="0.25">
      <c r="B255" s="2">
        <v>65</v>
      </c>
      <c r="C255" s="2">
        <v>1</v>
      </c>
      <c r="D255" s="2">
        <v>5</v>
      </c>
      <c r="E255" s="46" t="s">
        <v>1090</v>
      </c>
      <c r="F255" s="2">
        <v>0</v>
      </c>
      <c r="G255" s="2">
        <v>1</v>
      </c>
      <c r="I255" s="46" t="s">
        <v>660</v>
      </c>
      <c r="J255" s="2">
        <v>25</v>
      </c>
      <c r="K255" s="46" t="s">
        <v>1091</v>
      </c>
      <c r="L255" s="57">
        <v>25</v>
      </c>
      <c r="M255" s="46" t="s">
        <v>638</v>
      </c>
      <c r="O255" s="46" t="s">
        <v>1092</v>
      </c>
    </row>
    <row r="256" spans="2:15" x14ac:dyDescent="0.25">
      <c r="B256" s="2">
        <v>65</v>
      </c>
      <c r="C256" s="2">
        <v>2</v>
      </c>
      <c r="D256" s="2">
        <v>4</v>
      </c>
      <c r="E256" s="46" t="s">
        <v>1093</v>
      </c>
      <c r="F256" s="2">
        <v>4</v>
      </c>
      <c r="G256" s="2">
        <v>4</v>
      </c>
      <c r="H256" s="46" t="s">
        <v>1086</v>
      </c>
      <c r="I256" s="46" t="s">
        <v>638</v>
      </c>
      <c r="J256" s="2">
        <v>25</v>
      </c>
      <c r="O256" s="46" t="s">
        <v>1094</v>
      </c>
    </row>
  </sheetData>
  <autoFilter ref="B1:O253" xr:uid="{10FC0658-2A8C-4AFF-B40A-DDD9EDEA2D4A}">
    <sortState xmlns:xlrd2="http://schemas.microsoft.com/office/spreadsheetml/2017/richdata2" ref="B2:O253">
      <sortCondition ref="B1:B253"/>
    </sortState>
  </autoFilter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FE8E-CF57-410B-9DC0-DB84933A0364}">
  <dimension ref="A1:DS45"/>
  <sheetViews>
    <sheetView topLeftCell="BB1" zoomScale="60" zoomScaleNormal="60" workbookViewId="0">
      <selection activeCell="CW17" sqref="CW17"/>
    </sheetView>
  </sheetViews>
  <sheetFormatPr defaultRowHeight="13.8" x14ac:dyDescent="0.25"/>
  <cols>
    <col min="2" max="2" width="3.77734375" bestFit="1" customWidth="1"/>
    <col min="3" max="10" width="5.5546875" bestFit="1" customWidth="1"/>
    <col min="12" max="12" width="3.77734375" bestFit="1" customWidth="1"/>
    <col min="13" max="13" width="5.77734375" bestFit="1" customWidth="1"/>
    <col min="14" max="16" width="5.5546875" bestFit="1" customWidth="1"/>
    <col min="17" max="17" width="5.5546875" customWidth="1"/>
    <col min="18" max="21" width="5.5546875" bestFit="1" customWidth="1"/>
    <col min="22" max="22" width="5.5546875" customWidth="1"/>
    <col min="24" max="24" width="3.77734375" bestFit="1" customWidth="1"/>
    <col min="25" max="28" width="5.5546875" bestFit="1" customWidth="1"/>
    <col min="29" max="29" width="5.5546875" customWidth="1"/>
    <col min="30" max="33" width="5.5546875" bestFit="1" customWidth="1"/>
    <col min="34" max="34" width="5.5546875" customWidth="1"/>
    <col min="36" max="36" width="3.77734375" bestFit="1" customWidth="1"/>
    <col min="37" max="44" width="5.5546875" bestFit="1" customWidth="1"/>
    <col min="46" max="46" width="3.77734375" bestFit="1" customWidth="1"/>
    <col min="47" max="48" width="5.5546875" bestFit="1" customWidth="1"/>
    <col min="49" max="49" width="5.5546875" customWidth="1"/>
    <col min="50" max="53" width="5.5546875" bestFit="1" customWidth="1"/>
    <col min="54" max="54" width="5.5546875" customWidth="1"/>
    <col min="55" max="56" width="5.5546875" bestFit="1" customWidth="1"/>
    <col min="58" max="58" width="3.77734375" bestFit="1" customWidth="1"/>
    <col min="59" max="66" width="5.5546875" bestFit="1" customWidth="1"/>
    <col min="69" max="69" width="2.88671875" customWidth="1"/>
    <col min="70" max="70" width="4.33203125" bestFit="1" customWidth="1"/>
    <col min="71" max="71" width="4.21875" bestFit="1" customWidth="1"/>
    <col min="72" max="72" width="4.33203125" bestFit="1" customWidth="1"/>
    <col min="73" max="73" width="5.44140625" bestFit="1" customWidth="1"/>
    <col min="74" max="75" width="4.33203125" bestFit="1" customWidth="1"/>
    <col min="76" max="76" width="5.44140625" bestFit="1" customWidth="1"/>
    <col min="77" max="78" width="4.33203125" bestFit="1" customWidth="1"/>
    <col min="79" max="79" width="6.21875" customWidth="1"/>
    <col min="80" max="80" width="4.77734375" bestFit="1" customWidth="1"/>
    <col min="81" max="81" width="7.33203125" bestFit="1" customWidth="1"/>
    <col min="82" max="82" width="7.33203125" customWidth="1"/>
    <col min="83" max="83" width="4.77734375" bestFit="1" customWidth="1"/>
    <col min="84" max="84" width="7.33203125" bestFit="1" customWidth="1"/>
    <col min="85" max="85" width="4.77734375" bestFit="1" customWidth="1"/>
    <col min="86" max="86" width="7.88671875" bestFit="1" customWidth="1"/>
    <col min="87" max="87" width="4.33203125" bestFit="1" customWidth="1"/>
    <col min="88" max="88" width="7.33203125" bestFit="1" customWidth="1"/>
    <col min="89" max="89" width="4.33203125" bestFit="1" customWidth="1"/>
    <col min="91" max="91" width="4.88671875" bestFit="1" customWidth="1"/>
    <col min="92" max="92" width="4.21875" bestFit="1" customWidth="1"/>
    <col min="93" max="93" width="7.6640625" bestFit="1" customWidth="1"/>
    <col min="94" max="94" width="9.77734375" bestFit="1" customWidth="1"/>
    <col min="95" max="95" width="6.21875" bestFit="1" customWidth="1"/>
    <col min="96" max="96" width="4.21875" bestFit="1" customWidth="1"/>
    <col min="97" max="97" width="5.44140625" bestFit="1" customWidth="1"/>
    <col min="98" max="98" width="7.6640625" bestFit="1" customWidth="1"/>
    <col min="99" max="100" width="9.77734375" bestFit="1" customWidth="1"/>
    <col min="101" max="102" width="5.44140625" bestFit="1" customWidth="1"/>
    <col min="103" max="103" width="4.33203125" bestFit="1" customWidth="1"/>
    <col min="104" max="105" width="4.21875" bestFit="1" customWidth="1"/>
    <col min="106" max="106" width="3.109375" bestFit="1" customWidth="1"/>
    <col min="107" max="107" width="3.109375" customWidth="1"/>
    <col min="109" max="109" width="6.77734375" customWidth="1"/>
    <col min="110" max="110" width="5.44140625" bestFit="1" customWidth="1"/>
    <col min="111" max="123" width="6.5546875" bestFit="1" customWidth="1"/>
  </cols>
  <sheetData>
    <row r="1" spans="1:123" x14ac:dyDescent="0.25">
      <c r="A1" s="264"/>
      <c r="B1" s="316" t="s">
        <v>266</v>
      </c>
      <c r="C1" s="316"/>
      <c r="D1" s="316"/>
      <c r="E1" s="316"/>
      <c r="F1" s="316"/>
      <c r="G1" s="316"/>
      <c r="H1" s="316"/>
      <c r="I1" s="316"/>
      <c r="J1" s="316"/>
      <c r="K1" s="264"/>
      <c r="L1" s="316" t="s">
        <v>273</v>
      </c>
      <c r="M1" s="316"/>
      <c r="N1" s="316"/>
      <c r="O1" s="316"/>
      <c r="P1" s="316"/>
      <c r="Q1" s="316"/>
      <c r="R1" s="316"/>
      <c r="S1" s="316"/>
      <c r="T1" s="316"/>
      <c r="U1" s="316"/>
      <c r="V1" s="271"/>
      <c r="W1" s="264"/>
      <c r="X1" s="316" t="s">
        <v>279</v>
      </c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264"/>
      <c r="AJ1" s="316" t="s">
        <v>48</v>
      </c>
      <c r="AK1" s="316"/>
      <c r="AL1" s="316"/>
      <c r="AM1" s="316"/>
      <c r="AN1" s="316"/>
      <c r="AO1" s="316"/>
      <c r="AP1" s="316"/>
      <c r="AQ1" s="316"/>
      <c r="AR1" s="316"/>
      <c r="AS1" s="264"/>
      <c r="AT1" s="316" t="s">
        <v>264</v>
      </c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264"/>
      <c r="BF1" s="316" t="s">
        <v>290</v>
      </c>
      <c r="BG1" s="316"/>
      <c r="BH1" s="316"/>
      <c r="BI1" s="316"/>
      <c r="BJ1" s="316"/>
      <c r="BK1" s="316"/>
      <c r="BL1" s="316"/>
      <c r="BM1" s="316"/>
      <c r="BN1" s="316"/>
    </row>
    <row r="2" spans="1:123" x14ac:dyDescent="0.25">
      <c r="A2" s="264"/>
      <c r="B2" s="264"/>
      <c r="C2" s="316" t="s">
        <v>271</v>
      </c>
      <c r="D2" s="314"/>
      <c r="E2" s="314"/>
      <c r="F2" s="314"/>
      <c r="G2" s="316" t="s">
        <v>272</v>
      </c>
      <c r="H2" s="314"/>
      <c r="I2" s="314"/>
      <c r="J2" s="314"/>
      <c r="K2" s="264"/>
      <c r="L2" s="264"/>
      <c r="M2" s="316" t="s">
        <v>271</v>
      </c>
      <c r="N2" s="316"/>
      <c r="O2" s="316"/>
      <c r="P2" s="316"/>
      <c r="Q2" s="316"/>
      <c r="R2" s="316" t="s">
        <v>272</v>
      </c>
      <c r="S2" s="316"/>
      <c r="T2" s="316"/>
      <c r="U2" s="316"/>
      <c r="V2" s="316"/>
      <c r="W2" s="264"/>
      <c r="X2" s="264"/>
      <c r="Y2" s="316" t="s">
        <v>271</v>
      </c>
      <c r="Z2" s="316"/>
      <c r="AA2" s="316"/>
      <c r="AB2" s="316"/>
      <c r="AC2" s="316"/>
      <c r="AD2" s="316" t="s">
        <v>272</v>
      </c>
      <c r="AE2" s="316"/>
      <c r="AF2" s="316"/>
      <c r="AG2" s="316"/>
      <c r="AH2" s="316"/>
      <c r="AI2" s="264"/>
      <c r="AJ2" s="264"/>
      <c r="AK2" s="316" t="s">
        <v>271</v>
      </c>
      <c r="AL2" s="314"/>
      <c r="AM2" s="314"/>
      <c r="AN2" s="314"/>
      <c r="AO2" s="316" t="s">
        <v>272</v>
      </c>
      <c r="AP2" s="314"/>
      <c r="AQ2" s="314"/>
      <c r="AR2" s="314"/>
      <c r="AS2" s="264"/>
      <c r="AT2" s="264"/>
      <c r="AU2" s="316" t="s">
        <v>271</v>
      </c>
      <c r="AV2" s="314"/>
      <c r="AW2" s="314"/>
      <c r="AX2" s="314"/>
      <c r="AY2" s="314"/>
      <c r="AZ2" s="316" t="s">
        <v>272</v>
      </c>
      <c r="BA2" s="314"/>
      <c r="BB2" s="314"/>
      <c r="BC2" s="314"/>
      <c r="BD2" s="314"/>
      <c r="BE2" s="264"/>
      <c r="BF2" s="264"/>
      <c r="BG2" s="316" t="s">
        <v>271</v>
      </c>
      <c r="BH2" s="314"/>
      <c r="BI2" s="314"/>
      <c r="BJ2" s="314"/>
      <c r="BK2" s="316" t="s">
        <v>272</v>
      </c>
      <c r="BL2" s="314"/>
      <c r="BM2" s="314"/>
      <c r="BN2" s="314"/>
    </row>
    <row r="3" spans="1:123" ht="13.95" customHeight="1" x14ac:dyDescent="0.25">
      <c r="A3" s="264"/>
      <c r="B3" s="264" t="s">
        <v>30</v>
      </c>
      <c r="C3" s="271" t="s">
        <v>267</v>
      </c>
      <c r="D3" s="271" t="s">
        <v>268</v>
      </c>
      <c r="E3" s="271" t="s">
        <v>269</v>
      </c>
      <c r="F3" s="271" t="s">
        <v>270</v>
      </c>
      <c r="G3" s="271" t="s">
        <v>267</v>
      </c>
      <c r="H3" s="271" t="s">
        <v>268</v>
      </c>
      <c r="I3" s="271" t="s">
        <v>269</v>
      </c>
      <c r="J3" s="271" t="s">
        <v>270</v>
      </c>
      <c r="K3" s="264"/>
      <c r="L3" s="264" t="s">
        <v>30</v>
      </c>
      <c r="M3" s="271" t="s">
        <v>274</v>
      </c>
      <c r="N3" s="271" t="s">
        <v>275</v>
      </c>
      <c r="O3" s="271" t="s">
        <v>276</v>
      </c>
      <c r="P3" s="271" t="s">
        <v>277</v>
      </c>
      <c r="Q3" s="271" t="s">
        <v>278</v>
      </c>
      <c r="R3" s="271" t="s">
        <v>274</v>
      </c>
      <c r="S3" s="271" t="s">
        <v>275</v>
      </c>
      <c r="T3" s="271" t="s">
        <v>276</v>
      </c>
      <c r="U3" s="271" t="s">
        <v>277</v>
      </c>
      <c r="V3" s="271" t="s">
        <v>278</v>
      </c>
      <c r="W3" s="264"/>
      <c r="X3" s="264" t="s">
        <v>30</v>
      </c>
      <c r="Y3" s="271" t="s">
        <v>280</v>
      </c>
      <c r="Z3" s="271" t="s">
        <v>281</v>
      </c>
      <c r="AA3" s="271" t="s">
        <v>282</v>
      </c>
      <c r="AB3" s="271" t="s">
        <v>283</v>
      </c>
      <c r="AC3" s="271" t="s">
        <v>284</v>
      </c>
      <c r="AD3" s="271" t="s">
        <v>280</v>
      </c>
      <c r="AE3" s="271" t="s">
        <v>281</v>
      </c>
      <c r="AF3" s="271" t="s">
        <v>282</v>
      </c>
      <c r="AG3" s="271" t="s">
        <v>283</v>
      </c>
      <c r="AH3" s="271" t="s">
        <v>284</v>
      </c>
      <c r="AI3" s="264"/>
      <c r="AJ3" s="264" t="s">
        <v>30</v>
      </c>
      <c r="AK3" s="271" t="s">
        <v>285</v>
      </c>
      <c r="AL3" s="271" t="s">
        <v>286</v>
      </c>
      <c r="AM3" s="271"/>
      <c r="AN3" s="271"/>
      <c r="AO3" s="271" t="s">
        <v>285</v>
      </c>
      <c r="AP3" s="271" t="s">
        <v>286</v>
      </c>
      <c r="AQ3" s="271"/>
      <c r="AR3" s="271"/>
      <c r="AS3" s="264"/>
      <c r="AT3" s="264" t="s">
        <v>30</v>
      </c>
      <c r="AU3" s="271" t="s">
        <v>275</v>
      </c>
      <c r="AV3" s="271" t="s">
        <v>287</v>
      </c>
      <c r="AW3" s="271" t="s">
        <v>291</v>
      </c>
      <c r="AX3" s="271" t="s">
        <v>288</v>
      </c>
      <c r="AY3" s="271" t="s">
        <v>289</v>
      </c>
      <c r="AZ3" s="271" t="s">
        <v>275</v>
      </c>
      <c r="BA3" s="271" t="s">
        <v>287</v>
      </c>
      <c r="BB3" s="271" t="s">
        <v>291</v>
      </c>
      <c r="BC3" s="271" t="s">
        <v>288</v>
      </c>
      <c r="BD3" s="271" t="s">
        <v>289</v>
      </c>
      <c r="BE3" s="264"/>
      <c r="BF3" s="264" t="s">
        <v>30</v>
      </c>
      <c r="BG3" s="271" t="s">
        <v>288</v>
      </c>
      <c r="BH3" s="271" t="s">
        <v>289</v>
      </c>
      <c r="BI3" s="271" t="s">
        <v>291</v>
      </c>
      <c r="BJ3" s="271"/>
      <c r="BK3" s="271" t="s">
        <v>288</v>
      </c>
      <c r="BL3" s="271" t="s">
        <v>289</v>
      </c>
      <c r="BM3" s="271" t="s">
        <v>291</v>
      </c>
      <c r="BN3" s="271"/>
      <c r="BQ3" s="2"/>
      <c r="BR3" s="2"/>
      <c r="BS3" s="2"/>
      <c r="BT3" s="2"/>
      <c r="BU3" s="2"/>
      <c r="BV3" s="2"/>
      <c r="BW3" s="2"/>
      <c r="BX3" s="2"/>
      <c r="BY3" s="2"/>
      <c r="BZ3" s="2"/>
      <c r="CA3" s="264"/>
      <c r="CB3" s="258">
        <v>52</v>
      </c>
      <c r="CC3" s="258">
        <v>55</v>
      </c>
      <c r="CD3" s="258">
        <v>56</v>
      </c>
      <c r="CE3" s="258">
        <v>59</v>
      </c>
      <c r="CF3" s="258">
        <v>60</v>
      </c>
      <c r="CG3" s="258">
        <v>63</v>
      </c>
      <c r="CH3" s="258">
        <v>65</v>
      </c>
      <c r="CI3" s="258">
        <v>67</v>
      </c>
      <c r="CJ3" s="258">
        <v>70</v>
      </c>
      <c r="CK3" s="2"/>
    </row>
    <row r="4" spans="1:123" x14ac:dyDescent="0.25">
      <c r="B4">
        <v>0</v>
      </c>
      <c r="C4" s="4"/>
      <c r="D4" s="4"/>
      <c r="E4" s="4"/>
      <c r="F4" s="4"/>
      <c r="G4">
        <f>SUM(C4:C44)</f>
        <v>1825</v>
      </c>
      <c r="H4">
        <f>SUM(D4:D44)</f>
        <v>445</v>
      </c>
      <c r="I4">
        <f t="shared" ref="I4:J4" si="0">SUM(E4:E44)</f>
        <v>168</v>
      </c>
      <c r="J4">
        <f t="shared" si="0"/>
        <v>97</v>
      </c>
      <c r="L4">
        <v>0</v>
      </c>
      <c r="M4" s="4"/>
      <c r="N4" s="4"/>
      <c r="O4" s="4"/>
      <c r="P4" s="4"/>
      <c r="Q4" s="4"/>
      <c r="R4">
        <f>SUM(M4:M44)</f>
        <v>4203</v>
      </c>
      <c r="S4">
        <f>SUM(N4:N44)</f>
        <v>733</v>
      </c>
      <c r="T4">
        <f t="shared" ref="T4:V4" si="1">SUM(O4:O44)</f>
        <v>271</v>
      </c>
      <c r="U4">
        <f>SUM(P4:P44)</f>
        <v>30</v>
      </c>
      <c r="V4">
        <f t="shared" si="1"/>
        <v>90</v>
      </c>
      <c r="X4">
        <v>0</v>
      </c>
      <c r="Y4" s="4"/>
      <c r="Z4" s="4"/>
      <c r="AA4" s="4"/>
      <c r="AB4" s="4"/>
      <c r="AC4" s="4"/>
      <c r="AD4">
        <f>SUM(Y4:Y44)</f>
        <v>4580</v>
      </c>
      <c r="AE4">
        <f>SUM(Z4:Z44)</f>
        <v>1255</v>
      </c>
      <c r="AF4">
        <f t="shared" ref="AF4:AG4" si="2">SUM(AA4:AA44)</f>
        <v>1350</v>
      </c>
      <c r="AG4">
        <f t="shared" si="2"/>
        <v>2510</v>
      </c>
      <c r="AH4">
        <f>SUM(AC4:AC44)</f>
        <v>640</v>
      </c>
      <c r="AJ4">
        <v>0</v>
      </c>
      <c r="AK4" s="2"/>
      <c r="AL4" s="4"/>
      <c r="AM4" s="4"/>
      <c r="AN4" s="4"/>
      <c r="AO4">
        <f>SUM(AK4:AK44)</f>
        <v>1035</v>
      </c>
      <c r="AP4">
        <f t="shared" ref="AP4:AR4" si="3">SUM(AL4:AL44)</f>
        <v>205</v>
      </c>
      <c r="AQ4">
        <f>SUM(AM4:AM44)</f>
        <v>0</v>
      </c>
      <c r="AR4">
        <f t="shared" si="3"/>
        <v>0</v>
      </c>
      <c r="AT4">
        <v>0</v>
      </c>
      <c r="AU4" s="4"/>
      <c r="AV4" s="4"/>
      <c r="AW4" s="4"/>
      <c r="AX4" s="4"/>
      <c r="AY4" s="4"/>
      <c r="AZ4">
        <f>SUM(AU4:AU44)</f>
        <v>1750</v>
      </c>
      <c r="BA4">
        <f>SUM(AV4:AV44)</f>
        <v>673</v>
      </c>
      <c r="BB4">
        <f>SUM(AW4:AW44)</f>
        <v>920</v>
      </c>
      <c r="BC4">
        <f>SUM(AX4:AX44)</f>
        <v>806</v>
      </c>
      <c r="BD4">
        <f>SUM(AY4:AY44)</f>
        <v>463</v>
      </c>
      <c r="BF4">
        <v>0</v>
      </c>
      <c r="BG4" s="4"/>
      <c r="BH4" s="4"/>
      <c r="BI4" s="4"/>
      <c r="BJ4" s="4"/>
      <c r="BK4">
        <f>SUM(BG4:BG44)</f>
        <v>816</v>
      </c>
      <c r="BL4">
        <f t="shared" ref="BL4:BN4" si="4">SUM(BH4:BH44)</f>
        <v>575</v>
      </c>
      <c r="BM4">
        <f t="shared" si="4"/>
        <v>810</v>
      </c>
      <c r="BN4">
        <f t="shared" si="4"/>
        <v>0</v>
      </c>
      <c r="BQ4" s="392" t="s">
        <v>9</v>
      </c>
      <c r="BR4" s="393"/>
      <c r="BS4" s="266" t="s">
        <v>70</v>
      </c>
      <c r="BT4" s="267">
        <v>30</v>
      </c>
      <c r="BU4" s="267" t="s">
        <v>71</v>
      </c>
      <c r="BV4" s="267">
        <v>40</v>
      </c>
      <c r="BW4" s="267">
        <v>45</v>
      </c>
      <c r="BX4" s="273" t="s">
        <v>72</v>
      </c>
      <c r="BY4" s="268" t="s">
        <v>39</v>
      </c>
      <c r="BZ4" s="274">
        <v>50</v>
      </c>
      <c r="CA4" s="275" t="s">
        <v>128</v>
      </c>
      <c r="CB4" s="276" t="s">
        <v>972</v>
      </c>
      <c r="CC4" s="276" t="s">
        <v>973</v>
      </c>
      <c r="CD4" s="276" t="s">
        <v>974</v>
      </c>
      <c r="CE4" s="276" t="s">
        <v>975</v>
      </c>
      <c r="CF4" s="276" t="s">
        <v>976</v>
      </c>
      <c r="CG4" s="276" t="s">
        <v>977</v>
      </c>
      <c r="CH4" s="276" t="s">
        <v>979</v>
      </c>
      <c r="CI4" s="276" t="s">
        <v>978</v>
      </c>
      <c r="CJ4" s="276" t="s">
        <v>980</v>
      </c>
      <c r="CK4" s="50" t="s">
        <v>81</v>
      </c>
      <c r="CN4" s="333" t="s">
        <v>816</v>
      </c>
      <c r="CO4" s="333"/>
      <c r="CP4" s="333"/>
      <c r="CQ4" s="333"/>
      <c r="CR4" s="333"/>
      <c r="CS4" s="333"/>
      <c r="CT4" s="333" t="s">
        <v>817</v>
      </c>
      <c r="CU4" s="333"/>
      <c r="CV4" s="333"/>
      <c r="CW4" s="333"/>
      <c r="CX4" s="333"/>
      <c r="CY4" s="333" t="s">
        <v>259</v>
      </c>
      <c r="CZ4" s="333"/>
      <c r="DA4" s="333"/>
      <c r="DB4" s="250"/>
      <c r="DC4" s="294"/>
    </row>
    <row r="5" spans="1:123" ht="13.95" customHeight="1" x14ac:dyDescent="0.25">
      <c r="B5">
        <v>1</v>
      </c>
      <c r="G5">
        <f>G4-C5</f>
        <v>1825</v>
      </c>
      <c r="H5">
        <f>H4-D5</f>
        <v>445</v>
      </c>
      <c r="I5">
        <f t="shared" ref="H5:J20" si="5">I4-E5</f>
        <v>168</v>
      </c>
      <c r="J5">
        <f t="shared" si="5"/>
        <v>97</v>
      </c>
      <c r="L5">
        <v>1</v>
      </c>
      <c r="R5">
        <f>R4-M5</f>
        <v>4203</v>
      </c>
      <c r="S5">
        <f>S4-N5</f>
        <v>733</v>
      </c>
      <c r="T5">
        <f t="shared" ref="S5:V20" si="6">T4-O5</f>
        <v>271</v>
      </c>
      <c r="U5">
        <f t="shared" si="6"/>
        <v>30</v>
      </c>
      <c r="V5">
        <f t="shared" si="6"/>
        <v>90</v>
      </c>
      <c r="X5">
        <v>1</v>
      </c>
      <c r="AD5">
        <f>AD4-Y5</f>
        <v>4580</v>
      </c>
      <c r="AE5">
        <f>AE4-Z5</f>
        <v>1255</v>
      </c>
      <c r="AF5">
        <f t="shared" ref="AE5:AH20" si="7">AF4-AA5</f>
        <v>1350</v>
      </c>
      <c r="AG5">
        <f t="shared" si="7"/>
        <v>2510</v>
      </c>
      <c r="AH5">
        <f>AH4-AC5</f>
        <v>640</v>
      </c>
      <c r="AJ5">
        <v>1</v>
      </c>
      <c r="AK5">
        <v>20</v>
      </c>
      <c r="AO5">
        <f>AO4-AK5</f>
        <v>1015</v>
      </c>
      <c r="AP5">
        <f t="shared" ref="AP5:AR20" si="8">AP4-AL5</f>
        <v>205</v>
      </c>
      <c r="AQ5">
        <f>AQ4-AM5</f>
        <v>0</v>
      </c>
      <c r="AR5">
        <f t="shared" si="8"/>
        <v>0</v>
      </c>
      <c r="AT5">
        <v>1</v>
      </c>
      <c r="AZ5">
        <f>AZ4-AU5</f>
        <v>1750</v>
      </c>
      <c r="BA5">
        <f>BA4-AV5</f>
        <v>673</v>
      </c>
      <c r="BB5">
        <f>BB4-AW5</f>
        <v>920</v>
      </c>
      <c r="BC5">
        <f>BC4-AX5</f>
        <v>806</v>
      </c>
      <c r="BD5">
        <f>BD4-AY5</f>
        <v>463</v>
      </c>
      <c r="BF5">
        <v>1</v>
      </c>
      <c r="BG5">
        <v>30</v>
      </c>
      <c r="BI5">
        <v>10</v>
      </c>
      <c r="BK5">
        <f>BK4-BG5</f>
        <v>786</v>
      </c>
      <c r="BL5">
        <f t="shared" ref="BL5:BN20" si="9">BL4-BH5</f>
        <v>575</v>
      </c>
      <c r="BM5">
        <f t="shared" si="9"/>
        <v>800</v>
      </c>
      <c r="BN5">
        <f t="shared" si="9"/>
        <v>0</v>
      </c>
      <c r="BQ5" s="394" t="s">
        <v>75</v>
      </c>
      <c r="BR5" s="388">
        <v>3</v>
      </c>
      <c r="BS5" s="259">
        <v>3</v>
      </c>
      <c r="BT5" s="25">
        <v>10</v>
      </c>
      <c r="BU5" s="22">
        <v>10</v>
      </c>
      <c r="BV5" s="22">
        <v>15</v>
      </c>
      <c r="BW5" s="22">
        <v>15</v>
      </c>
      <c r="BX5" s="41">
        <f>SUM(BS5)</f>
        <v>3</v>
      </c>
      <c r="BY5" s="253">
        <f>SUM(BT5:BW5)</f>
        <v>50</v>
      </c>
      <c r="BZ5" s="52"/>
      <c r="CA5" s="262"/>
      <c r="CB5" s="262"/>
      <c r="CC5" s="262"/>
      <c r="CD5" s="262"/>
      <c r="CE5" s="262"/>
      <c r="CF5" s="262"/>
      <c r="CG5" s="262"/>
      <c r="CH5" s="262"/>
      <c r="CI5" s="262"/>
      <c r="CJ5" s="262"/>
      <c r="CK5" s="24">
        <f>SUM(CA5:CJ5)</f>
        <v>0</v>
      </c>
      <c r="CM5" s="384" t="s">
        <v>258</v>
      </c>
      <c r="CO5" s="257" t="s">
        <v>118</v>
      </c>
      <c r="CP5" s="257" t="s">
        <v>116</v>
      </c>
      <c r="CQ5" s="257" t="s">
        <v>117</v>
      </c>
      <c r="CR5" s="257" t="s">
        <v>291</v>
      </c>
      <c r="CS5" s="257" t="s">
        <v>850</v>
      </c>
      <c r="CT5" s="257" t="s">
        <v>118</v>
      </c>
      <c r="CU5" s="257" t="s">
        <v>116</v>
      </c>
      <c r="CV5" s="257" t="s">
        <v>117</v>
      </c>
      <c r="CW5" s="257" t="s">
        <v>291</v>
      </c>
      <c r="CX5" s="257" t="s">
        <v>850</v>
      </c>
      <c r="CY5" s="257" t="s">
        <v>118</v>
      </c>
      <c r="CZ5" s="257" t="s">
        <v>116</v>
      </c>
      <c r="DA5" s="257" t="s">
        <v>117</v>
      </c>
      <c r="DB5" s="292" t="s">
        <v>842</v>
      </c>
      <c r="DC5" s="294"/>
    </row>
    <row r="6" spans="1:123" x14ac:dyDescent="0.25">
      <c r="B6">
        <v>2</v>
      </c>
      <c r="G6">
        <f t="shared" ref="G6:G44" si="10">G5-C6</f>
        <v>1825</v>
      </c>
      <c r="H6">
        <f t="shared" si="5"/>
        <v>445</v>
      </c>
      <c r="I6">
        <f t="shared" si="5"/>
        <v>168</v>
      </c>
      <c r="J6">
        <f t="shared" si="5"/>
        <v>97</v>
      </c>
      <c r="L6">
        <v>2</v>
      </c>
      <c r="R6">
        <f t="shared" ref="R6:R44" si="11">R5-M6</f>
        <v>4203</v>
      </c>
      <c r="S6">
        <f t="shared" si="6"/>
        <v>733</v>
      </c>
      <c r="T6">
        <f t="shared" si="6"/>
        <v>271</v>
      </c>
      <c r="U6">
        <f t="shared" si="6"/>
        <v>30</v>
      </c>
      <c r="V6">
        <f t="shared" si="6"/>
        <v>90</v>
      </c>
      <c r="X6">
        <v>2</v>
      </c>
      <c r="Y6">
        <v>10</v>
      </c>
      <c r="AD6">
        <f t="shared" ref="AD6:AD44" si="12">AD5-Y6</f>
        <v>4570</v>
      </c>
      <c r="AE6">
        <f t="shared" si="7"/>
        <v>1255</v>
      </c>
      <c r="AF6">
        <f t="shared" si="7"/>
        <v>1350</v>
      </c>
      <c r="AG6">
        <f t="shared" si="7"/>
        <v>2510</v>
      </c>
      <c r="AH6">
        <f t="shared" si="7"/>
        <v>640</v>
      </c>
      <c r="AJ6">
        <v>2</v>
      </c>
      <c r="AK6">
        <v>10</v>
      </c>
      <c r="AO6">
        <f t="shared" ref="AO6:AO44" si="13">AO5-AK6</f>
        <v>1005</v>
      </c>
      <c r="AP6">
        <f t="shared" si="8"/>
        <v>205</v>
      </c>
      <c r="AQ6">
        <f t="shared" si="8"/>
        <v>0</v>
      </c>
      <c r="AR6">
        <f t="shared" si="8"/>
        <v>0</v>
      </c>
      <c r="AT6">
        <v>2</v>
      </c>
      <c r="AZ6">
        <f t="shared" ref="AZ6:AZ44" si="14">AZ5-AU6</f>
        <v>1750</v>
      </c>
      <c r="BA6">
        <f t="shared" ref="BA6:BA20" si="15">BA5-AV6</f>
        <v>673</v>
      </c>
      <c r="BB6">
        <f t="shared" ref="BB6:BB20" si="16">BB5-AW6</f>
        <v>920</v>
      </c>
      <c r="BC6">
        <f t="shared" ref="BC6:BC20" si="17">BC5-AX6</f>
        <v>806</v>
      </c>
      <c r="BD6">
        <f t="shared" ref="BD6:BD20" si="18">BD5-AY6</f>
        <v>463</v>
      </c>
      <c r="BF6">
        <v>2</v>
      </c>
      <c r="BG6">
        <v>3</v>
      </c>
      <c r="BK6">
        <f t="shared" ref="BK6:BK44" si="19">BK5-BG6</f>
        <v>783</v>
      </c>
      <c r="BL6">
        <f t="shared" si="9"/>
        <v>575</v>
      </c>
      <c r="BM6">
        <f t="shared" si="9"/>
        <v>800</v>
      </c>
      <c r="BN6">
        <f t="shared" si="9"/>
        <v>0</v>
      </c>
      <c r="BQ6" s="394"/>
      <c r="BR6" s="388"/>
      <c r="BS6" s="259">
        <v>0</v>
      </c>
      <c r="BT6" s="25">
        <v>3</v>
      </c>
      <c r="BU6" s="22">
        <v>2</v>
      </c>
      <c r="BV6" s="22">
        <v>5</v>
      </c>
      <c r="BW6" s="22">
        <v>7</v>
      </c>
      <c r="BX6" s="41">
        <f>SUM(BS6)</f>
        <v>0</v>
      </c>
      <c r="BY6" s="253">
        <f>SUM(BT6:BW6)</f>
        <v>17</v>
      </c>
      <c r="BZ6" s="52"/>
      <c r="CA6" s="262">
        <v>9</v>
      </c>
      <c r="CB6" s="262"/>
      <c r="CC6" s="262"/>
      <c r="CD6" s="262">
        <v>11</v>
      </c>
      <c r="CE6" s="262"/>
      <c r="CF6" s="262"/>
      <c r="CG6" s="262"/>
      <c r="CH6" s="262"/>
      <c r="CI6" s="262">
        <v>12</v>
      </c>
      <c r="CJ6" s="262"/>
      <c r="CK6" s="24">
        <f>SUM(CA6:CJ6)</f>
        <v>32</v>
      </c>
      <c r="CM6" s="384"/>
      <c r="CN6" s="257" t="s">
        <v>124</v>
      </c>
      <c r="CO6" s="250" t="s">
        <v>125</v>
      </c>
      <c r="CP6" s="250"/>
      <c r="CQ6" s="250"/>
      <c r="CR6" s="250"/>
      <c r="CS6" s="250"/>
      <c r="CT6" s="250" t="s">
        <v>868</v>
      </c>
      <c r="CU6" s="250"/>
      <c r="CV6" s="250"/>
      <c r="CW6" s="250"/>
      <c r="CX6" s="250"/>
      <c r="CY6" s="250">
        <v>8</v>
      </c>
      <c r="CZ6" s="250"/>
      <c r="DA6" s="250"/>
      <c r="DB6" s="293">
        <v>1</v>
      </c>
      <c r="DC6" s="250" t="s">
        <v>981</v>
      </c>
    </row>
    <row r="7" spans="1:123" x14ac:dyDescent="0.25">
      <c r="B7">
        <v>3</v>
      </c>
      <c r="G7">
        <f t="shared" si="10"/>
        <v>1825</v>
      </c>
      <c r="H7">
        <f t="shared" si="5"/>
        <v>445</v>
      </c>
      <c r="I7">
        <f t="shared" si="5"/>
        <v>168</v>
      </c>
      <c r="J7">
        <f t="shared" si="5"/>
        <v>97</v>
      </c>
      <c r="L7">
        <v>3</v>
      </c>
      <c r="R7">
        <f t="shared" si="11"/>
        <v>4203</v>
      </c>
      <c r="S7">
        <f t="shared" si="6"/>
        <v>733</v>
      </c>
      <c r="T7">
        <f t="shared" si="6"/>
        <v>271</v>
      </c>
      <c r="U7">
        <f t="shared" si="6"/>
        <v>30</v>
      </c>
      <c r="V7">
        <f t="shared" si="6"/>
        <v>90</v>
      </c>
      <c r="X7">
        <v>3</v>
      </c>
      <c r="Y7">
        <v>10</v>
      </c>
      <c r="AD7">
        <f t="shared" si="12"/>
        <v>4560</v>
      </c>
      <c r="AE7">
        <f t="shared" si="7"/>
        <v>1255</v>
      </c>
      <c r="AF7">
        <f t="shared" si="7"/>
        <v>1350</v>
      </c>
      <c r="AG7">
        <f t="shared" si="7"/>
        <v>2510</v>
      </c>
      <c r="AH7">
        <f t="shared" si="7"/>
        <v>640</v>
      </c>
      <c r="AJ7">
        <v>3</v>
      </c>
      <c r="AK7">
        <v>10</v>
      </c>
      <c r="AO7">
        <f t="shared" si="13"/>
        <v>995</v>
      </c>
      <c r="AP7">
        <f t="shared" si="8"/>
        <v>205</v>
      </c>
      <c r="AQ7">
        <f t="shared" si="8"/>
        <v>0</v>
      </c>
      <c r="AR7">
        <f t="shared" si="8"/>
        <v>0</v>
      </c>
      <c r="AT7">
        <v>3</v>
      </c>
      <c r="AZ7">
        <f t="shared" si="14"/>
        <v>1750</v>
      </c>
      <c r="BA7">
        <f t="shared" si="15"/>
        <v>673</v>
      </c>
      <c r="BB7">
        <f t="shared" si="16"/>
        <v>920</v>
      </c>
      <c r="BC7">
        <f t="shared" si="17"/>
        <v>806</v>
      </c>
      <c r="BD7">
        <f t="shared" si="18"/>
        <v>463</v>
      </c>
      <c r="BF7">
        <v>3</v>
      </c>
      <c r="BG7">
        <v>3</v>
      </c>
      <c r="BK7">
        <f t="shared" si="19"/>
        <v>780</v>
      </c>
      <c r="BL7">
        <f t="shared" si="9"/>
        <v>575</v>
      </c>
      <c r="BM7">
        <f t="shared" si="9"/>
        <v>800</v>
      </c>
      <c r="BN7">
        <f t="shared" si="9"/>
        <v>0</v>
      </c>
      <c r="BQ7" s="394"/>
      <c r="BR7" s="389">
        <v>4</v>
      </c>
      <c r="BS7" s="29">
        <v>6</v>
      </c>
      <c r="BT7" s="26">
        <v>20</v>
      </c>
      <c r="BU7" s="26">
        <v>16</v>
      </c>
      <c r="BV7" s="27">
        <v>25</v>
      </c>
      <c r="BW7" s="28">
        <v>30</v>
      </c>
      <c r="BX7" s="42">
        <f>SUM(BS7:BU7)</f>
        <v>42</v>
      </c>
      <c r="BY7" s="254">
        <f>SUM(BV7:BW7)</f>
        <v>55</v>
      </c>
      <c r="BZ7" s="53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30">
        <f t="shared" ref="CK7:CK21" si="20">SUM(CA7:CJ7)</f>
        <v>0</v>
      </c>
      <c r="CM7" s="384"/>
      <c r="CN7" s="257" t="s">
        <v>115</v>
      </c>
      <c r="CO7" s="250" t="s">
        <v>679</v>
      </c>
      <c r="CP7" s="250" t="s">
        <v>119</v>
      </c>
      <c r="CQ7" s="250"/>
      <c r="CR7" s="250" t="s">
        <v>883</v>
      </c>
      <c r="CS7" s="250" t="s">
        <v>966</v>
      </c>
      <c r="CT7" s="250" t="s">
        <v>835</v>
      </c>
      <c r="CU7" s="250" t="s">
        <v>951</v>
      </c>
      <c r="CV7" s="250"/>
      <c r="CW7" s="250" t="s">
        <v>883</v>
      </c>
      <c r="CX7" s="250" t="s">
        <v>966</v>
      </c>
      <c r="CY7" s="250">
        <v>13</v>
      </c>
      <c r="CZ7" s="250">
        <v>6</v>
      </c>
      <c r="DA7" s="250">
        <v>3</v>
      </c>
      <c r="DB7" s="294">
        <v>1</v>
      </c>
      <c r="DC7" s="250"/>
    </row>
    <row r="8" spans="1:123" x14ac:dyDescent="0.25">
      <c r="B8">
        <v>4</v>
      </c>
      <c r="G8">
        <f t="shared" si="10"/>
        <v>1825</v>
      </c>
      <c r="H8">
        <f t="shared" si="5"/>
        <v>445</v>
      </c>
      <c r="I8">
        <f t="shared" si="5"/>
        <v>168</v>
      </c>
      <c r="J8">
        <f t="shared" si="5"/>
        <v>97</v>
      </c>
      <c r="L8">
        <v>4</v>
      </c>
      <c r="M8">
        <v>1</v>
      </c>
      <c r="R8">
        <f t="shared" si="11"/>
        <v>4202</v>
      </c>
      <c r="S8">
        <f t="shared" si="6"/>
        <v>733</v>
      </c>
      <c r="T8">
        <f t="shared" si="6"/>
        <v>271</v>
      </c>
      <c r="U8">
        <f t="shared" si="6"/>
        <v>30</v>
      </c>
      <c r="V8">
        <f t="shared" si="6"/>
        <v>90</v>
      </c>
      <c r="X8">
        <v>4</v>
      </c>
      <c r="Y8">
        <v>10</v>
      </c>
      <c r="AD8">
        <f t="shared" si="12"/>
        <v>4550</v>
      </c>
      <c r="AE8">
        <f t="shared" si="7"/>
        <v>1255</v>
      </c>
      <c r="AF8">
        <f t="shared" si="7"/>
        <v>1350</v>
      </c>
      <c r="AG8">
        <f t="shared" si="7"/>
        <v>2510</v>
      </c>
      <c r="AH8">
        <f t="shared" si="7"/>
        <v>640</v>
      </c>
      <c r="AJ8">
        <v>4</v>
      </c>
      <c r="AK8">
        <v>20</v>
      </c>
      <c r="AO8">
        <f t="shared" si="13"/>
        <v>975</v>
      </c>
      <c r="AP8">
        <f t="shared" si="8"/>
        <v>205</v>
      </c>
      <c r="AQ8">
        <f t="shared" si="8"/>
        <v>0</v>
      </c>
      <c r="AR8">
        <f t="shared" si="8"/>
        <v>0</v>
      </c>
      <c r="AT8">
        <v>4</v>
      </c>
      <c r="AU8">
        <v>5</v>
      </c>
      <c r="AV8">
        <v>3</v>
      </c>
      <c r="AW8">
        <v>1</v>
      </c>
      <c r="AZ8">
        <f t="shared" si="14"/>
        <v>1745</v>
      </c>
      <c r="BA8">
        <f t="shared" si="15"/>
        <v>670</v>
      </c>
      <c r="BB8">
        <f t="shared" si="16"/>
        <v>919</v>
      </c>
      <c r="BC8">
        <f t="shared" si="17"/>
        <v>806</v>
      </c>
      <c r="BD8">
        <f t="shared" si="18"/>
        <v>463</v>
      </c>
      <c r="BF8">
        <v>4</v>
      </c>
      <c r="BG8">
        <v>5</v>
      </c>
      <c r="BK8">
        <f t="shared" si="19"/>
        <v>775</v>
      </c>
      <c r="BL8">
        <f t="shared" si="9"/>
        <v>575</v>
      </c>
      <c r="BM8">
        <f t="shared" si="9"/>
        <v>800</v>
      </c>
      <c r="BN8">
        <f t="shared" si="9"/>
        <v>0</v>
      </c>
      <c r="BQ8" s="394"/>
      <c r="BR8" s="390"/>
      <c r="BS8" s="34">
        <v>2</v>
      </c>
      <c r="BT8" s="31">
        <v>8</v>
      </c>
      <c r="BU8" s="31">
        <v>5</v>
      </c>
      <c r="BV8" s="32">
        <v>10</v>
      </c>
      <c r="BW8" s="33">
        <v>10</v>
      </c>
      <c r="BX8" s="43">
        <f>SUM(BS8:BU8)</f>
        <v>15</v>
      </c>
      <c r="BY8" s="255">
        <f>SUM(BV8:BW8)</f>
        <v>20</v>
      </c>
      <c r="BZ8" s="54"/>
      <c r="CA8" s="31">
        <v>12</v>
      </c>
      <c r="CB8" s="31"/>
      <c r="CC8" s="31"/>
      <c r="CD8" s="31">
        <v>14</v>
      </c>
      <c r="CE8" s="31"/>
      <c r="CF8" s="31"/>
      <c r="CG8" s="31"/>
      <c r="CH8" s="31"/>
      <c r="CI8" s="31">
        <v>16</v>
      </c>
      <c r="CJ8" s="31"/>
      <c r="CK8" s="35">
        <f t="shared" si="20"/>
        <v>42</v>
      </c>
      <c r="CM8" s="384"/>
      <c r="CN8" s="257" t="s">
        <v>120</v>
      </c>
      <c r="CO8" s="250" t="s">
        <v>947</v>
      </c>
      <c r="CP8" s="250" t="s">
        <v>948</v>
      </c>
      <c r="CQ8" s="250" t="s">
        <v>819</v>
      </c>
      <c r="CR8" s="250">
        <v>2</v>
      </c>
      <c r="CS8" s="250" t="s">
        <v>966</v>
      </c>
      <c r="CT8" s="250" t="s">
        <v>818</v>
      </c>
      <c r="CU8" s="250" t="s">
        <v>859</v>
      </c>
      <c r="CV8" s="250" t="s">
        <v>864</v>
      </c>
      <c r="CW8" s="250" t="s">
        <v>883</v>
      </c>
      <c r="CX8" s="250" t="s">
        <v>262</v>
      </c>
      <c r="CY8" s="250">
        <v>12</v>
      </c>
      <c r="CZ8" s="250"/>
      <c r="DA8" s="250">
        <v>5</v>
      </c>
      <c r="DB8" s="293">
        <v>1</v>
      </c>
      <c r="DC8" s="250" t="s">
        <v>981</v>
      </c>
    </row>
    <row r="9" spans="1:123" ht="13.95" customHeight="1" x14ac:dyDescent="0.25">
      <c r="B9">
        <v>5</v>
      </c>
      <c r="G9">
        <f t="shared" si="10"/>
        <v>1825</v>
      </c>
      <c r="H9">
        <f t="shared" si="5"/>
        <v>445</v>
      </c>
      <c r="I9">
        <f t="shared" si="5"/>
        <v>168</v>
      </c>
      <c r="J9">
        <f t="shared" si="5"/>
        <v>97</v>
      </c>
      <c r="L9">
        <v>5</v>
      </c>
      <c r="M9">
        <v>3</v>
      </c>
      <c r="R9">
        <f t="shared" si="11"/>
        <v>4199</v>
      </c>
      <c r="S9">
        <f t="shared" si="6"/>
        <v>733</v>
      </c>
      <c r="T9">
        <f t="shared" si="6"/>
        <v>271</v>
      </c>
      <c r="U9">
        <f t="shared" si="6"/>
        <v>30</v>
      </c>
      <c r="V9">
        <f t="shared" si="6"/>
        <v>90</v>
      </c>
      <c r="X9">
        <v>5</v>
      </c>
      <c r="Y9">
        <v>10</v>
      </c>
      <c r="AD9">
        <f t="shared" si="12"/>
        <v>4540</v>
      </c>
      <c r="AE9">
        <f t="shared" si="7"/>
        <v>1255</v>
      </c>
      <c r="AF9">
        <f t="shared" si="7"/>
        <v>1350</v>
      </c>
      <c r="AG9">
        <f t="shared" si="7"/>
        <v>2510</v>
      </c>
      <c r="AH9">
        <f t="shared" si="7"/>
        <v>640</v>
      </c>
      <c r="AJ9">
        <v>5</v>
      </c>
      <c r="AK9">
        <v>20</v>
      </c>
      <c r="AO9">
        <f t="shared" si="13"/>
        <v>955</v>
      </c>
      <c r="AP9">
        <f t="shared" si="8"/>
        <v>205</v>
      </c>
      <c r="AQ9">
        <f t="shared" si="8"/>
        <v>0</v>
      </c>
      <c r="AR9">
        <f t="shared" si="8"/>
        <v>0</v>
      </c>
      <c r="AT9">
        <v>5</v>
      </c>
      <c r="AU9">
        <v>10</v>
      </c>
      <c r="AV9">
        <v>4</v>
      </c>
      <c r="AW9">
        <v>1</v>
      </c>
      <c r="AZ9">
        <f t="shared" si="14"/>
        <v>1735</v>
      </c>
      <c r="BA9">
        <f t="shared" si="15"/>
        <v>666</v>
      </c>
      <c r="BB9">
        <f t="shared" si="16"/>
        <v>918</v>
      </c>
      <c r="BC9">
        <f t="shared" si="17"/>
        <v>806</v>
      </c>
      <c r="BD9">
        <f t="shared" si="18"/>
        <v>463</v>
      </c>
      <c r="BF9">
        <v>5</v>
      </c>
      <c r="BG9">
        <v>5</v>
      </c>
      <c r="BK9">
        <f t="shared" si="19"/>
        <v>770</v>
      </c>
      <c r="BL9">
        <f t="shared" si="9"/>
        <v>575</v>
      </c>
      <c r="BM9">
        <f t="shared" si="9"/>
        <v>800</v>
      </c>
      <c r="BN9">
        <f t="shared" si="9"/>
        <v>0</v>
      </c>
      <c r="BQ9" s="394"/>
      <c r="BR9" s="388">
        <v>5</v>
      </c>
      <c r="BS9" s="259">
        <v>8</v>
      </c>
      <c r="BT9" s="262">
        <v>25</v>
      </c>
      <c r="BU9" s="262">
        <v>20</v>
      </c>
      <c r="BV9" s="262">
        <v>30</v>
      </c>
      <c r="BW9" s="262">
        <v>35</v>
      </c>
      <c r="BX9" s="41">
        <f>SUM(BS9:BW9)</f>
        <v>118</v>
      </c>
      <c r="BY9" s="253"/>
      <c r="BZ9" s="52"/>
      <c r="CA9" s="262"/>
      <c r="CB9" s="262"/>
      <c r="CC9" s="262"/>
      <c r="CD9" s="262"/>
      <c r="CE9" s="262"/>
      <c r="CF9" s="262"/>
      <c r="CG9" s="262"/>
      <c r="CH9" s="262"/>
      <c r="CI9" s="262"/>
      <c r="CJ9" s="262"/>
      <c r="CK9" s="24">
        <f t="shared" si="20"/>
        <v>0</v>
      </c>
      <c r="CM9" s="384" t="s">
        <v>48</v>
      </c>
      <c r="CO9" s="257" t="s">
        <v>11</v>
      </c>
      <c r="CP9" s="257" t="s">
        <v>12</v>
      </c>
      <c r="CQ9" s="257" t="s">
        <v>851</v>
      </c>
      <c r="CR9" s="250"/>
      <c r="CS9" s="257" t="s">
        <v>850</v>
      </c>
      <c r="CT9" s="257" t="s">
        <v>11</v>
      </c>
      <c r="CU9" s="257" t="s">
        <v>12</v>
      </c>
      <c r="CV9" s="257" t="s">
        <v>851</v>
      </c>
      <c r="CW9" s="250"/>
      <c r="CX9" s="257" t="s">
        <v>850</v>
      </c>
      <c r="CY9" s="257" t="s">
        <v>11</v>
      </c>
      <c r="CZ9" s="257" t="s">
        <v>12</v>
      </c>
      <c r="DA9" s="257" t="s">
        <v>851</v>
      </c>
      <c r="DB9" s="293"/>
      <c r="DC9" s="250"/>
    </row>
    <row r="10" spans="1:123" x14ac:dyDescent="0.25">
      <c r="B10">
        <v>6</v>
      </c>
      <c r="C10">
        <v>1</v>
      </c>
      <c r="G10">
        <f t="shared" si="10"/>
        <v>1824</v>
      </c>
      <c r="H10">
        <f t="shared" si="5"/>
        <v>445</v>
      </c>
      <c r="I10">
        <f t="shared" si="5"/>
        <v>168</v>
      </c>
      <c r="J10">
        <f t="shared" si="5"/>
        <v>97</v>
      </c>
      <c r="L10">
        <v>6</v>
      </c>
      <c r="M10">
        <v>5</v>
      </c>
      <c r="R10">
        <f t="shared" si="11"/>
        <v>4194</v>
      </c>
      <c r="S10">
        <f t="shared" si="6"/>
        <v>733</v>
      </c>
      <c r="T10">
        <f t="shared" si="6"/>
        <v>271</v>
      </c>
      <c r="U10">
        <f t="shared" si="6"/>
        <v>30</v>
      </c>
      <c r="V10">
        <f t="shared" si="6"/>
        <v>90</v>
      </c>
      <c r="X10">
        <v>6</v>
      </c>
      <c r="Y10">
        <v>20</v>
      </c>
      <c r="AD10">
        <f t="shared" si="12"/>
        <v>4520</v>
      </c>
      <c r="AE10">
        <f t="shared" si="7"/>
        <v>1255</v>
      </c>
      <c r="AF10">
        <f t="shared" si="7"/>
        <v>1350</v>
      </c>
      <c r="AG10">
        <f t="shared" si="7"/>
        <v>2510</v>
      </c>
      <c r="AH10">
        <f t="shared" si="7"/>
        <v>640</v>
      </c>
      <c r="AJ10">
        <v>6</v>
      </c>
      <c r="AK10">
        <v>30</v>
      </c>
      <c r="AO10">
        <f t="shared" si="13"/>
        <v>925</v>
      </c>
      <c r="AP10">
        <f t="shared" si="8"/>
        <v>205</v>
      </c>
      <c r="AQ10">
        <f t="shared" si="8"/>
        <v>0</v>
      </c>
      <c r="AR10">
        <f t="shared" si="8"/>
        <v>0</v>
      </c>
      <c r="AT10">
        <v>6</v>
      </c>
      <c r="AU10">
        <v>15</v>
      </c>
      <c r="AV10">
        <v>5</v>
      </c>
      <c r="AW10">
        <v>1</v>
      </c>
      <c r="AZ10">
        <f t="shared" si="14"/>
        <v>1720</v>
      </c>
      <c r="BA10">
        <f t="shared" si="15"/>
        <v>661</v>
      </c>
      <c r="BB10">
        <f t="shared" si="16"/>
        <v>917</v>
      </c>
      <c r="BC10">
        <f t="shared" si="17"/>
        <v>806</v>
      </c>
      <c r="BD10">
        <f t="shared" si="18"/>
        <v>463</v>
      </c>
      <c r="BF10">
        <v>6</v>
      </c>
      <c r="BG10">
        <v>7</v>
      </c>
      <c r="BH10">
        <v>5</v>
      </c>
      <c r="BI10">
        <v>10</v>
      </c>
      <c r="BK10">
        <f t="shared" si="19"/>
        <v>763</v>
      </c>
      <c r="BL10">
        <f t="shared" si="9"/>
        <v>570</v>
      </c>
      <c r="BM10">
        <f t="shared" si="9"/>
        <v>790</v>
      </c>
      <c r="BN10">
        <f t="shared" si="9"/>
        <v>0</v>
      </c>
      <c r="BQ10" s="395"/>
      <c r="BR10" s="391"/>
      <c r="BS10" s="260">
        <v>3</v>
      </c>
      <c r="BT10" s="263">
        <v>10</v>
      </c>
      <c r="BU10" s="263">
        <v>7</v>
      </c>
      <c r="BV10" s="263">
        <v>12</v>
      </c>
      <c r="BW10" s="263">
        <v>12</v>
      </c>
      <c r="BX10" s="44">
        <f>SUM(BS10:BW10)</f>
        <v>44</v>
      </c>
      <c r="BY10" s="256"/>
      <c r="BZ10" s="55"/>
      <c r="CA10" s="263">
        <v>15</v>
      </c>
      <c r="CB10" s="263"/>
      <c r="CC10" s="263"/>
      <c r="CD10" s="263">
        <v>17</v>
      </c>
      <c r="CE10" s="263"/>
      <c r="CF10" s="263"/>
      <c r="CG10" s="263"/>
      <c r="CH10" s="263"/>
      <c r="CI10" s="263">
        <v>20</v>
      </c>
      <c r="CJ10" s="263"/>
      <c r="CK10" s="265">
        <f t="shared" si="20"/>
        <v>52</v>
      </c>
      <c r="CM10" s="384"/>
      <c r="CN10" s="257" t="s">
        <v>124</v>
      </c>
      <c r="CO10" s="250" t="s">
        <v>950</v>
      </c>
      <c r="CP10" s="250"/>
      <c r="CQ10" s="250"/>
      <c r="CR10" s="250"/>
      <c r="CS10" s="250"/>
      <c r="CT10" s="250" t="s">
        <v>1028</v>
      </c>
      <c r="CU10" s="250"/>
      <c r="CV10" s="250"/>
      <c r="CW10" s="250"/>
      <c r="CX10" s="250"/>
      <c r="CY10" s="250">
        <v>9</v>
      </c>
      <c r="CZ10" s="250">
        <v>1</v>
      </c>
      <c r="DA10" s="250"/>
      <c r="DB10" s="293">
        <v>1</v>
      </c>
      <c r="DC10" s="250" t="s">
        <v>981</v>
      </c>
    </row>
    <row r="11" spans="1:123" ht="13.95" customHeight="1" x14ac:dyDescent="0.25">
      <c r="B11">
        <v>7</v>
      </c>
      <c r="C11">
        <v>1</v>
      </c>
      <c r="G11">
        <f t="shared" si="10"/>
        <v>1823</v>
      </c>
      <c r="H11">
        <f t="shared" si="5"/>
        <v>445</v>
      </c>
      <c r="I11">
        <f t="shared" si="5"/>
        <v>168</v>
      </c>
      <c r="J11">
        <f t="shared" si="5"/>
        <v>97</v>
      </c>
      <c r="L11">
        <v>7</v>
      </c>
      <c r="M11">
        <v>5</v>
      </c>
      <c r="R11">
        <f t="shared" si="11"/>
        <v>4189</v>
      </c>
      <c r="S11">
        <f t="shared" si="6"/>
        <v>733</v>
      </c>
      <c r="T11">
        <f t="shared" si="6"/>
        <v>271</v>
      </c>
      <c r="U11">
        <f t="shared" si="6"/>
        <v>30</v>
      </c>
      <c r="V11">
        <f t="shared" si="6"/>
        <v>90</v>
      </c>
      <c r="X11">
        <v>7</v>
      </c>
      <c r="Y11">
        <v>20</v>
      </c>
      <c r="AD11">
        <f t="shared" si="12"/>
        <v>4500</v>
      </c>
      <c r="AE11">
        <f t="shared" si="7"/>
        <v>1255</v>
      </c>
      <c r="AF11">
        <f t="shared" si="7"/>
        <v>1350</v>
      </c>
      <c r="AG11">
        <f t="shared" si="7"/>
        <v>2510</v>
      </c>
      <c r="AH11">
        <f t="shared" si="7"/>
        <v>640</v>
      </c>
      <c r="AJ11">
        <v>7</v>
      </c>
      <c r="AK11">
        <v>30</v>
      </c>
      <c r="AO11">
        <f t="shared" si="13"/>
        <v>895</v>
      </c>
      <c r="AP11">
        <f t="shared" si="8"/>
        <v>205</v>
      </c>
      <c r="AQ11">
        <f t="shared" si="8"/>
        <v>0</v>
      </c>
      <c r="AR11">
        <f t="shared" si="8"/>
        <v>0</v>
      </c>
      <c r="AT11">
        <v>7</v>
      </c>
      <c r="AU11">
        <v>20</v>
      </c>
      <c r="AV11">
        <v>6</v>
      </c>
      <c r="AW11">
        <v>3</v>
      </c>
      <c r="AZ11">
        <f t="shared" si="14"/>
        <v>1700</v>
      </c>
      <c r="BA11">
        <f t="shared" si="15"/>
        <v>655</v>
      </c>
      <c r="BB11">
        <f t="shared" si="16"/>
        <v>914</v>
      </c>
      <c r="BC11">
        <f t="shared" si="17"/>
        <v>806</v>
      </c>
      <c r="BD11">
        <f t="shared" si="18"/>
        <v>463</v>
      </c>
      <c r="BF11">
        <v>7</v>
      </c>
      <c r="BG11">
        <v>7</v>
      </c>
      <c r="BH11">
        <v>5</v>
      </c>
      <c r="BI11">
        <v>10</v>
      </c>
      <c r="BK11">
        <f t="shared" si="19"/>
        <v>756</v>
      </c>
      <c r="BL11">
        <f t="shared" si="9"/>
        <v>565</v>
      </c>
      <c r="BM11">
        <f t="shared" si="9"/>
        <v>780</v>
      </c>
      <c r="BN11">
        <f t="shared" si="9"/>
        <v>0</v>
      </c>
      <c r="BQ11" s="385" t="s">
        <v>82</v>
      </c>
      <c r="BR11" s="388">
        <v>3</v>
      </c>
      <c r="BS11" s="259"/>
      <c r="BT11" s="25"/>
      <c r="BU11" s="22"/>
      <c r="BV11" s="22">
        <v>1</v>
      </c>
      <c r="BW11" s="22">
        <v>1</v>
      </c>
      <c r="BX11" s="41">
        <f t="shared" ref="BX11" si="21">SUM(BS11)</f>
        <v>0</v>
      </c>
      <c r="BY11" s="253">
        <f t="shared" ref="BY11" si="22">SUM(BT11:BW11)</f>
        <v>2</v>
      </c>
      <c r="BZ11" s="52">
        <v>1</v>
      </c>
      <c r="CA11" s="262">
        <v>12</v>
      </c>
      <c r="CB11" s="262">
        <v>3</v>
      </c>
      <c r="CC11" s="262"/>
      <c r="CD11" s="262"/>
      <c r="CE11" s="262">
        <v>3</v>
      </c>
      <c r="CF11" s="262"/>
      <c r="CG11" s="262">
        <v>3</v>
      </c>
      <c r="CH11" s="262"/>
      <c r="CI11" s="262">
        <v>3</v>
      </c>
      <c r="CJ11" s="262">
        <v>3</v>
      </c>
      <c r="CK11" s="24">
        <f t="shared" si="20"/>
        <v>27</v>
      </c>
      <c r="CM11" s="384"/>
      <c r="CN11" s="257" t="s">
        <v>115</v>
      </c>
      <c r="CO11" s="250" t="s">
        <v>883</v>
      </c>
      <c r="CP11" s="277" t="s">
        <v>884</v>
      </c>
      <c r="CQ11" s="250"/>
      <c r="CR11" s="250"/>
      <c r="CS11" s="250"/>
      <c r="CT11" s="250" t="s">
        <v>990</v>
      </c>
      <c r="CU11" s="277" t="s">
        <v>950</v>
      </c>
      <c r="CV11" s="250"/>
      <c r="CW11" s="250"/>
      <c r="CX11" s="250"/>
      <c r="CY11" s="250">
        <v>4</v>
      </c>
      <c r="CZ11" s="250">
        <v>6</v>
      </c>
      <c r="DA11" s="250">
        <v>2</v>
      </c>
      <c r="DB11" s="294">
        <v>1</v>
      </c>
      <c r="DC11" s="250"/>
    </row>
    <row r="12" spans="1:123" x14ac:dyDescent="0.25">
      <c r="B12">
        <v>8</v>
      </c>
      <c r="C12">
        <v>1</v>
      </c>
      <c r="G12">
        <f t="shared" si="10"/>
        <v>1822</v>
      </c>
      <c r="H12">
        <f t="shared" si="5"/>
        <v>445</v>
      </c>
      <c r="I12">
        <f t="shared" si="5"/>
        <v>168</v>
      </c>
      <c r="J12">
        <f t="shared" si="5"/>
        <v>97</v>
      </c>
      <c r="L12">
        <v>8</v>
      </c>
      <c r="M12">
        <v>5</v>
      </c>
      <c r="R12">
        <f t="shared" si="11"/>
        <v>4184</v>
      </c>
      <c r="S12">
        <f t="shared" si="6"/>
        <v>733</v>
      </c>
      <c r="T12">
        <f t="shared" si="6"/>
        <v>271</v>
      </c>
      <c r="U12">
        <f t="shared" si="6"/>
        <v>30</v>
      </c>
      <c r="V12">
        <f t="shared" si="6"/>
        <v>90</v>
      </c>
      <c r="X12">
        <v>8</v>
      </c>
      <c r="Y12">
        <v>20</v>
      </c>
      <c r="AD12">
        <f t="shared" si="12"/>
        <v>4480</v>
      </c>
      <c r="AE12">
        <f t="shared" si="7"/>
        <v>1255</v>
      </c>
      <c r="AF12">
        <f t="shared" si="7"/>
        <v>1350</v>
      </c>
      <c r="AG12">
        <f t="shared" si="7"/>
        <v>2510</v>
      </c>
      <c r="AH12">
        <f t="shared" si="7"/>
        <v>640</v>
      </c>
      <c r="AJ12">
        <v>8</v>
      </c>
      <c r="AK12">
        <v>30</v>
      </c>
      <c r="AO12">
        <f t="shared" si="13"/>
        <v>865</v>
      </c>
      <c r="AP12">
        <f t="shared" si="8"/>
        <v>205</v>
      </c>
      <c r="AQ12">
        <f t="shared" si="8"/>
        <v>0</v>
      </c>
      <c r="AR12">
        <f t="shared" si="8"/>
        <v>0</v>
      </c>
      <c r="AT12">
        <v>8</v>
      </c>
      <c r="AU12">
        <v>25</v>
      </c>
      <c r="AV12">
        <v>7</v>
      </c>
      <c r="AW12">
        <v>3</v>
      </c>
      <c r="AZ12">
        <f t="shared" si="14"/>
        <v>1675</v>
      </c>
      <c r="BA12">
        <f t="shared" si="15"/>
        <v>648</v>
      </c>
      <c r="BB12">
        <f t="shared" si="16"/>
        <v>911</v>
      </c>
      <c r="BC12">
        <f t="shared" si="17"/>
        <v>806</v>
      </c>
      <c r="BD12">
        <f t="shared" si="18"/>
        <v>463</v>
      </c>
      <c r="BF12">
        <v>8</v>
      </c>
      <c r="BG12">
        <v>7</v>
      </c>
      <c r="BH12">
        <v>5</v>
      </c>
      <c r="BI12">
        <v>10</v>
      </c>
      <c r="BK12">
        <f t="shared" si="19"/>
        <v>749</v>
      </c>
      <c r="BL12">
        <f t="shared" si="9"/>
        <v>560</v>
      </c>
      <c r="BM12">
        <f t="shared" si="9"/>
        <v>770</v>
      </c>
      <c r="BN12">
        <f t="shared" si="9"/>
        <v>0</v>
      </c>
      <c r="BQ12" s="386"/>
      <c r="BR12" s="388"/>
      <c r="BS12" s="259"/>
      <c r="BT12" s="25"/>
      <c r="BU12" s="22"/>
      <c r="BV12" s="22"/>
      <c r="BW12" s="22"/>
      <c r="BX12" s="41"/>
      <c r="BY12" s="253"/>
      <c r="BZ12" s="52"/>
      <c r="CA12" s="262"/>
      <c r="CB12" s="262">
        <v>3</v>
      </c>
      <c r="CC12" s="262">
        <v>3</v>
      </c>
      <c r="CD12" s="262">
        <v>2</v>
      </c>
      <c r="CE12" s="262">
        <v>3</v>
      </c>
      <c r="CF12" s="262">
        <v>3</v>
      </c>
      <c r="CG12" s="262">
        <v>3</v>
      </c>
      <c r="CH12" s="262">
        <v>3</v>
      </c>
      <c r="CI12" s="262">
        <v>3</v>
      </c>
      <c r="CJ12" s="262">
        <v>6</v>
      </c>
      <c r="CK12" s="24">
        <f t="shared" si="20"/>
        <v>29</v>
      </c>
      <c r="CM12" s="384"/>
      <c r="CN12" s="257" t="s">
        <v>120</v>
      </c>
      <c r="CO12" s="250"/>
      <c r="CP12" s="250" t="s">
        <v>883</v>
      </c>
      <c r="CQ12" s="250" t="s">
        <v>969</v>
      </c>
      <c r="CR12" s="250"/>
      <c r="CS12" s="250" t="s">
        <v>262</v>
      </c>
      <c r="CT12" s="250"/>
      <c r="CU12" s="250" t="s">
        <v>952</v>
      </c>
      <c r="CV12" s="250" t="s">
        <v>1033</v>
      </c>
      <c r="CW12" s="250"/>
      <c r="CX12" s="250">
        <v>2</v>
      </c>
      <c r="CY12" s="250"/>
      <c r="CZ12" s="250"/>
      <c r="DA12" s="250">
        <v>6</v>
      </c>
      <c r="DB12" s="294">
        <v>1</v>
      </c>
      <c r="DC12" s="294"/>
    </row>
    <row r="13" spans="1:123" x14ac:dyDescent="0.25">
      <c r="B13">
        <v>9</v>
      </c>
      <c r="C13">
        <v>2</v>
      </c>
      <c r="G13">
        <f t="shared" si="10"/>
        <v>1820</v>
      </c>
      <c r="H13">
        <f t="shared" si="5"/>
        <v>445</v>
      </c>
      <c r="I13">
        <f t="shared" si="5"/>
        <v>168</v>
      </c>
      <c r="J13">
        <f t="shared" si="5"/>
        <v>97</v>
      </c>
      <c r="L13">
        <v>9</v>
      </c>
      <c r="M13">
        <v>7</v>
      </c>
      <c r="R13">
        <f t="shared" si="11"/>
        <v>4177</v>
      </c>
      <c r="S13">
        <f t="shared" si="6"/>
        <v>733</v>
      </c>
      <c r="T13">
        <f t="shared" si="6"/>
        <v>271</v>
      </c>
      <c r="U13">
        <f t="shared" si="6"/>
        <v>30</v>
      </c>
      <c r="V13">
        <f t="shared" si="6"/>
        <v>90</v>
      </c>
      <c r="X13">
        <v>9</v>
      </c>
      <c r="Y13">
        <v>20</v>
      </c>
      <c r="AD13">
        <f t="shared" si="12"/>
        <v>4460</v>
      </c>
      <c r="AE13">
        <f t="shared" si="7"/>
        <v>1255</v>
      </c>
      <c r="AF13">
        <f t="shared" si="7"/>
        <v>1350</v>
      </c>
      <c r="AG13">
        <f t="shared" si="7"/>
        <v>2510</v>
      </c>
      <c r="AH13">
        <f t="shared" si="7"/>
        <v>640</v>
      </c>
      <c r="AJ13">
        <v>9</v>
      </c>
      <c r="AK13">
        <v>30</v>
      </c>
      <c r="AO13">
        <f t="shared" si="13"/>
        <v>835</v>
      </c>
      <c r="AP13">
        <f t="shared" si="8"/>
        <v>205</v>
      </c>
      <c r="AQ13">
        <f t="shared" si="8"/>
        <v>0</v>
      </c>
      <c r="AR13">
        <f t="shared" si="8"/>
        <v>0</v>
      </c>
      <c r="AT13">
        <v>9</v>
      </c>
      <c r="AU13">
        <v>30</v>
      </c>
      <c r="AV13">
        <v>8</v>
      </c>
      <c r="AW13">
        <v>3</v>
      </c>
      <c r="AZ13">
        <f t="shared" si="14"/>
        <v>1645</v>
      </c>
      <c r="BA13">
        <f t="shared" si="15"/>
        <v>640</v>
      </c>
      <c r="BB13">
        <f t="shared" si="16"/>
        <v>908</v>
      </c>
      <c r="BC13">
        <f t="shared" si="17"/>
        <v>806</v>
      </c>
      <c r="BD13">
        <f t="shared" si="18"/>
        <v>463</v>
      </c>
      <c r="BF13">
        <v>9</v>
      </c>
      <c r="BG13">
        <v>10</v>
      </c>
      <c r="BH13">
        <v>5</v>
      </c>
      <c r="BI13">
        <v>10</v>
      </c>
      <c r="BK13">
        <f t="shared" si="19"/>
        <v>739</v>
      </c>
      <c r="BL13">
        <f t="shared" si="9"/>
        <v>555</v>
      </c>
      <c r="BM13">
        <f t="shared" si="9"/>
        <v>760</v>
      </c>
      <c r="BN13">
        <f t="shared" si="9"/>
        <v>0</v>
      </c>
      <c r="BQ13" s="386"/>
      <c r="BR13" s="389">
        <v>4</v>
      </c>
      <c r="BS13" s="29"/>
      <c r="BT13" s="26">
        <v>1</v>
      </c>
      <c r="BU13" s="26"/>
      <c r="BV13" s="27">
        <v>2</v>
      </c>
      <c r="BW13" s="28">
        <v>1</v>
      </c>
      <c r="BX13" s="42">
        <f>SUM(BS13:BU13)</f>
        <v>1</v>
      </c>
      <c r="BY13" s="254">
        <f t="shared" ref="BY13" si="23">SUM(BV13:BW13)</f>
        <v>3</v>
      </c>
      <c r="BZ13" s="53">
        <v>1</v>
      </c>
      <c r="CA13" s="26">
        <v>16</v>
      </c>
      <c r="CB13" s="26">
        <v>4</v>
      </c>
      <c r="CC13" s="26"/>
      <c r="CD13" s="26"/>
      <c r="CE13" s="26">
        <v>4</v>
      </c>
      <c r="CF13" s="26"/>
      <c r="CG13" s="26">
        <v>4</v>
      </c>
      <c r="CH13" s="26"/>
      <c r="CI13" s="26">
        <v>4</v>
      </c>
      <c r="CJ13" s="26">
        <v>4</v>
      </c>
      <c r="CK13" s="30">
        <f t="shared" si="20"/>
        <v>36</v>
      </c>
      <c r="CM13" s="384"/>
      <c r="CN13" s="298" t="s">
        <v>1014</v>
      </c>
      <c r="CO13" s="297"/>
      <c r="CP13" s="297"/>
      <c r="CQ13" s="297"/>
      <c r="CR13" s="297">
        <v>4</v>
      </c>
      <c r="CS13" s="297"/>
      <c r="CT13" s="297"/>
      <c r="CU13" s="297"/>
      <c r="CV13" s="297"/>
      <c r="CW13" s="297">
        <v>8</v>
      </c>
      <c r="CX13" s="297"/>
      <c r="CY13" s="297"/>
      <c r="CZ13" s="297"/>
      <c r="DA13" s="297"/>
      <c r="DB13" s="297"/>
      <c r="DC13" s="297">
        <v>10</v>
      </c>
    </row>
    <row r="14" spans="1:123" x14ac:dyDescent="0.25">
      <c r="B14">
        <v>10</v>
      </c>
      <c r="C14">
        <v>2</v>
      </c>
      <c r="G14">
        <f t="shared" si="10"/>
        <v>1818</v>
      </c>
      <c r="H14">
        <f t="shared" si="5"/>
        <v>445</v>
      </c>
      <c r="I14">
        <f t="shared" si="5"/>
        <v>168</v>
      </c>
      <c r="J14">
        <f t="shared" si="5"/>
        <v>97</v>
      </c>
      <c r="L14">
        <v>10</v>
      </c>
      <c r="M14">
        <v>7</v>
      </c>
      <c r="R14">
        <f t="shared" si="11"/>
        <v>4170</v>
      </c>
      <c r="S14">
        <f t="shared" si="6"/>
        <v>733</v>
      </c>
      <c r="T14">
        <f t="shared" si="6"/>
        <v>271</v>
      </c>
      <c r="U14">
        <f t="shared" si="6"/>
        <v>30</v>
      </c>
      <c r="V14">
        <f t="shared" si="6"/>
        <v>90</v>
      </c>
      <c r="X14">
        <v>10</v>
      </c>
      <c r="Y14">
        <v>20</v>
      </c>
      <c r="AD14">
        <f t="shared" si="12"/>
        <v>4440</v>
      </c>
      <c r="AE14">
        <f t="shared" si="7"/>
        <v>1255</v>
      </c>
      <c r="AF14">
        <f t="shared" si="7"/>
        <v>1350</v>
      </c>
      <c r="AG14">
        <f t="shared" si="7"/>
        <v>2510</v>
      </c>
      <c r="AH14">
        <f t="shared" si="7"/>
        <v>640</v>
      </c>
      <c r="AJ14">
        <v>10</v>
      </c>
      <c r="AK14">
        <v>30</v>
      </c>
      <c r="AO14">
        <f t="shared" si="13"/>
        <v>805</v>
      </c>
      <c r="AP14">
        <f t="shared" si="8"/>
        <v>205</v>
      </c>
      <c r="AQ14">
        <f t="shared" si="8"/>
        <v>0</v>
      </c>
      <c r="AR14">
        <f t="shared" si="8"/>
        <v>0</v>
      </c>
      <c r="AT14">
        <v>10</v>
      </c>
      <c r="AU14">
        <v>35</v>
      </c>
      <c r="AV14">
        <v>10</v>
      </c>
      <c r="AW14">
        <v>3</v>
      </c>
      <c r="AZ14">
        <f t="shared" si="14"/>
        <v>1610</v>
      </c>
      <c r="BA14">
        <f t="shared" si="15"/>
        <v>630</v>
      </c>
      <c r="BB14">
        <f t="shared" si="16"/>
        <v>905</v>
      </c>
      <c r="BC14">
        <f t="shared" si="17"/>
        <v>806</v>
      </c>
      <c r="BD14">
        <f t="shared" si="18"/>
        <v>463</v>
      </c>
      <c r="BF14">
        <v>10</v>
      </c>
      <c r="BG14">
        <v>10</v>
      </c>
      <c r="BH14">
        <v>5</v>
      </c>
      <c r="BI14">
        <v>10</v>
      </c>
      <c r="BK14">
        <f t="shared" si="19"/>
        <v>729</v>
      </c>
      <c r="BL14">
        <f t="shared" si="9"/>
        <v>550</v>
      </c>
      <c r="BM14">
        <f t="shared" si="9"/>
        <v>750</v>
      </c>
      <c r="BN14">
        <f t="shared" si="9"/>
        <v>0</v>
      </c>
      <c r="BQ14" s="386"/>
      <c r="BR14" s="390"/>
      <c r="BS14" s="34"/>
      <c r="BT14" s="31"/>
      <c r="BU14" s="31"/>
      <c r="BV14" s="32"/>
      <c r="BW14" s="33"/>
      <c r="BX14" s="43"/>
      <c r="BY14" s="255"/>
      <c r="BZ14" s="54"/>
      <c r="CA14" s="31"/>
      <c r="CB14" s="31">
        <v>4</v>
      </c>
      <c r="CC14" s="31">
        <v>4</v>
      </c>
      <c r="CD14" s="31">
        <v>3</v>
      </c>
      <c r="CE14" s="31">
        <v>4</v>
      </c>
      <c r="CF14" s="31">
        <v>4</v>
      </c>
      <c r="CG14" s="31">
        <v>4</v>
      </c>
      <c r="CH14" s="31">
        <v>4</v>
      </c>
      <c r="CI14" s="31">
        <v>4</v>
      </c>
      <c r="CJ14" s="31">
        <v>8</v>
      </c>
      <c r="CK14" s="35">
        <f t="shared" si="20"/>
        <v>39</v>
      </c>
    </row>
    <row r="15" spans="1:123" x14ac:dyDescent="0.25">
      <c r="B15">
        <v>11</v>
      </c>
      <c r="C15">
        <v>3</v>
      </c>
      <c r="G15">
        <f t="shared" si="10"/>
        <v>1815</v>
      </c>
      <c r="H15">
        <f t="shared" si="5"/>
        <v>445</v>
      </c>
      <c r="I15">
        <f t="shared" si="5"/>
        <v>168</v>
      </c>
      <c r="J15">
        <f t="shared" si="5"/>
        <v>97</v>
      </c>
      <c r="L15">
        <v>11</v>
      </c>
      <c r="M15">
        <v>10</v>
      </c>
      <c r="N15">
        <v>1</v>
      </c>
      <c r="R15">
        <f t="shared" si="11"/>
        <v>4160</v>
      </c>
      <c r="S15">
        <f t="shared" si="6"/>
        <v>732</v>
      </c>
      <c r="T15">
        <f t="shared" si="6"/>
        <v>271</v>
      </c>
      <c r="U15">
        <f t="shared" si="6"/>
        <v>30</v>
      </c>
      <c r="V15">
        <f t="shared" si="6"/>
        <v>90</v>
      </c>
      <c r="X15">
        <v>11</v>
      </c>
      <c r="Y15">
        <v>30</v>
      </c>
      <c r="Z15">
        <v>5</v>
      </c>
      <c r="AB15">
        <v>10</v>
      </c>
      <c r="AD15">
        <f t="shared" si="12"/>
        <v>4410</v>
      </c>
      <c r="AE15">
        <f t="shared" si="7"/>
        <v>1250</v>
      </c>
      <c r="AF15">
        <f t="shared" si="7"/>
        <v>1350</v>
      </c>
      <c r="AG15">
        <f t="shared" si="7"/>
        <v>2500</v>
      </c>
      <c r="AH15">
        <f t="shared" si="7"/>
        <v>640</v>
      </c>
      <c r="AJ15">
        <v>11</v>
      </c>
      <c r="AK15">
        <v>35</v>
      </c>
      <c r="AL15">
        <v>5</v>
      </c>
      <c r="AO15">
        <f t="shared" si="13"/>
        <v>770</v>
      </c>
      <c r="AP15">
        <f t="shared" si="8"/>
        <v>200</v>
      </c>
      <c r="AQ15">
        <f t="shared" si="8"/>
        <v>0</v>
      </c>
      <c r="AR15">
        <f t="shared" si="8"/>
        <v>0</v>
      </c>
      <c r="AT15">
        <v>11</v>
      </c>
      <c r="AU15">
        <v>40</v>
      </c>
      <c r="AV15">
        <v>15</v>
      </c>
      <c r="AW15">
        <v>5</v>
      </c>
      <c r="AZ15">
        <f t="shared" si="14"/>
        <v>1570</v>
      </c>
      <c r="BA15">
        <f t="shared" si="15"/>
        <v>615</v>
      </c>
      <c r="BB15">
        <f t="shared" si="16"/>
        <v>900</v>
      </c>
      <c r="BC15">
        <f t="shared" si="17"/>
        <v>806</v>
      </c>
      <c r="BD15">
        <f t="shared" si="18"/>
        <v>463</v>
      </c>
      <c r="BF15">
        <v>11</v>
      </c>
      <c r="BG15">
        <v>12</v>
      </c>
      <c r="BH15">
        <v>10</v>
      </c>
      <c r="BI15">
        <v>20</v>
      </c>
      <c r="BK15">
        <f t="shared" si="19"/>
        <v>717</v>
      </c>
      <c r="BL15">
        <f t="shared" si="9"/>
        <v>540</v>
      </c>
      <c r="BM15">
        <f t="shared" si="9"/>
        <v>730</v>
      </c>
      <c r="BN15">
        <f t="shared" si="9"/>
        <v>0</v>
      </c>
      <c r="BQ15" s="386"/>
      <c r="BR15" s="388">
        <v>5</v>
      </c>
      <c r="BS15" s="259">
        <v>1</v>
      </c>
      <c r="BT15" s="262">
        <v>1</v>
      </c>
      <c r="BU15" s="262"/>
      <c r="BV15" s="262">
        <v>3</v>
      </c>
      <c r="BW15" s="262">
        <v>2</v>
      </c>
      <c r="BX15" s="41">
        <f t="shared" ref="BX15" si="24">SUM(BS15:BW15)</f>
        <v>7</v>
      </c>
      <c r="BY15" s="253"/>
      <c r="BZ15" s="52">
        <v>1</v>
      </c>
      <c r="CA15" s="262">
        <v>20</v>
      </c>
      <c r="CB15" s="262">
        <v>5</v>
      </c>
      <c r="CC15" s="262">
        <v>3</v>
      </c>
      <c r="CD15" s="262"/>
      <c r="CE15" s="262">
        <v>5</v>
      </c>
      <c r="CF15" s="262"/>
      <c r="CG15" s="262">
        <v>5</v>
      </c>
      <c r="CH15" s="262"/>
      <c r="CI15" s="262">
        <v>5</v>
      </c>
      <c r="CJ15" s="262">
        <v>5</v>
      </c>
      <c r="CK15" s="24">
        <f>SUM(CA15:CJ15)</f>
        <v>48</v>
      </c>
      <c r="CM15" s="46" t="s">
        <v>103</v>
      </c>
      <c r="CN15" s="46" t="s">
        <v>127</v>
      </c>
      <c r="CO15" s="2">
        <v>200</v>
      </c>
      <c r="CP15" s="2"/>
      <c r="CQ15" s="2"/>
      <c r="CR15" s="333" t="s">
        <v>1001</v>
      </c>
      <c r="CS15" s="317"/>
      <c r="DE15" t="s">
        <v>1003</v>
      </c>
      <c r="DF15">
        <v>30</v>
      </c>
      <c r="DG15">
        <v>1</v>
      </c>
      <c r="DH15">
        <v>2</v>
      </c>
      <c r="DI15">
        <v>3</v>
      </c>
      <c r="DJ15">
        <v>4</v>
      </c>
      <c r="DK15">
        <v>5</v>
      </c>
      <c r="DL15">
        <v>6</v>
      </c>
      <c r="DM15">
        <v>7</v>
      </c>
      <c r="DN15">
        <v>8</v>
      </c>
      <c r="DO15">
        <v>9</v>
      </c>
      <c r="DP15">
        <v>10</v>
      </c>
      <c r="DQ15">
        <v>11</v>
      </c>
      <c r="DR15">
        <v>12</v>
      </c>
      <c r="DS15">
        <v>13</v>
      </c>
    </row>
    <row r="16" spans="1:123" x14ac:dyDescent="0.25">
      <c r="B16">
        <v>12</v>
      </c>
      <c r="C16">
        <v>3</v>
      </c>
      <c r="G16">
        <f t="shared" si="10"/>
        <v>1812</v>
      </c>
      <c r="H16">
        <f t="shared" si="5"/>
        <v>445</v>
      </c>
      <c r="I16">
        <f t="shared" si="5"/>
        <v>168</v>
      </c>
      <c r="J16">
        <f t="shared" si="5"/>
        <v>97</v>
      </c>
      <c r="L16">
        <v>12</v>
      </c>
      <c r="M16">
        <v>10</v>
      </c>
      <c r="N16">
        <v>1</v>
      </c>
      <c r="R16">
        <f t="shared" si="11"/>
        <v>4150</v>
      </c>
      <c r="S16">
        <f t="shared" si="6"/>
        <v>731</v>
      </c>
      <c r="T16">
        <f t="shared" si="6"/>
        <v>271</v>
      </c>
      <c r="U16">
        <f t="shared" si="6"/>
        <v>30</v>
      </c>
      <c r="V16">
        <f t="shared" si="6"/>
        <v>90</v>
      </c>
      <c r="X16">
        <v>12</v>
      </c>
      <c r="Y16">
        <v>30</v>
      </c>
      <c r="Z16">
        <v>5</v>
      </c>
      <c r="AB16">
        <v>10</v>
      </c>
      <c r="AD16">
        <f t="shared" si="12"/>
        <v>4380</v>
      </c>
      <c r="AE16">
        <f t="shared" si="7"/>
        <v>1245</v>
      </c>
      <c r="AF16">
        <f t="shared" si="7"/>
        <v>1350</v>
      </c>
      <c r="AG16">
        <f t="shared" si="7"/>
        <v>2490</v>
      </c>
      <c r="AH16">
        <f t="shared" si="7"/>
        <v>640</v>
      </c>
      <c r="AJ16">
        <v>12</v>
      </c>
      <c r="AK16">
        <v>35</v>
      </c>
      <c r="AL16">
        <v>5</v>
      </c>
      <c r="AO16">
        <f t="shared" si="13"/>
        <v>735</v>
      </c>
      <c r="AP16">
        <f t="shared" si="8"/>
        <v>195</v>
      </c>
      <c r="AQ16">
        <f t="shared" si="8"/>
        <v>0</v>
      </c>
      <c r="AR16">
        <f t="shared" si="8"/>
        <v>0</v>
      </c>
      <c r="AT16">
        <v>12</v>
      </c>
      <c r="AU16">
        <v>50</v>
      </c>
      <c r="AV16">
        <v>20</v>
      </c>
      <c r="AW16">
        <v>5</v>
      </c>
      <c r="AZ16">
        <f t="shared" si="14"/>
        <v>1520</v>
      </c>
      <c r="BA16">
        <f t="shared" si="15"/>
        <v>595</v>
      </c>
      <c r="BB16">
        <f t="shared" si="16"/>
        <v>895</v>
      </c>
      <c r="BC16">
        <f t="shared" si="17"/>
        <v>806</v>
      </c>
      <c r="BD16">
        <f t="shared" si="18"/>
        <v>463</v>
      </c>
      <c r="BF16">
        <v>12</v>
      </c>
      <c r="BG16">
        <v>12</v>
      </c>
      <c r="BH16">
        <v>10</v>
      </c>
      <c r="BI16">
        <v>20</v>
      </c>
      <c r="BK16">
        <f t="shared" si="19"/>
        <v>705</v>
      </c>
      <c r="BL16">
        <f t="shared" si="9"/>
        <v>530</v>
      </c>
      <c r="BM16">
        <f t="shared" si="9"/>
        <v>710</v>
      </c>
      <c r="BN16">
        <f t="shared" si="9"/>
        <v>0</v>
      </c>
      <c r="BQ16" s="387"/>
      <c r="BR16" s="391"/>
      <c r="BS16" s="260"/>
      <c r="BT16" s="263"/>
      <c r="BU16" s="263"/>
      <c r="BV16" s="263"/>
      <c r="BW16" s="263"/>
      <c r="BX16" s="44"/>
      <c r="BY16" s="256"/>
      <c r="BZ16" s="55"/>
      <c r="CA16" s="263"/>
      <c r="CB16" s="263">
        <v>5</v>
      </c>
      <c r="CC16" s="263">
        <v>5</v>
      </c>
      <c r="CD16" s="263">
        <v>3</v>
      </c>
      <c r="CE16" s="263">
        <v>5</v>
      </c>
      <c r="CF16" s="263">
        <v>5</v>
      </c>
      <c r="CG16" s="263">
        <v>5</v>
      </c>
      <c r="CH16" s="263">
        <v>5</v>
      </c>
      <c r="CI16" s="263">
        <v>5</v>
      </c>
      <c r="CJ16" s="263">
        <v>10</v>
      </c>
      <c r="CK16" s="265">
        <f>SUM(CA16:CJ16)</f>
        <v>48</v>
      </c>
      <c r="CM16" s="2"/>
      <c r="CN16" s="46" t="s">
        <v>13</v>
      </c>
      <c r="CO16" s="46" t="s">
        <v>126</v>
      </c>
      <c r="CP16" s="46" t="s">
        <v>11</v>
      </c>
      <c r="CQ16" s="46" t="s">
        <v>12</v>
      </c>
      <c r="CR16" s="46" t="s">
        <v>11</v>
      </c>
      <c r="CS16" s="46" t="s">
        <v>12</v>
      </c>
      <c r="DE16" t="s">
        <v>1002</v>
      </c>
      <c r="DF16">
        <v>1</v>
      </c>
      <c r="DG16">
        <v>2</v>
      </c>
      <c r="DH16">
        <v>3</v>
      </c>
      <c r="DI16">
        <v>4</v>
      </c>
      <c r="DJ16">
        <v>5</v>
      </c>
      <c r="DK16">
        <v>6</v>
      </c>
      <c r="DL16">
        <v>7</v>
      </c>
      <c r="DM16">
        <v>8</v>
      </c>
      <c r="DN16">
        <v>9</v>
      </c>
      <c r="DO16">
        <v>10</v>
      </c>
      <c r="DP16">
        <v>11</v>
      </c>
      <c r="DQ16">
        <v>12</v>
      </c>
      <c r="DR16">
        <v>13</v>
      </c>
      <c r="DS16">
        <v>14</v>
      </c>
    </row>
    <row r="17" spans="2:123" ht="13.95" customHeight="1" x14ac:dyDescent="0.25">
      <c r="B17">
        <v>13</v>
      </c>
      <c r="C17">
        <v>3</v>
      </c>
      <c r="G17">
        <f t="shared" si="10"/>
        <v>1809</v>
      </c>
      <c r="H17">
        <f t="shared" si="5"/>
        <v>445</v>
      </c>
      <c r="I17">
        <f t="shared" si="5"/>
        <v>168</v>
      </c>
      <c r="J17">
        <f t="shared" si="5"/>
        <v>97</v>
      </c>
      <c r="L17">
        <v>13</v>
      </c>
      <c r="M17">
        <v>10</v>
      </c>
      <c r="N17">
        <v>1</v>
      </c>
      <c r="R17">
        <f t="shared" si="11"/>
        <v>4140</v>
      </c>
      <c r="S17">
        <f t="shared" si="6"/>
        <v>730</v>
      </c>
      <c r="T17">
        <f t="shared" si="6"/>
        <v>271</v>
      </c>
      <c r="U17">
        <f t="shared" si="6"/>
        <v>30</v>
      </c>
      <c r="V17">
        <f t="shared" si="6"/>
        <v>90</v>
      </c>
      <c r="X17">
        <v>13</v>
      </c>
      <c r="Y17">
        <v>30</v>
      </c>
      <c r="Z17">
        <v>5</v>
      </c>
      <c r="AB17">
        <v>10</v>
      </c>
      <c r="AD17">
        <f t="shared" si="12"/>
        <v>4350</v>
      </c>
      <c r="AE17">
        <f t="shared" si="7"/>
        <v>1240</v>
      </c>
      <c r="AF17">
        <f t="shared" si="7"/>
        <v>1350</v>
      </c>
      <c r="AG17">
        <f t="shared" si="7"/>
        <v>2480</v>
      </c>
      <c r="AH17">
        <f t="shared" si="7"/>
        <v>640</v>
      </c>
      <c r="AJ17">
        <v>13</v>
      </c>
      <c r="AK17">
        <v>35</v>
      </c>
      <c r="AL17">
        <v>5</v>
      </c>
      <c r="AO17">
        <f t="shared" si="13"/>
        <v>700</v>
      </c>
      <c r="AP17">
        <f t="shared" si="8"/>
        <v>190</v>
      </c>
      <c r="AQ17">
        <f t="shared" si="8"/>
        <v>0</v>
      </c>
      <c r="AR17">
        <f t="shared" si="8"/>
        <v>0</v>
      </c>
      <c r="AT17">
        <v>13</v>
      </c>
      <c r="AU17">
        <v>60</v>
      </c>
      <c r="AV17">
        <v>25</v>
      </c>
      <c r="AW17">
        <v>5</v>
      </c>
      <c r="AZ17">
        <f t="shared" si="14"/>
        <v>1460</v>
      </c>
      <c r="BA17">
        <f t="shared" si="15"/>
        <v>570</v>
      </c>
      <c r="BB17">
        <f t="shared" si="16"/>
        <v>890</v>
      </c>
      <c r="BC17">
        <f t="shared" si="17"/>
        <v>806</v>
      </c>
      <c r="BD17">
        <f t="shared" si="18"/>
        <v>463</v>
      </c>
      <c r="BF17">
        <v>13</v>
      </c>
      <c r="BG17">
        <v>15</v>
      </c>
      <c r="BH17">
        <v>10</v>
      </c>
      <c r="BI17">
        <v>20</v>
      </c>
      <c r="BK17">
        <f t="shared" si="19"/>
        <v>690</v>
      </c>
      <c r="BL17">
        <f t="shared" si="9"/>
        <v>520</v>
      </c>
      <c r="BM17">
        <f t="shared" si="9"/>
        <v>690</v>
      </c>
      <c r="BN17">
        <f t="shared" si="9"/>
        <v>0</v>
      </c>
      <c r="BQ17" s="398" t="s">
        <v>76</v>
      </c>
      <c r="BR17" s="399">
        <v>3</v>
      </c>
      <c r="BS17" s="259"/>
      <c r="BT17" s="25"/>
      <c r="BU17" s="22"/>
      <c r="BV17" s="22">
        <v>1</v>
      </c>
      <c r="BW17" s="22">
        <v>1</v>
      </c>
      <c r="BX17" s="41">
        <f t="shared" ref="BX17" si="25">SUM(BS17)</f>
        <v>0</v>
      </c>
      <c r="BY17" s="253">
        <f t="shared" ref="BY17" si="26">SUM(BT17:BW17)</f>
        <v>2</v>
      </c>
      <c r="BZ17" s="51"/>
      <c r="CA17" s="261">
        <v>1</v>
      </c>
      <c r="CB17" s="261"/>
      <c r="CC17" s="261">
        <v>1</v>
      </c>
      <c r="CD17" s="261"/>
      <c r="CE17" s="261"/>
      <c r="CF17" s="261">
        <v>2</v>
      </c>
      <c r="CG17" s="261"/>
      <c r="CH17" s="261"/>
      <c r="CI17" s="261"/>
      <c r="CJ17" s="261"/>
      <c r="CK17" s="23">
        <f t="shared" si="20"/>
        <v>4</v>
      </c>
      <c r="CM17" s="46" t="s">
        <v>121</v>
      </c>
      <c r="CN17" s="2">
        <v>42</v>
      </c>
      <c r="CO17" s="2">
        <f>CN17*$CO$15/100</f>
        <v>84</v>
      </c>
      <c r="CP17" s="2">
        <v>6</v>
      </c>
      <c r="CQ17" s="2"/>
      <c r="CR17" s="2">
        <f>ROUNDDOWN((CN17+CO17)/7,0)+CP17+ROUNDDOWN(CQ17*2,0)</f>
        <v>24</v>
      </c>
      <c r="CS17" s="2">
        <f>CQ17+ROUNDDOWN((CP17+ROUNDDOWN((CN17+CO17)/7,0))/3,0)</f>
        <v>8</v>
      </c>
      <c r="CU17">
        <v>750</v>
      </c>
      <c r="CW17" t="s">
        <v>1038</v>
      </c>
      <c r="CX17" t="s">
        <v>1039</v>
      </c>
      <c r="DE17" t="s">
        <v>1004</v>
      </c>
      <c r="DF17">
        <v>13</v>
      </c>
      <c r="DG17">
        <v>12</v>
      </c>
      <c r="DH17">
        <v>11</v>
      </c>
      <c r="DI17">
        <v>10</v>
      </c>
      <c r="DJ17">
        <v>9</v>
      </c>
      <c r="DK17">
        <v>8</v>
      </c>
      <c r="DL17">
        <v>7</v>
      </c>
      <c r="DM17">
        <v>6</v>
      </c>
      <c r="DN17">
        <v>5</v>
      </c>
      <c r="DO17">
        <v>4</v>
      </c>
      <c r="DP17">
        <v>3</v>
      </c>
      <c r="DQ17">
        <v>2</v>
      </c>
      <c r="DR17">
        <v>1</v>
      </c>
      <c r="DS17">
        <v>0</v>
      </c>
    </row>
    <row r="18" spans="2:123" x14ac:dyDescent="0.25">
      <c r="B18">
        <v>14</v>
      </c>
      <c r="C18">
        <v>5</v>
      </c>
      <c r="G18">
        <f t="shared" si="10"/>
        <v>1804</v>
      </c>
      <c r="H18">
        <f t="shared" si="5"/>
        <v>445</v>
      </c>
      <c r="I18">
        <f t="shared" si="5"/>
        <v>168</v>
      </c>
      <c r="J18">
        <f t="shared" si="5"/>
        <v>97</v>
      </c>
      <c r="L18">
        <v>14</v>
      </c>
      <c r="M18">
        <v>15</v>
      </c>
      <c r="N18">
        <v>2</v>
      </c>
      <c r="R18">
        <f t="shared" si="11"/>
        <v>4125</v>
      </c>
      <c r="S18">
        <f t="shared" si="6"/>
        <v>728</v>
      </c>
      <c r="T18">
        <f t="shared" si="6"/>
        <v>271</v>
      </c>
      <c r="U18">
        <f t="shared" si="6"/>
        <v>30</v>
      </c>
      <c r="V18">
        <f t="shared" si="6"/>
        <v>90</v>
      </c>
      <c r="X18">
        <v>14</v>
      </c>
      <c r="Y18">
        <v>30</v>
      </c>
      <c r="Z18">
        <v>10</v>
      </c>
      <c r="AB18">
        <v>20</v>
      </c>
      <c r="AD18">
        <f t="shared" si="12"/>
        <v>4320</v>
      </c>
      <c r="AE18">
        <f t="shared" si="7"/>
        <v>1230</v>
      </c>
      <c r="AF18">
        <f t="shared" si="7"/>
        <v>1350</v>
      </c>
      <c r="AG18">
        <f t="shared" si="7"/>
        <v>2460</v>
      </c>
      <c r="AH18">
        <f t="shared" si="7"/>
        <v>640</v>
      </c>
      <c r="AJ18">
        <v>14</v>
      </c>
      <c r="AK18">
        <v>35</v>
      </c>
      <c r="AL18">
        <v>5</v>
      </c>
      <c r="AO18">
        <f t="shared" si="13"/>
        <v>665</v>
      </c>
      <c r="AP18">
        <f t="shared" si="8"/>
        <v>185</v>
      </c>
      <c r="AQ18">
        <f t="shared" si="8"/>
        <v>0</v>
      </c>
      <c r="AR18">
        <f t="shared" si="8"/>
        <v>0</v>
      </c>
      <c r="AT18">
        <v>14</v>
      </c>
      <c r="AU18">
        <v>90</v>
      </c>
      <c r="AV18">
        <v>30</v>
      </c>
      <c r="AW18">
        <v>8</v>
      </c>
      <c r="AZ18">
        <f t="shared" si="14"/>
        <v>1370</v>
      </c>
      <c r="BA18">
        <f t="shared" si="15"/>
        <v>540</v>
      </c>
      <c r="BB18">
        <f t="shared" si="16"/>
        <v>882</v>
      </c>
      <c r="BC18">
        <f t="shared" si="17"/>
        <v>806</v>
      </c>
      <c r="BD18">
        <f t="shared" si="18"/>
        <v>463</v>
      </c>
      <c r="BF18">
        <v>14</v>
      </c>
      <c r="BG18">
        <v>15</v>
      </c>
      <c r="BH18">
        <v>10</v>
      </c>
      <c r="BI18">
        <v>20</v>
      </c>
      <c r="BK18">
        <f t="shared" si="19"/>
        <v>675</v>
      </c>
      <c r="BL18">
        <f t="shared" si="9"/>
        <v>510</v>
      </c>
      <c r="BM18">
        <f t="shared" si="9"/>
        <v>670</v>
      </c>
      <c r="BN18">
        <f t="shared" si="9"/>
        <v>0</v>
      </c>
      <c r="BQ18" s="394"/>
      <c r="BR18" s="388"/>
      <c r="BS18" s="259"/>
      <c r="BT18" s="25"/>
      <c r="BU18" s="22"/>
      <c r="BV18" s="22"/>
      <c r="BW18" s="22"/>
      <c r="BX18" s="41"/>
      <c r="BY18" s="253"/>
      <c r="BZ18" s="52">
        <v>1</v>
      </c>
      <c r="CA18" s="262"/>
      <c r="CB18" s="262"/>
      <c r="CC18" s="262"/>
      <c r="CD18" s="262"/>
      <c r="CE18" s="262"/>
      <c r="CF18" s="262"/>
      <c r="CG18" s="262"/>
      <c r="CH18" s="262">
        <v>1</v>
      </c>
      <c r="CI18" s="262"/>
      <c r="CJ18" s="262"/>
      <c r="CK18" s="24">
        <f t="shared" si="20"/>
        <v>1</v>
      </c>
      <c r="CM18" s="2" t="s">
        <v>122</v>
      </c>
      <c r="CN18" s="2">
        <v>119</v>
      </c>
      <c r="CO18" s="2">
        <f>CN18*$CO$15/100</f>
        <v>238</v>
      </c>
      <c r="CP18" s="2">
        <v>10</v>
      </c>
      <c r="CQ18" s="2">
        <v>5</v>
      </c>
      <c r="CR18" s="2">
        <f t="shared" ref="CR18:CR19" si="27">ROUNDDOWN((CN18+CO18)/7,0)+CP18+ROUNDDOWN(CQ18*2,0)</f>
        <v>71</v>
      </c>
      <c r="CS18" s="2">
        <f t="shared" ref="CS18:CS19" si="28">CQ18+ROUNDDOWN((CP18+ROUNDDOWN((CN18+CO18)/7,0))/3,0)</f>
        <v>25</v>
      </c>
      <c r="CU18">
        <v>3000</v>
      </c>
      <c r="CW18">
        <v>119</v>
      </c>
      <c r="CX18" t="s">
        <v>1015</v>
      </c>
      <c r="CY18" t="s">
        <v>1024</v>
      </c>
      <c r="DF18">
        <f>600*DF16/5</f>
        <v>120</v>
      </c>
      <c r="DG18">
        <f t="shared" ref="DG18:DI18" si="29">600*DG16/5</f>
        <v>240</v>
      </c>
      <c r="DH18">
        <f t="shared" si="29"/>
        <v>360</v>
      </c>
      <c r="DI18">
        <f t="shared" si="29"/>
        <v>480</v>
      </c>
      <c r="DJ18">
        <v>600</v>
      </c>
      <c r="DK18" s="278">
        <f>2000*DK16/14</f>
        <v>857.14285714285711</v>
      </c>
      <c r="DL18" s="278">
        <f t="shared" ref="DL18:DR18" si="30">2000*DL16/14</f>
        <v>1000</v>
      </c>
      <c r="DM18" s="278">
        <f t="shared" si="30"/>
        <v>1142.8571428571429</v>
      </c>
      <c r="DN18" s="278">
        <f t="shared" si="30"/>
        <v>1285.7142857142858</v>
      </c>
      <c r="DO18" s="278">
        <f t="shared" si="30"/>
        <v>1428.5714285714287</v>
      </c>
      <c r="DP18" s="278">
        <f t="shared" si="30"/>
        <v>1571.4285714285713</v>
      </c>
      <c r="DQ18" s="278">
        <f t="shared" si="30"/>
        <v>1714.2857142857142</v>
      </c>
      <c r="DR18" s="278">
        <f t="shared" si="30"/>
        <v>1857.1428571428571</v>
      </c>
      <c r="DS18">
        <v>2000</v>
      </c>
    </row>
    <row r="19" spans="2:123" x14ac:dyDescent="0.25">
      <c r="B19">
        <v>15</v>
      </c>
      <c r="C19">
        <v>5</v>
      </c>
      <c r="G19">
        <f t="shared" si="10"/>
        <v>1799</v>
      </c>
      <c r="H19">
        <f t="shared" si="5"/>
        <v>445</v>
      </c>
      <c r="I19">
        <f t="shared" si="5"/>
        <v>168</v>
      </c>
      <c r="J19">
        <f t="shared" si="5"/>
        <v>97</v>
      </c>
      <c r="L19">
        <v>15</v>
      </c>
      <c r="M19">
        <v>15</v>
      </c>
      <c r="N19">
        <v>2</v>
      </c>
      <c r="R19">
        <f t="shared" si="11"/>
        <v>4110</v>
      </c>
      <c r="S19">
        <f t="shared" si="6"/>
        <v>726</v>
      </c>
      <c r="T19">
        <f t="shared" si="6"/>
        <v>271</v>
      </c>
      <c r="U19">
        <f t="shared" si="6"/>
        <v>30</v>
      </c>
      <c r="V19">
        <f t="shared" si="6"/>
        <v>90</v>
      </c>
      <c r="X19">
        <v>15</v>
      </c>
      <c r="Y19">
        <v>30</v>
      </c>
      <c r="Z19">
        <v>10</v>
      </c>
      <c r="AB19">
        <v>20</v>
      </c>
      <c r="AD19">
        <f t="shared" si="12"/>
        <v>4290</v>
      </c>
      <c r="AE19">
        <f t="shared" si="7"/>
        <v>1220</v>
      </c>
      <c r="AF19">
        <f t="shared" si="7"/>
        <v>1350</v>
      </c>
      <c r="AG19">
        <f t="shared" si="7"/>
        <v>2440</v>
      </c>
      <c r="AH19">
        <f t="shared" si="7"/>
        <v>640</v>
      </c>
      <c r="AJ19">
        <v>15</v>
      </c>
      <c r="AK19">
        <v>35</v>
      </c>
      <c r="AL19">
        <v>5</v>
      </c>
      <c r="AO19">
        <f t="shared" si="13"/>
        <v>630</v>
      </c>
      <c r="AP19">
        <f t="shared" si="8"/>
        <v>180</v>
      </c>
      <c r="AQ19">
        <f t="shared" si="8"/>
        <v>0</v>
      </c>
      <c r="AR19">
        <f t="shared" si="8"/>
        <v>0</v>
      </c>
      <c r="AT19">
        <v>15</v>
      </c>
      <c r="AU19">
        <v>120</v>
      </c>
      <c r="AV19">
        <v>40</v>
      </c>
      <c r="AW19">
        <v>8</v>
      </c>
      <c r="AZ19">
        <f t="shared" si="14"/>
        <v>1250</v>
      </c>
      <c r="BA19">
        <f t="shared" si="15"/>
        <v>500</v>
      </c>
      <c r="BB19">
        <f t="shared" si="16"/>
        <v>874</v>
      </c>
      <c r="BC19">
        <f t="shared" si="17"/>
        <v>806</v>
      </c>
      <c r="BD19">
        <f t="shared" si="18"/>
        <v>463</v>
      </c>
      <c r="BF19">
        <v>15</v>
      </c>
      <c r="BG19">
        <v>15</v>
      </c>
      <c r="BH19">
        <v>10</v>
      </c>
      <c r="BI19">
        <v>20</v>
      </c>
      <c r="BK19">
        <f t="shared" si="19"/>
        <v>660</v>
      </c>
      <c r="BL19">
        <f t="shared" si="9"/>
        <v>500</v>
      </c>
      <c r="BM19">
        <f t="shared" si="9"/>
        <v>650</v>
      </c>
      <c r="BN19">
        <f t="shared" si="9"/>
        <v>0</v>
      </c>
      <c r="BQ19" s="394"/>
      <c r="BR19" s="389">
        <v>4</v>
      </c>
      <c r="BS19" s="29"/>
      <c r="BT19" s="26"/>
      <c r="BU19" s="26"/>
      <c r="BV19" s="27">
        <v>2</v>
      </c>
      <c r="BW19" s="28">
        <v>1</v>
      </c>
      <c r="BX19" s="42">
        <f t="shared" ref="BX19" si="31">SUM(BS19:BU19)</f>
        <v>0</v>
      </c>
      <c r="BY19" s="254">
        <f t="shared" ref="BY19" si="32">SUM(BV19:BW19)</f>
        <v>3</v>
      </c>
      <c r="BZ19" s="53"/>
      <c r="CA19" s="26">
        <v>2</v>
      </c>
      <c r="CB19" s="26"/>
      <c r="CC19" s="26">
        <v>3</v>
      </c>
      <c r="CD19" s="26"/>
      <c r="CE19" s="26"/>
      <c r="CF19" s="26"/>
      <c r="CG19" s="26"/>
      <c r="CH19" s="26"/>
      <c r="CI19" s="26"/>
      <c r="CJ19" s="26"/>
      <c r="CK19" s="30">
        <f t="shared" si="20"/>
        <v>5</v>
      </c>
      <c r="CM19" s="46" t="s">
        <v>123</v>
      </c>
      <c r="CN19" s="2"/>
      <c r="CO19" s="2"/>
      <c r="CP19" s="2">
        <v>15</v>
      </c>
      <c r="CQ19" s="2">
        <v>5</v>
      </c>
      <c r="CR19" s="2">
        <f t="shared" si="27"/>
        <v>25</v>
      </c>
      <c r="CS19" s="2">
        <f t="shared" si="28"/>
        <v>10</v>
      </c>
      <c r="CU19">
        <v>4500</v>
      </c>
      <c r="CX19">
        <v>11</v>
      </c>
      <c r="CY19">
        <v>8</v>
      </c>
      <c r="DF19">
        <f>3000*DF16/5</f>
        <v>600</v>
      </c>
      <c r="DG19">
        <f t="shared" ref="DG19:DI19" si="33">3000*DG16/5</f>
        <v>1200</v>
      </c>
      <c r="DH19">
        <f t="shared" si="33"/>
        <v>1800</v>
      </c>
      <c r="DI19">
        <f t="shared" si="33"/>
        <v>2400</v>
      </c>
      <c r="DJ19">
        <v>3000</v>
      </c>
      <c r="DK19" s="278">
        <f>5000*DK16/14</f>
        <v>2142.8571428571427</v>
      </c>
      <c r="DL19" s="278">
        <f t="shared" ref="DL19:DR19" si="34">5000*DL16/14</f>
        <v>2500</v>
      </c>
      <c r="DM19" s="278">
        <f t="shared" si="34"/>
        <v>2857.1428571428573</v>
      </c>
      <c r="DN19" s="278">
        <f t="shared" si="34"/>
        <v>3214.2857142857142</v>
      </c>
      <c r="DO19" s="278">
        <f t="shared" si="34"/>
        <v>3571.4285714285716</v>
      </c>
      <c r="DP19" s="278">
        <f t="shared" si="34"/>
        <v>3928.5714285714284</v>
      </c>
      <c r="DQ19" s="278">
        <f t="shared" si="34"/>
        <v>4285.7142857142853</v>
      </c>
      <c r="DR19" s="278">
        <f t="shared" si="34"/>
        <v>4642.8571428571431</v>
      </c>
      <c r="DS19">
        <v>5000</v>
      </c>
    </row>
    <row r="20" spans="2:123" x14ac:dyDescent="0.25">
      <c r="B20">
        <v>16</v>
      </c>
      <c r="C20">
        <v>8</v>
      </c>
      <c r="D20">
        <v>1</v>
      </c>
      <c r="G20">
        <f t="shared" si="10"/>
        <v>1791</v>
      </c>
      <c r="H20">
        <f t="shared" si="5"/>
        <v>444</v>
      </c>
      <c r="I20">
        <f t="shared" si="5"/>
        <v>168</v>
      </c>
      <c r="J20">
        <f t="shared" si="5"/>
        <v>97</v>
      </c>
      <c r="L20">
        <v>16</v>
      </c>
      <c r="M20">
        <v>20</v>
      </c>
      <c r="N20">
        <v>3</v>
      </c>
      <c r="R20">
        <f t="shared" si="11"/>
        <v>4090</v>
      </c>
      <c r="S20">
        <f t="shared" si="6"/>
        <v>723</v>
      </c>
      <c r="T20">
        <f t="shared" si="6"/>
        <v>271</v>
      </c>
      <c r="U20">
        <f t="shared" si="6"/>
        <v>30</v>
      </c>
      <c r="V20">
        <f t="shared" si="6"/>
        <v>90</v>
      </c>
      <c r="X20">
        <v>16</v>
      </c>
      <c r="Y20">
        <v>50</v>
      </c>
      <c r="Z20">
        <v>20</v>
      </c>
      <c r="AB20">
        <v>40</v>
      </c>
      <c r="AD20">
        <f t="shared" si="12"/>
        <v>4240</v>
      </c>
      <c r="AE20">
        <f t="shared" si="7"/>
        <v>1200</v>
      </c>
      <c r="AF20">
        <f t="shared" si="7"/>
        <v>1350</v>
      </c>
      <c r="AG20">
        <f t="shared" si="7"/>
        <v>2400</v>
      </c>
      <c r="AH20">
        <f t="shared" si="7"/>
        <v>640</v>
      </c>
      <c r="AJ20">
        <v>16</v>
      </c>
      <c r="AK20">
        <v>40</v>
      </c>
      <c r="AL20">
        <v>10</v>
      </c>
      <c r="AO20">
        <f t="shared" si="13"/>
        <v>590</v>
      </c>
      <c r="AP20">
        <f t="shared" si="8"/>
        <v>170</v>
      </c>
      <c r="AQ20">
        <f t="shared" si="8"/>
        <v>0</v>
      </c>
      <c r="AR20">
        <f t="shared" si="8"/>
        <v>0</v>
      </c>
      <c r="AT20">
        <v>16</v>
      </c>
      <c r="AU20">
        <v>150</v>
      </c>
      <c r="AV20">
        <v>60</v>
      </c>
      <c r="AW20">
        <v>8</v>
      </c>
      <c r="AZ20">
        <f t="shared" si="14"/>
        <v>1100</v>
      </c>
      <c r="BA20">
        <f t="shared" si="15"/>
        <v>440</v>
      </c>
      <c r="BB20">
        <f t="shared" si="16"/>
        <v>866</v>
      </c>
      <c r="BC20">
        <f t="shared" si="17"/>
        <v>806</v>
      </c>
      <c r="BD20">
        <f t="shared" si="18"/>
        <v>463</v>
      </c>
      <c r="BF20">
        <v>16</v>
      </c>
      <c r="BG20">
        <v>20</v>
      </c>
      <c r="BH20">
        <v>20</v>
      </c>
      <c r="BI20">
        <v>30</v>
      </c>
      <c r="BK20">
        <f t="shared" si="19"/>
        <v>640</v>
      </c>
      <c r="BL20">
        <f t="shared" si="9"/>
        <v>480</v>
      </c>
      <c r="BM20">
        <f t="shared" si="9"/>
        <v>620</v>
      </c>
      <c r="BN20">
        <f t="shared" si="9"/>
        <v>0</v>
      </c>
      <c r="BQ20" s="394"/>
      <c r="BR20" s="390"/>
      <c r="BS20" s="34"/>
      <c r="BT20" s="31"/>
      <c r="BU20" s="31"/>
      <c r="BV20" s="32"/>
      <c r="BW20" s="33"/>
      <c r="BX20" s="43"/>
      <c r="BY20" s="255"/>
      <c r="BZ20" s="54">
        <v>1</v>
      </c>
      <c r="CA20" s="31"/>
      <c r="CB20" s="31"/>
      <c r="CC20" s="31"/>
      <c r="CD20" s="31"/>
      <c r="CE20" s="31"/>
      <c r="CF20" s="31">
        <v>1</v>
      </c>
      <c r="CG20" s="31"/>
      <c r="CH20" s="31">
        <v>1</v>
      </c>
      <c r="CI20" s="31"/>
      <c r="CJ20" s="31"/>
      <c r="CK20" s="35">
        <f t="shared" si="20"/>
        <v>2</v>
      </c>
    </row>
    <row r="21" spans="2:123" x14ac:dyDescent="0.25">
      <c r="B21">
        <v>17</v>
      </c>
      <c r="C21">
        <v>8</v>
      </c>
      <c r="D21">
        <v>1</v>
      </c>
      <c r="G21">
        <f t="shared" si="10"/>
        <v>1783</v>
      </c>
      <c r="H21">
        <f t="shared" ref="H21:H44" si="35">H20-D21</f>
        <v>443</v>
      </c>
      <c r="I21">
        <f t="shared" ref="I21:I44" si="36">I20-E21</f>
        <v>168</v>
      </c>
      <c r="J21">
        <f t="shared" ref="J21:J44" si="37">J20-F21</f>
        <v>97</v>
      </c>
      <c r="L21">
        <v>17</v>
      </c>
      <c r="M21">
        <v>20</v>
      </c>
      <c r="N21">
        <v>3</v>
      </c>
      <c r="R21">
        <f t="shared" si="11"/>
        <v>4070</v>
      </c>
      <c r="S21">
        <f t="shared" ref="S21:S44" si="38">S20-N21</f>
        <v>720</v>
      </c>
      <c r="T21">
        <f t="shared" ref="T21:T44" si="39">T20-O21</f>
        <v>271</v>
      </c>
      <c r="U21">
        <f t="shared" ref="U21:U35" si="40">U20-P21</f>
        <v>30</v>
      </c>
      <c r="V21">
        <f t="shared" ref="V21:V44" si="41">V20-Q21</f>
        <v>90</v>
      </c>
      <c r="X21">
        <v>17</v>
      </c>
      <c r="Y21">
        <v>50</v>
      </c>
      <c r="Z21">
        <v>20</v>
      </c>
      <c r="AB21">
        <v>40</v>
      </c>
      <c r="AD21">
        <f t="shared" si="12"/>
        <v>4190</v>
      </c>
      <c r="AE21">
        <f t="shared" ref="AE21:AE44" si="42">AE20-Z21</f>
        <v>1180</v>
      </c>
      <c r="AF21">
        <f t="shared" ref="AF21:AF44" si="43">AF20-AA21</f>
        <v>1350</v>
      </c>
      <c r="AG21">
        <f t="shared" ref="AG21:AG44" si="44">AG20-AB21</f>
        <v>2360</v>
      </c>
      <c r="AH21">
        <f t="shared" ref="AH21:AH44" si="45">AH20-AC21</f>
        <v>640</v>
      </c>
      <c r="AJ21">
        <v>17</v>
      </c>
      <c r="AK21">
        <v>40</v>
      </c>
      <c r="AL21">
        <v>10</v>
      </c>
      <c r="AO21">
        <f t="shared" si="13"/>
        <v>550</v>
      </c>
      <c r="AP21">
        <f t="shared" ref="AP21:AP44" si="46">AP20-AL21</f>
        <v>160</v>
      </c>
      <c r="AQ21">
        <f t="shared" ref="AQ21:AQ44" si="47">AQ20-AM21</f>
        <v>0</v>
      </c>
      <c r="AR21">
        <f t="shared" ref="AR21:AR44" si="48">AR20-AN21</f>
        <v>0</v>
      </c>
      <c r="AT21">
        <v>17</v>
      </c>
      <c r="AU21">
        <v>200</v>
      </c>
      <c r="AV21">
        <v>80</v>
      </c>
      <c r="AW21">
        <v>10</v>
      </c>
      <c r="AZ21">
        <f t="shared" si="14"/>
        <v>900</v>
      </c>
      <c r="BA21">
        <f t="shared" ref="BA21:BB44" si="49">BA20-AV21</f>
        <v>360</v>
      </c>
      <c r="BB21">
        <f t="shared" si="49"/>
        <v>856</v>
      </c>
      <c r="BC21">
        <f t="shared" ref="BC21:BC44" si="50">BC20-AX21</f>
        <v>806</v>
      </c>
      <c r="BD21">
        <f t="shared" ref="BD21:BD44" si="51">BD20-AY21</f>
        <v>463</v>
      </c>
      <c r="BF21">
        <v>17</v>
      </c>
      <c r="BG21">
        <v>20</v>
      </c>
      <c r="BH21">
        <v>20</v>
      </c>
      <c r="BI21">
        <v>30</v>
      </c>
      <c r="BK21">
        <f t="shared" si="19"/>
        <v>620</v>
      </c>
      <c r="BL21">
        <f t="shared" ref="BL21:BL44" si="52">BL20-BH21</f>
        <v>460</v>
      </c>
      <c r="BM21">
        <f t="shared" ref="BM21:BM44" si="53">BM20-BI21</f>
        <v>590</v>
      </c>
      <c r="BN21">
        <f t="shared" ref="BN21:BN44" si="54">BN20-BJ21</f>
        <v>0</v>
      </c>
      <c r="BQ21" s="394"/>
      <c r="BR21" s="388">
        <v>5</v>
      </c>
      <c r="BS21" s="259"/>
      <c r="BT21" s="262"/>
      <c r="BU21" s="262"/>
      <c r="BV21" s="262"/>
      <c r="BW21" s="262"/>
      <c r="BX21" s="41"/>
      <c r="BY21" s="253"/>
      <c r="BZ21" s="52"/>
      <c r="CA21" s="262"/>
      <c r="CB21" s="262"/>
      <c r="CC21" s="262"/>
      <c r="CD21" s="262"/>
      <c r="CE21" s="262"/>
      <c r="CF21" s="262"/>
      <c r="CG21" s="262"/>
      <c r="CH21" s="262"/>
      <c r="CI21" s="262"/>
      <c r="CJ21" s="262"/>
      <c r="CK21" s="24">
        <f t="shared" si="20"/>
        <v>0</v>
      </c>
      <c r="CN21" s="316" t="s">
        <v>121</v>
      </c>
      <c r="CO21" s="314"/>
      <c r="CP21" s="314"/>
      <c r="CQ21" s="316" t="s">
        <v>1005</v>
      </c>
      <c r="CR21" s="316"/>
      <c r="CS21" s="316"/>
      <c r="CT21" s="316"/>
    </row>
    <row r="22" spans="2:123" x14ac:dyDescent="0.25">
      <c r="B22">
        <v>18</v>
      </c>
      <c r="C22">
        <v>8</v>
      </c>
      <c r="D22">
        <v>1</v>
      </c>
      <c r="G22">
        <f t="shared" si="10"/>
        <v>1775</v>
      </c>
      <c r="H22">
        <f t="shared" si="35"/>
        <v>442</v>
      </c>
      <c r="I22">
        <f t="shared" si="36"/>
        <v>168</v>
      </c>
      <c r="J22">
        <f t="shared" si="37"/>
        <v>97</v>
      </c>
      <c r="L22">
        <v>18</v>
      </c>
      <c r="M22">
        <v>20</v>
      </c>
      <c r="N22">
        <v>3</v>
      </c>
      <c r="R22">
        <f t="shared" si="11"/>
        <v>4050</v>
      </c>
      <c r="S22">
        <f t="shared" si="38"/>
        <v>717</v>
      </c>
      <c r="T22">
        <f t="shared" si="39"/>
        <v>271</v>
      </c>
      <c r="U22">
        <f t="shared" si="40"/>
        <v>30</v>
      </c>
      <c r="V22">
        <f t="shared" si="41"/>
        <v>90</v>
      </c>
      <c r="X22">
        <v>18</v>
      </c>
      <c r="Y22">
        <v>50</v>
      </c>
      <c r="Z22">
        <v>20</v>
      </c>
      <c r="AB22">
        <v>40</v>
      </c>
      <c r="AD22">
        <f t="shared" si="12"/>
        <v>4140</v>
      </c>
      <c r="AE22">
        <f t="shared" si="42"/>
        <v>1160</v>
      </c>
      <c r="AF22">
        <f t="shared" si="43"/>
        <v>1350</v>
      </c>
      <c r="AG22">
        <f t="shared" si="44"/>
        <v>2320</v>
      </c>
      <c r="AH22">
        <f t="shared" si="45"/>
        <v>640</v>
      </c>
      <c r="AJ22">
        <v>18</v>
      </c>
      <c r="AK22">
        <v>40</v>
      </c>
      <c r="AL22">
        <v>10</v>
      </c>
      <c r="AO22">
        <f t="shared" si="13"/>
        <v>510</v>
      </c>
      <c r="AP22">
        <f t="shared" si="46"/>
        <v>150</v>
      </c>
      <c r="AQ22">
        <f t="shared" si="47"/>
        <v>0</v>
      </c>
      <c r="AR22">
        <f t="shared" si="48"/>
        <v>0</v>
      </c>
      <c r="AT22">
        <v>18</v>
      </c>
      <c r="AU22">
        <v>250</v>
      </c>
      <c r="AV22">
        <v>100</v>
      </c>
      <c r="AW22">
        <v>10</v>
      </c>
      <c r="AZ22">
        <f t="shared" si="14"/>
        <v>650</v>
      </c>
      <c r="BA22">
        <f t="shared" si="49"/>
        <v>260</v>
      </c>
      <c r="BB22">
        <f t="shared" si="49"/>
        <v>846</v>
      </c>
      <c r="BC22">
        <f t="shared" si="50"/>
        <v>806</v>
      </c>
      <c r="BD22">
        <f t="shared" si="51"/>
        <v>463</v>
      </c>
      <c r="BF22">
        <v>18</v>
      </c>
      <c r="BG22">
        <v>20</v>
      </c>
      <c r="BH22">
        <v>20</v>
      </c>
      <c r="BI22">
        <v>30</v>
      </c>
      <c r="BK22">
        <f t="shared" si="19"/>
        <v>600</v>
      </c>
      <c r="BL22">
        <f t="shared" si="52"/>
        <v>440</v>
      </c>
      <c r="BM22">
        <f t="shared" si="53"/>
        <v>560</v>
      </c>
      <c r="BN22">
        <f t="shared" si="54"/>
        <v>0</v>
      </c>
      <c r="BQ22" s="395"/>
      <c r="BR22" s="391"/>
      <c r="BS22" s="260"/>
      <c r="BT22" s="263"/>
      <c r="BU22" s="263"/>
      <c r="BV22" s="263">
        <v>1</v>
      </c>
      <c r="BW22" s="263">
        <v>1</v>
      </c>
      <c r="BX22" s="44">
        <f t="shared" ref="BX22" si="55">SUM(BS22:BW22)</f>
        <v>2</v>
      </c>
      <c r="BY22" s="256"/>
      <c r="BZ22" s="55">
        <v>1</v>
      </c>
      <c r="CA22" s="263">
        <v>1</v>
      </c>
      <c r="CB22" s="263"/>
      <c r="CC22" s="263">
        <v>1</v>
      </c>
      <c r="CD22" s="263"/>
      <c r="CE22" s="263"/>
      <c r="CF22" s="263">
        <v>1</v>
      </c>
      <c r="CG22" s="263"/>
      <c r="CH22" s="263">
        <v>1</v>
      </c>
      <c r="CI22" s="263"/>
      <c r="CJ22" s="263"/>
      <c r="CK22" s="265">
        <f>SUM(CA22:CJ22)</f>
        <v>4</v>
      </c>
      <c r="CM22" s="4" t="s">
        <v>1005</v>
      </c>
      <c r="CN22" s="4" t="s">
        <v>1009</v>
      </c>
      <c r="CO22" s="4" t="s">
        <v>13</v>
      </c>
      <c r="CP22" s="4" t="s">
        <v>1007</v>
      </c>
      <c r="CQ22" s="4" t="s">
        <v>1009</v>
      </c>
      <c r="CR22" s="4" t="s">
        <v>13</v>
      </c>
      <c r="CS22" s="4" t="s">
        <v>11</v>
      </c>
      <c r="CT22" s="4" t="s">
        <v>12</v>
      </c>
    </row>
    <row r="23" spans="2:123" x14ac:dyDescent="0.25">
      <c r="B23">
        <v>19</v>
      </c>
      <c r="C23">
        <v>10</v>
      </c>
      <c r="D23">
        <v>1</v>
      </c>
      <c r="G23">
        <f t="shared" si="10"/>
        <v>1765</v>
      </c>
      <c r="H23">
        <f t="shared" si="35"/>
        <v>441</v>
      </c>
      <c r="I23">
        <f t="shared" si="36"/>
        <v>168</v>
      </c>
      <c r="J23">
        <f t="shared" si="37"/>
        <v>97</v>
      </c>
      <c r="L23">
        <v>19</v>
      </c>
      <c r="M23">
        <v>30</v>
      </c>
      <c r="N23">
        <v>4</v>
      </c>
      <c r="R23">
        <f t="shared" si="11"/>
        <v>4020</v>
      </c>
      <c r="S23">
        <f t="shared" si="38"/>
        <v>713</v>
      </c>
      <c r="T23">
        <f t="shared" si="39"/>
        <v>271</v>
      </c>
      <c r="U23">
        <f t="shared" si="40"/>
        <v>30</v>
      </c>
      <c r="V23">
        <f t="shared" si="41"/>
        <v>90</v>
      </c>
      <c r="X23">
        <v>19</v>
      </c>
      <c r="Y23">
        <v>70</v>
      </c>
      <c r="Z23">
        <v>30</v>
      </c>
      <c r="AB23">
        <v>60</v>
      </c>
      <c r="AD23">
        <f t="shared" si="12"/>
        <v>4070</v>
      </c>
      <c r="AE23">
        <f t="shared" si="42"/>
        <v>1130</v>
      </c>
      <c r="AF23">
        <f t="shared" si="43"/>
        <v>1350</v>
      </c>
      <c r="AG23">
        <f t="shared" si="44"/>
        <v>2260</v>
      </c>
      <c r="AH23">
        <f t="shared" si="45"/>
        <v>640</v>
      </c>
      <c r="AJ23">
        <v>19</v>
      </c>
      <c r="AK23">
        <v>40</v>
      </c>
      <c r="AL23">
        <v>10</v>
      </c>
      <c r="AO23">
        <f t="shared" si="13"/>
        <v>470</v>
      </c>
      <c r="AP23">
        <f t="shared" si="46"/>
        <v>140</v>
      </c>
      <c r="AQ23">
        <f t="shared" si="47"/>
        <v>0</v>
      </c>
      <c r="AR23">
        <f t="shared" si="48"/>
        <v>0</v>
      </c>
      <c r="AT23">
        <v>19</v>
      </c>
      <c r="AU23">
        <v>300</v>
      </c>
      <c r="AV23">
        <v>120</v>
      </c>
      <c r="AW23">
        <v>10</v>
      </c>
      <c r="AZ23">
        <f t="shared" si="14"/>
        <v>350</v>
      </c>
      <c r="BA23">
        <f t="shared" si="49"/>
        <v>140</v>
      </c>
      <c r="BB23">
        <f t="shared" si="49"/>
        <v>836</v>
      </c>
      <c r="BC23">
        <f t="shared" si="50"/>
        <v>806</v>
      </c>
      <c r="BD23">
        <f t="shared" si="51"/>
        <v>463</v>
      </c>
      <c r="BF23">
        <v>19</v>
      </c>
      <c r="BG23">
        <v>30</v>
      </c>
      <c r="BH23">
        <v>20</v>
      </c>
      <c r="BI23">
        <v>30</v>
      </c>
      <c r="BK23">
        <f t="shared" si="19"/>
        <v>570</v>
      </c>
      <c r="BL23">
        <f t="shared" si="52"/>
        <v>420</v>
      </c>
      <c r="BM23">
        <f t="shared" si="53"/>
        <v>530</v>
      </c>
      <c r="BN23">
        <f t="shared" si="54"/>
        <v>0</v>
      </c>
      <c r="BQ23" s="396" t="s">
        <v>77</v>
      </c>
      <c r="BR23" s="252">
        <v>3</v>
      </c>
      <c r="BS23" s="251"/>
      <c r="BT23" s="261"/>
      <c r="BU23" s="261"/>
      <c r="BV23" s="261"/>
      <c r="BW23" s="261"/>
      <c r="BX23" s="40"/>
      <c r="BY23" s="252"/>
      <c r="BZ23" s="51"/>
      <c r="CA23" s="261"/>
      <c r="CB23" s="261"/>
      <c r="CC23" s="37" t="s">
        <v>87</v>
      </c>
      <c r="CD23" s="37" t="s">
        <v>113</v>
      </c>
      <c r="CE23" s="261"/>
      <c r="CF23" s="37" t="s">
        <v>88</v>
      </c>
      <c r="CG23" s="261"/>
      <c r="CH23" s="37" t="s">
        <v>89</v>
      </c>
      <c r="CI23" s="261"/>
      <c r="CJ23" s="37" t="s">
        <v>89</v>
      </c>
      <c r="CK23" s="23"/>
      <c r="CM23" s="4" t="s">
        <v>1006</v>
      </c>
      <c r="CN23" s="2">
        <v>15</v>
      </c>
      <c r="CO23" s="2" t="s">
        <v>1012</v>
      </c>
      <c r="CP23" s="2" t="s">
        <v>1013</v>
      </c>
      <c r="CQ23" s="2"/>
      <c r="CR23" s="2"/>
      <c r="CS23" s="2"/>
      <c r="CT23" s="2"/>
    </row>
    <row r="24" spans="2:123" x14ac:dyDescent="0.25">
      <c r="B24">
        <v>20</v>
      </c>
      <c r="C24">
        <v>10</v>
      </c>
      <c r="D24">
        <v>1</v>
      </c>
      <c r="G24">
        <f t="shared" si="10"/>
        <v>1755</v>
      </c>
      <c r="H24">
        <f t="shared" si="35"/>
        <v>440</v>
      </c>
      <c r="I24">
        <f t="shared" si="36"/>
        <v>168</v>
      </c>
      <c r="J24">
        <f t="shared" si="37"/>
        <v>97</v>
      </c>
      <c r="L24">
        <v>20</v>
      </c>
      <c r="M24">
        <v>30</v>
      </c>
      <c r="N24">
        <v>4</v>
      </c>
      <c r="R24">
        <f t="shared" si="11"/>
        <v>3990</v>
      </c>
      <c r="S24">
        <f t="shared" si="38"/>
        <v>709</v>
      </c>
      <c r="T24">
        <f t="shared" si="39"/>
        <v>271</v>
      </c>
      <c r="U24">
        <f t="shared" si="40"/>
        <v>30</v>
      </c>
      <c r="V24">
        <f t="shared" si="41"/>
        <v>90</v>
      </c>
      <c r="X24">
        <v>20</v>
      </c>
      <c r="Y24">
        <v>70</v>
      </c>
      <c r="Z24">
        <v>30</v>
      </c>
      <c r="AB24">
        <v>60</v>
      </c>
      <c r="AD24">
        <f t="shared" si="12"/>
        <v>4000</v>
      </c>
      <c r="AE24">
        <f t="shared" si="42"/>
        <v>1100</v>
      </c>
      <c r="AF24">
        <f t="shared" si="43"/>
        <v>1350</v>
      </c>
      <c r="AG24">
        <f t="shared" si="44"/>
        <v>2200</v>
      </c>
      <c r="AH24">
        <f t="shared" si="45"/>
        <v>640</v>
      </c>
      <c r="AJ24">
        <v>20</v>
      </c>
      <c r="AK24">
        <v>40</v>
      </c>
      <c r="AL24">
        <v>10</v>
      </c>
      <c r="AO24">
        <f t="shared" si="13"/>
        <v>430</v>
      </c>
      <c r="AP24">
        <f t="shared" si="46"/>
        <v>130</v>
      </c>
      <c r="AQ24">
        <f t="shared" si="47"/>
        <v>0</v>
      </c>
      <c r="AR24">
        <f t="shared" si="48"/>
        <v>0</v>
      </c>
      <c r="AT24">
        <v>20</v>
      </c>
      <c r="AU24">
        <v>350</v>
      </c>
      <c r="AV24">
        <v>140</v>
      </c>
      <c r="AW24">
        <v>10</v>
      </c>
      <c r="AZ24">
        <f t="shared" si="14"/>
        <v>0</v>
      </c>
      <c r="BA24">
        <f t="shared" si="49"/>
        <v>0</v>
      </c>
      <c r="BB24">
        <f t="shared" si="49"/>
        <v>826</v>
      </c>
      <c r="BC24">
        <f t="shared" si="50"/>
        <v>806</v>
      </c>
      <c r="BD24">
        <f t="shared" si="51"/>
        <v>463</v>
      </c>
      <c r="BF24">
        <v>20</v>
      </c>
      <c r="BG24">
        <v>30</v>
      </c>
      <c r="BH24">
        <v>20</v>
      </c>
      <c r="BI24">
        <v>30</v>
      </c>
      <c r="BK24">
        <f t="shared" si="19"/>
        <v>540</v>
      </c>
      <c r="BL24">
        <f t="shared" si="52"/>
        <v>400</v>
      </c>
      <c r="BM24">
        <f t="shared" si="53"/>
        <v>500</v>
      </c>
      <c r="BN24">
        <f t="shared" si="54"/>
        <v>0</v>
      </c>
      <c r="BQ24" s="326"/>
      <c r="BR24" s="36">
        <v>4</v>
      </c>
      <c r="BS24" s="38"/>
      <c r="BT24" s="37"/>
      <c r="BU24" s="37"/>
      <c r="BV24" s="37"/>
      <c r="BW24" s="37"/>
      <c r="BX24" s="45"/>
      <c r="BY24" s="36"/>
      <c r="BZ24" s="56"/>
      <c r="CA24" s="37"/>
      <c r="CB24" s="37"/>
      <c r="CC24" s="37" t="s">
        <v>83</v>
      </c>
      <c r="CD24" s="37" t="s">
        <v>84</v>
      </c>
      <c r="CE24" s="37"/>
      <c r="CF24" s="37" t="s">
        <v>85</v>
      </c>
      <c r="CG24" s="37"/>
      <c r="CH24" s="37" t="s">
        <v>86</v>
      </c>
      <c r="CI24" s="37"/>
      <c r="CJ24" s="37" t="s">
        <v>86</v>
      </c>
      <c r="CK24" s="39"/>
      <c r="CM24" s="4" t="s">
        <v>124</v>
      </c>
      <c r="CN24" s="2"/>
      <c r="CO24" s="2"/>
      <c r="CP24" s="2"/>
      <c r="CQ24" s="2"/>
      <c r="CR24" s="2"/>
      <c r="CS24" s="2"/>
      <c r="CT24" s="2"/>
    </row>
    <row r="25" spans="2:123" x14ac:dyDescent="0.25">
      <c r="B25">
        <v>21</v>
      </c>
      <c r="C25">
        <v>15</v>
      </c>
      <c r="D25">
        <v>2</v>
      </c>
      <c r="G25">
        <f t="shared" si="10"/>
        <v>1740</v>
      </c>
      <c r="H25">
        <f t="shared" si="35"/>
        <v>438</v>
      </c>
      <c r="I25">
        <f t="shared" si="36"/>
        <v>168</v>
      </c>
      <c r="J25">
        <f t="shared" si="37"/>
        <v>97</v>
      </c>
      <c r="L25">
        <v>21</v>
      </c>
      <c r="M25">
        <v>50</v>
      </c>
      <c r="N25">
        <v>6</v>
      </c>
      <c r="O25">
        <v>1</v>
      </c>
      <c r="R25">
        <f t="shared" si="11"/>
        <v>3940</v>
      </c>
      <c r="S25">
        <f t="shared" si="38"/>
        <v>703</v>
      </c>
      <c r="T25">
        <f t="shared" si="39"/>
        <v>270</v>
      </c>
      <c r="U25">
        <f t="shared" si="40"/>
        <v>30</v>
      </c>
      <c r="V25">
        <f t="shared" si="41"/>
        <v>90</v>
      </c>
      <c r="X25">
        <v>21</v>
      </c>
      <c r="Y25">
        <v>100</v>
      </c>
      <c r="Z25">
        <v>40</v>
      </c>
      <c r="AA25">
        <v>20</v>
      </c>
      <c r="AB25">
        <v>80</v>
      </c>
      <c r="AD25">
        <f t="shared" si="12"/>
        <v>3900</v>
      </c>
      <c r="AE25">
        <f t="shared" si="42"/>
        <v>1060</v>
      </c>
      <c r="AF25">
        <f t="shared" si="43"/>
        <v>1330</v>
      </c>
      <c r="AG25">
        <f t="shared" si="44"/>
        <v>2120</v>
      </c>
      <c r="AH25">
        <f t="shared" si="45"/>
        <v>640</v>
      </c>
      <c r="AJ25">
        <v>21</v>
      </c>
      <c r="AK25">
        <v>40</v>
      </c>
      <c r="AL25">
        <v>10</v>
      </c>
      <c r="AO25">
        <f t="shared" si="13"/>
        <v>390</v>
      </c>
      <c r="AP25">
        <f t="shared" si="46"/>
        <v>120</v>
      </c>
      <c r="AQ25">
        <f t="shared" si="47"/>
        <v>0</v>
      </c>
      <c r="AR25">
        <f t="shared" si="48"/>
        <v>0</v>
      </c>
      <c r="AT25">
        <v>21</v>
      </c>
      <c r="AW25">
        <v>14</v>
      </c>
      <c r="AX25">
        <v>10</v>
      </c>
      <c r="AY25">
        <v>28</v>
      </c>
      <c r="AZ25">
        <f t="shared" si="14"/>
        <v>0</v>
      </c>
      <c r="BA25">
        <f t="shared" si="49"/>
        <v>0</v>
      </c>
      <c r="BB25">
        <f t="shared" si="49"/>
        <v>812</v>
      </c>
      <c r="BC25">
        <f t="shared" si="50"/>
        <v>796</v>
      </c>
      <c r="BD25">
        <f t="shared" si="51"/>
        <v>435</v>
      </c>
      <c r="BF25">
        <v>21</v>
      </c>
      <c r="BG25">
        <v>40</v>
      </c>
      <c r="BH25">
        <v>30</v>
      </c>
      <c r="BI25">
        <v>40</v>
      </c>
      <c r="BK25">
        <f t="shared" si="19"/>
        <v>500</v>
      </c>
      <c r="BL25">
        <f t="shared" si="52"/>
        <v>370</v>
      </c>
      <c r="BM25">
        <f t="shared" si="53"/>
        <v>460</v>
      </c>
      <c r="BN25">
        <f t="shared" si="54"/>
        <v>0</v>
      </c>
      <c r="BQ25" s="397"/>
      <c r="BR25" s="256">
        <v>5</v>
      </c>
      <c r="BS25" s="260"/>
      <c r="BT25" s="263"/>
      <c r="BU25" s="263"/>
      <c r="BV25" s="263"/>
      <c r="BW25" s="263"/>
      <c r="BX25" s="44"/>
      <c r="BY25" s="256"/>
      <c r="BZ25" s="55"/>
      <c r="CA25" s="263"/>
      <c r="CB25" s="263"/>
      <c r="CC25" s="263"/>
      <c r="CD25" s="263" t="s">
        <v>78</v>
      </c>
      <c r="CE25" s="263"/>
      <c r="CF25" s="263" t="s">
        <v>79</v>
      </c>
      <c r="CG25" s="263"/>
      <c r="CH25" s="263" t="s">
        <v>74</v>
      </c>
      <c r="CI25" s="263"/>
      <c r="CJ25" s="263" t="s">
        <v>80</v>
      </c>
      <c r="CK25" s="265"/>
      <c r="CM25" s="4" t="s">
        <v>1008</v>
      </c>
      <c r="CN25" s="2" t="s">
        <v>1016</v>
      </c>
      <c r="CO25" s="2" t="s">
        <v>1011</v>
      </c>
      <c r="CP25" s="2" t="s">
        <v>1017</v>
      </c>
      <c r="CQ25" s="2" t="s">
        <v>1018</v>
      </c>
      <c r="CR25" s="2"/>
      <c r="CS25" s="2" t="s">
        <v>1019</v>
      </c>
      <c r="CT25" s="2" t="s">
        <v>1010</v>
      </c>
    </row>
    <row r="26" spans="2:123" x14ac:dyDescent="0.25">
      <c r="B26">
        <v>22</v>
      </c>
      <c r="C26">
        <v>15</v>
      </c>
      <c r="D26">
        <v>2</v>
      </c>
      <c r="G26">
        <f t="shared" si="10"/>
        <v>1725</v>
      </c>
      <c r="H26">
        <f t="shared" si="35"/>
        <v>436</v>
      </c>
      <c r="I26">
        <f t="shared" si="36"/>
        <v>168</v>
      </c>
      <c r="J26">
        <f t="shared" si="37"/>
        <v>97</v>
      </c>
      <c r="L26">
        <v>22</v>
      </c>
      <c r="M26">
        <v>50</v>
      </c>
      <c r="N26">
        <v>6</v>
      </c>
      <c r="O26">
        <v>1</v>
      </c>
      <c r="R26">
        <f t="shared" si="11"/>
        <v>3890</v>
      </c>
      <c r="S26">
        <f t="shared" si="38"/>
        <v>697</v>
      </c>
      <c r="T26">
        <f t="shared" si="39"/>
        <v>269</v>
      </c>
      <c r="U26">
        <f t="shared" si="40"/>
        <v>30</v>
      </c>
      <c r="V26">
        <f t="shared" si="41"/>
        <v>90</v>
      </c>
      <c r="X26">
        <v>22</v>
      </c>
      <c r="Y26">
        <v>100</v>
      </c>
      <c r="Z26">
        <v>40</v>
      </c>
      <c r="AA26">
        <v>30</v>
      </c>
      <c r="AB26">
        <v>80</v>
      </c>
      <c r="AD26">
        <f t="shared" si="12"/>
        <v>3800</v>
      </c>
      <c r="AE26">
        <f t="shared" si="42"/>
        <v>1020</v>
      </c>
      <c r="AF26">
        <f t="shared" si="43"/>
        <v>1300</v>
      </c>
      <c r="AG26">
        <f t="shared" si="44"/>
        <v>2040</v>
      </c>
      <c r="AH26">
        <f t="shared" si="45"/>
        <v>640</v>
      </c>
      <c r="AJ26">
        <v>22</v>
      </c>
      <c r="AK26">
        <v>40</v>
      </c>
      <c r="AL26">
        <v>10</v>
      </c>
      <c r="AO26">
        <f t="shared" si="13"/>
        <v>350</v>
      </c>
      <c r="AP26">
        <f t="shared" si="46"/>
        <v>110</v>
      </c>
      <c r="AQ26">
        <f t="shared" si="47"/>
        <v>0</v>
      </c>
      <c r="AR26">
        <f t="shared" si="48"/>
        <v>0</v>
      </c>
      <c r="AT26">
        <v>22</v>
      </c>
      <c r="AW26">
        <v>19</v>
      </c>
      <c r="AX26">
        <v>14</v>
      </c>
      <c r="AY26">
        <v>31</v>
      </c>
      <c r="AZ26">
        <f t="shared" si="14"/>
        <v>0</v>
      </c>
      <c r="BA26">
        <f t="shared" si="49"/>
        <v>0</v>
      </c>
      <c r="BB26">
        <f t="shared" si="49"/>
        <v>793</v>
      </c>
      <c r="BC26">
        <f t="shared" si="50"/>
        <v>782</v>
      </c>
      <c r="BD26">
        <f t="shared" si="51"/>
        <v>404</v>
      </c>
      <c r="BF26">
        <v>22</v>
      </c>
      <c r="BG26">
        <v>40</v>
      </c>
      <c r="BH26">
        <v>30</v>
      </c>
      <c r="BI26">
        <v>40</v>
      </c>
      <c r="BK26">
        <f t="shared" si="19"/>
        <v>460</v>
      </c>
      <c r="BL26">
        <f t="shared" si="52"/>
        <v>340</v>
      </c>
      <c r="BM26">
        <f t="shared" si="53"/>
        <v>420</v>
      </c>
      <c r="BN26">
        <f t="shared" si="54"/>
        <v>0</v>
      </c>
      <c r="CM26" s="4" t="s">
        <v>122</v>
      </c>
      <c r="CN26" s="2"/>
      <c r="CO26" s="2"/>
      <c r="CP26" s="2"/>
      <c r="CQ26" s="2" t="s">
        <v>1020</v>
      </c>
      <c r="CR26" s="2"/>
      <c r="CS26" s="2" t="s">
        <v>1021</v>
      </c>
      <c r="CT26" s="2" t="s">
        <v>1022</v>
      </c>
    </row>
    <row r="27" spans="2:123" x14ac:dyDescent="0.25">
      <c r="B27">
        <v>23</v>
      </c>
      <c r="C27">
        <v>15</v>
      </c>
      <c r="D27">
        <v>2</v>
      </c>
      <c r="G27">
        <f t="shared" si="10"/>
        <v>1710</v>
      </c>
      <c r="H27">
        <f t="shared" si="35"/>
        <v>434</v>
      </c>
      <c r="I27">
        <f t="shared" si="36"/>
        <v>168</v>
      </c>
      <c r="J27">
        <f t="shared" si="37"/>
        <v>97</v>
      </c>
      <c r="L27">
        <v>23</v>
      </c>
      <c r="M27">
        <v>50</v>
      </c>
      <c r="N27">
        <v>6</v>
      </c>
      <c r="O27">
        <v>1</v>
      </c>
      <c r="R27">
        <f t="shared" si="11"/>
        <v>3840</v>
      </c>
      <c r="S27">
        <f t="shared" si="38"/>
        <v>691</v>
      </c>
      <c r="T27">
        <f t="shared" si="39"/>
        <v>268</v>
      </c>
      <c r="U27">
        <f t="shared" si="40"/>
        <v>30</v>
      </c>
      <c r="V27">
        <f t="shared" si="41"/>
        <v>90</v>
      </c>
      <c r="X27">
        <v>23</v>
      </c>
      <c r="Y27">
        <v>100</v>
      </c>
      <c r="Z27">
        <v>40</v>
      </c>
      <c r="AA27">
        <v>40</v>
      </c>
      <c r="AB27">
        <v>80</v>
      </c>
      <c r="AD27">
        <f t="shared" si="12"/>
        <v>3700</v>
      </c>
      <c r="AE27">
        <f t="shared" si="42"/>
        <v>980</v>
      </c>
      <c r="AF27">
        <f t="shared" si="43"/>
        <v>1260</v>
      </c>
      <c r="AG27">
        <f t="shared" si="44"/>
        <v>1960</v>
      </c>
      <c r="AH27">
        <f t="shared" si="45"/>
        <v>640</v>
      </c>
      <c r="AJ27">
        <v>23</v>
      </c>
      <c r="AK27">
        <v>40</v>
      </c>
      <c r="AL27">
        <v>10</v>
      </c>
      <c r="AO27">
        <f t="shared" si="13"/>
        <v>310</v>
      </c>
      <c r="AP27">
        <f t="shared" si="46"/>
        <v>100</v>
      </c>
      <c r="AQ27">
        <f t="shared" si="47"/>
        <v>0</v>
      </c>
      <c r="AR27">
        <f t="shared" si="48"/>
        <v>0</v>
      </c>
      <c r="AT27">
        <v>23</v>
      </c>
      <c r="AW27">
        <v>26</v>
      </c>
      <c r="AX27">
        <v>20</v>
      </c>
      <c r="AY27">
        <v>34</v>
      </c>
      <c r="AZ27">
        <f t="shared" si="14"/>
        <v>0</v>
      </c>
      <c r="BA27">
        <f t="shared" si="49"/>
        <v>0</v>
      </c>
      <c r="BB27">
        <f t="shared" si="49"/>
        <v>767</v>
      </c>
      <c r="BC27">
        <f t="shared" si="50"/>
        <v>762</v>
      </c>
      <c r="BD27">
        <f t="shared" si="51"/>
        <v>370</v>
      </c>
      <c r="BF27">
        <v>23</v>
      </c>
      <c r="BG27">
        <v>40</v>
      </c>
      <c r="BH27">
        <v>30</v>
      </c>
      <c r="BI27">
        <v>40</v>
      </c>
      <c r="BK27">
        <f t="shared" si="19"/>
        <v>420</v>
      </c>
      <c r="BL27">
        <f t="shared" si="52"/>
        <v>310</v>
      </c>
      <c r="BM27">
        <f t="shared" si="53"/>
        <v>380</v>
      </c>
      <c r="BN27">
        <f t="shared" si="54"/>
        <v>0</v>
      </c>
    </row>
    <row r="28" spans="2:123" x14ac:dyDescent="0.25">
      <c r="B28">
        <v>24</v>
      </c>
      <c r="C28">
        <v>20</v>
      </c>
      <c r="D28">
        <v>2</v>
      </c>
      <c r="G28">
        <f t="shared" si="10"/>
        <v>1690</v>
      </c>
      <c r="H28">
        <f t="shared" si="35"/>
        <v>432</v>
      </c>
      <c r="I28">
        <f t="shared" si="36"/>
        <v>168</v>
      </c>
      <c r="J28">
        <f t="shared" si="37"/>
        <v>97</v>
      </c>
      <c r="L28">
        <v>24</v>
      </c>
      <c r="M28">
        <v>70</v>
      </c>
      <c r="N28">
        <v>8</v>
      </c>
      <c r="O28">
        <v>1</v>
      </c>
      <c r="R28">
        <f t="shared" si="11"/>
        <v>3770</v>
      </c>
      <c r="S28">
        <f t="shared" si="38"/>
        <v>683</v>
      </c>
      <c r="T28">
        <f t="shared" si="39"/>
        <v>267</v>
      </c>
      <c r="U28">
        <f t="shared" si="40"/>
        <v>30</v>
      </c>
      <c r="V28">
        <f t="shared" si="41"/>
        <v>90</v>
      </c>
      <c r="X28">
        <v>24</v>
      </c>
      <c r="Y28">
        <v>150</v>
      </c>
      <c r="Z28">
        <v>50</v>
      </c>
      <c r="AA28">
        <v>50</v>
      </c>
      <c r="AB28">
        <v>100</v>
      </c>
      <c r="AD28">
        <f t="shared" si="12"/>
        <v>3550</v>
      </c>
      <c r="AE28">
        <f t="shared" si="42"/>
        <v>930</v>
      </c>
      <c r="AF28">
        <f t="shared" si="43"/>
        <v>1210</v>
      </c>
      <c r="AG28">
        <f t="shared" si="44"/>
        <v>1860</v>
      </c>
      <c r="AH28">
        <f t="shared" si="45"/>
        <v>640</v>
      </c>
      <c r="AJ28">
        <v>24</v>
      </c>
      <c r="AK28">
        <v>40</v>
      </c>
      <c r="AL28">
        <v>10</v>
      </c>
      <c r="AO28">
        <f t="shared" si="13"/>
        <v>270</v>
      </c>
      <c r="AP28">
        <f t="shared" si="46"/>
        <v>90</v>
      </c>
      <c r="AQ28">
        <f t="shared" si="47"/>
        <v>0</v>
      </c>
      <c r="AR28">
        <f t="shared" si="48"/>
        <v>0</v>
      </c>
      <c r="AT28">
        <v>24</v>
      </c>
      <c r="AW28">
        <v>35</v>
      </c>
      <c r="AX28">
        <v>29</v>
      </c>
      <c r="AY28">
        <v>37</v>
      </c>
      <c r="AZ28">
        <f t="shared" si="14"/>
        <v>0</v>
      </c>
      <c r="BA28">
        <f t="shared" si="49"/>
        <v>0</v>
      </c>
      <c r="BB28">
        <f t="shared" si="49"/>
        <v>732</v>
      </c>
      <c r="BC28">
        <f t="shared" si="50"/>
        <v>733</v>
      </c>
      <c r="BD28">
        <f t="shared" si="51"/>
        <v>333</v>
      </c>
      <c r="BF28">
        <v>24</v>
      </c>
      <c r="BG28">
        <v>50</v>
      </c>
      <c r="BH28">
        <v>30</v>
      </c>
      <c r="BI28">
        <v>40</v>
      </c>
      <c r="BK28">
        <f t="shared" si="19"/>
        <v>370</v>
      </c>
      <c r="BL28">
        <f t="shared" si="52"/>
        <v>280</v>
      </c>
      <c r="BM28">
        <f t="shared" si="53"/>
        <v>340</v>
      </c>
      <c r="BN28">
        <f t="shared" si="54"/>
        <v>0</v>
      </c>
      <c r="CU28">
        <v>20</v>
      </c>
    </row>
    <row r="29" spans="2:123" x14ac:dyDescent="0.25">
      <c r="B29">
        <v>25</v>
      </c>
      <c r="C29">
        <v>20</v>
      </c>
      <c r="D29">
        <v>2</v>
      </c>
      <c r="G29">
        <f t="shared" si="10"/>
        <v>1670</v>
      </c>
      <c r="H29">
        <f t="shared" si="35"/>
        <v>430</v>
      </c>
      <c r="I29">
        <f t="shared" si="36"/>
        <v>168</v>
      </c>
      <c r="J29">
        <f t="shared" si="37"/>
        <v>97</v>
      </c>
      <c r="L29">
        <v>25</v>
      </c>
      <c r="M29">
        <v>70</v>
      </c>
      <c r="N29">
        <v>8</v>
      </c>
      <c r="O29">
        <v>1</v>
      </c>
      <c r="R29">
        <f t="shared" si="11"/>
        <v>3700</v>
      </c>
      <c r="S29">
        <f t="shared" si="38"/>
        <v>675</v>
      </c>
      <c r="T29">
        <f t="shared" si="39"/>
        <v>266</v>
      </c>
      <c r="U29">
        <f t="shared" si="40"/>
        <v>30</v>
      </c>
      <c r="V29">
        <f t="shared" si="41"/>
        <v>90</v>
      </c>
      <c r="X29">
        <v>25</v>
      </c>
      <c r="Y29">
        <v>150</v>
      </c>
      <c r="Z29">
        <v>50</v>
      </c>
      <c r="AA29">
        <v>60</v>
      </c>
      <c r="AB29">
        <v>100</v>
      </c>
      <c r="AD29">
        <f t="shared" si="12"/>
        <v>3400</v>
      </c>
      <c r="AE29">
        <f t="shared" si="42"/>
        <v>880</v>
      </c>
      <c r="AF29">
        <f t="shared" si="43"/>
        <v>1150</v>
      </c>
      <c r="AG29">
        <f t="shared" si="44"/>
        <v>1760</v>
      </c>
      <c r="AH29">
        <f t="shared" si="45"/>
        <v>640</v>
      </c>
      <c r="AJ29">
        <v>25</v>
      </c>
      <c r="AK29">
        <v>40</v>
      </c>
      <c r="AL29">
        <v>10</v>
      </c>
      <c r="AO29">
        <f t="shared" si="13"/>
        <v>230</v>
      </c>
      <c r="AP29">
        <f t="shared" si="46"/>
        <v>80</v>
      </c>
      <c r="AQ29">
        <f t="shared" si="47"/>
        <v>0</v>
      </c>
      <c r="AR29">
        <f t="shared" si="48"/>
        <v>0</v>
      </c>
      <c r="AT29">
        <v>25</v>
      </c>
      <c r="AW29">
        <v>48</v>
      </c>
      <c r="AX29">
        <v>41</v>
      </c>
      <c r="AY29">
        <v>40</v>
      </c>
      <c r="AZ29">
        <f t="shared" si="14"/>
        <v>0</v>
      </c>
      <c r="BA29">
        <f t="shared" si="49"/>
        <v>0</v>
      </c>
      <c r="BB29">
        <f t="shared" si="49"/>
        <v>684</v>
      </c>
      <c r="BC29">
        <f t="shared" si="50"/>
        <v>692</v>
      </c>
      <c r="BD29">
        <f t="shared" si="51"/>
        <v>293</v>
      </c>
      <c r="BF29">
        <v>25</v>
      </c>
      <c r="BG29">
        <v>50</v>
      </c>
      <c r="BH29">
        <v>30</v>
      </c>
      <c r="BI29">
        <v>40</v>
      </c>
      <c r="BK29">
        <f t="shared" si="19"/>
        <v>320</v>
      </c>
      <c r="BL29">
        <f t="shared" si="52"/>
        <v>250</v>
      </c>
      <c r="BM29">
        <f t="shared" si="53"/>
        <v>300</v>
      </c>
      <c r="BN29">
        <f t="shared" si="54"/>
        <v>0</v>
      </c>
      <c r="CU29">
        <f>34+CU28/100*140</f>
        <v>62</v>
      </c>
    </row>
    <row r="30" spans="2:123" x14ac:dyDescent="0.25">
      <c r="B30">
        <v>26</v>
      </c>
      <c r="C30">
        <v>30</v>
      </c>
      <c r="D30">
        <v>3</v>
      </c>
      <c r="E30">
        <v>1</v>
      </c>
      <c r="G30">
        <f t="shared" si="10"/>
        <v>1640</v>
      </c>
      <c r="H30">
        <f t="shared" si="35"/>
        <v>427</v>
      </c>
      <c r="I30">
        <f t="shared" si="36"/>
        <v>167</v>
      </c>
      <c r="J30">
        <f t="shared" si="37"/>
        <v>97</v>
      </c>
      <c r="L30">
        <v>26</v>
      </c>
      <c r="M30">
        <v>100</v>
      </c>
      <c r="N30">
        <v>10</v>
      </c>
      <c r="O30">
        <v>2</v>
      </c>
      <c r="R30">
        <f t="shared" si="11"/>
        <v>3600</v>
      </c>
      <c r="S30">
        <f t="shared" si="38"/>
        <v>665</v>
      </c>
      <c r="T30">
        <f t="shared" si="39"/>
        <v>264</v>
      </c>
      <c r="U30">
        <f t="shared" si="40"/>
        <v>30</v>
      </c>
      <c r="V30">
        <f t="shared" si="41"/>
        <v>90</v>
      </c>
      <c r="X30">
        <v>26</v>
      </c>
      <c r="Y30">
        <v>200</v>
      </c>
      <c r="Z30">
        <v>60</v>
      </c>
      <c r="AA30">
        <v>70</v>
      </c>
      <c r="AB30">
        <v>120</v>
      </c>
      <c r="AC30">
        <v>20</v>
      </c>
      <c r="AD30">
        <f t="shared" si="12"/>
        <v>3200</v>
      </c>
      <c r="AE30">
        <f t="shared" si="42"/>
        <v>820</v>
      </c>
      <c r="AF30">
        <f t="shared" si="43"/>
        <v>1080</v>
      </c>
      <c r="AG30">
        <f t="shared" si="44"/>
        <v>1640</v>
      </c>
      <c r="AH30">
        <f t="shared" si="45"/>
        <v>620</v>
      </c>
      <c r="AJ30">
        <v>26</v>
      </c>
      <c r="AK30">
        <v>45</v>
      </c>
      <c r="AL30">
        <v>15</v>
      </c>
      <c r="AO30">
        <f t="shared" si="13"/>
        <v>185</v>
      </c>
      <c r="AP30">
        <f t="shared" si="46"/>
        <v>65</v>
      </c>
      <c r="AQ30">
        <f t="shared" si="47"/>
        <v>0</v>
      </c>
      <c r="AR30">
        <f t="shared" si="48"/>
        <v>0</v>
      </c>
      <c r="AT30">
        <v>26</v>
      </c>
      <c r="AW30">
        <v>66</v>
      </c>
      <c r="AX30">
        <v>60</v>
      </c>
      <c r="AY30">
        <v>45</v>
      </c>
      <c r="AZ30">
        <f t="shared" si="14"/>
        <v>0</v>
      </c>
      <c r="BA30">
        <f t="shared" si="49"/>
        <v>0</v>
      </c>
      <c r="BB30">
        <f t="shared" si="49"/>
        <v>618</v>
      </c>
      <c r="BC30">
        <f t="shared" si="50"/>
        <v>632</v>
      </c>
      <c r="BD30">
        <f t="shared" si="51"/>
        <v>248</v>
      </c>
      <c r="BF30">
        <v>26</v>
      </c>
      <c r="BG30">
        <v>60</v>
      </c>
      <c r="BH30">
        <v>50</v>
      </c>
      <c r="BI30">
        <v>60</v>
      </c>
      <c r="BK30">
        <f t="shared" si="19"/>
        <v>260</v>
      </c>
      <c r="BL30">
        <f t="shared" si="52"/>
        <v>200</v>
      </c>
      <c r="BM30">
        <f t="shared" si="53"/>
        <v>240</v>
      </c>
      <c r="BN30">
        <f t="shared" si="54"/>
        <v>0</v>
      </c>
      <c r="CU30">
        <f>3000/CU29</f>
        <v>48.387096774193552</v>
      </c>
    </row>
    <row r="31" spans="2:123" x14ac:dyDescent="0.25">
      <c r="B31">
        <v>27</v>
      </c>
      <c r="C31">
        <v>30</v>
      </c>
      <c r="D31">
        <v>3</v>
      </c>
      <c r="E31">
        <v>1</v>
      </c>
      <c r="G31">
        <f t="shared" si="10"/>
        <v>1610</v>
      </c>
      <c r="H31">
        <f t="shared" si="35"/>
        <v>424</v>
      </c>
      <c r="I31">
        <f t="shared" si="36"/>
        <v>166</v>
      </c>
      <c r="J31">
        <f t="shared" si="37"/>
        <v>97</v>
      </c>
      <c r="L31">
        <v>27</v>
      </c>
      <c r="M31">
        <v>100</v>
      </c>
      <c r="N31">
        <v>10</v>
      </c>
      <c r="O31">
        <v>2</v>
      </c>
      <c r="R31">
        <f t="shared" si="11"/>
        <v>3500</v>
      </c>
      <c r="S31">
        <f t="shared" si="38"/>
        <v>655</v>
      </c>
      <c r="T31">
        <f t="shared" si="39"/>
        <v>262</v>
      </c>
      <c r="U31">
        <f t="shared" si="40"/>
        <v>30</v>
      </c>
      <c r="V31">
        <f t="shared" si="41"/>
        <v>90</v>
      </c>
      <c r="X31">
        <v>27</v>
      </c>
      <c r="Y31">
        <v>200</v>
      </c>
      <c r="Z31">
        <v>60</v>
      </c>
      <c r="AA31">
        <v>80</v>
      </c>
      <c r="AB31">
        <v>120</v>
      </c>
      <c r="AC31">
        <v>30</v>
      </c>
      <c r="AD31">
        <f t="shared" si="12"/>
        <v>3000</v>
      </c>
      <c r="AE31">
        <f t="shared" si="42"/>
        <v>760</v>
      </c>
      <c r="AF31">
        <f t="shared" si="43"/>
        <v>1000</v>
      </c>
      <c r="AG31">
        <f t="shared" si="44"/>
        <v>1520</v>
      </c>
      <c r="AH31">
        <f t="shared" si="45"/>
        <v>590</v>
      </c>
      <c r="AJ31">
        <v>27</v>
      </c>
      <c r="AK31">
        <v>45</v>
      </c>
      <c r="AL31">
        <v>15</v>
      </c>
      <c r="AO31">
        <f t="shared" si="13"/>
        <v>140</v>
      </c>
      <c r="AP31">
        <f t="shared" si="46"/>
        <v>50</v>
      </c>
      <c r="AQ31">
        <f t="shared" si="47"/>
        <v>0</v>
      </c>
      <c r="AR31">
        <f t="shared" si="48"/>
        <v>0</v>
      </c>
      <c r="AT31">
        <v>27</v>
      </c>
      <c r="AW31">
        <v>91</v>
      </c>
      <c r="AX31">
        <v>86</v>
      </c>
      <c r="AY31">
        <v>50</v>
      </c>
      <c r="AZ31">
        <f t="shared" si="14"/>
        <v>0</v>
      </c>
      <c r="BA31">
        <f t="shared" si="49"/>
        <v>0</v>
      </c>
      <c r="BB31">
        <f t="shared" si="49"/>
        <v>527</v>
      </c>
      <c r="BC31">
        <f t="shared" si="50"/>
        <v>546</v>
      </c>
      <c r="BD31">
        <f t="shared" si="51"/>
        <v>198</v>
      </c>
      <c r="BF31">
        <v>27</v>
      </c>
      <c r="BG31">
        <v>60</v>
      </c>
      <c r="BH31">
        <v>50</v>
      </c>
      <c r="BI31">
        <v>60</v>
      </c>
      <c r="BK31">
        <f t="shared" si="19"/>
        <v>200</v>
      </c>
      <c r="BL31">
        <f t="shared" si="52"/>
        <v>150</v>
      </c>
      <c r="BM31">
        <f t="shared" si="53"/>
        <v>180</v>
      </c>
      <c r="BN31">
        <f t="shared" si="54"/>
        <v>0</v>
      </c>
    </row>
    <row r="32" spans="2:123" x14ac:dyDescent="0.25">
      <c r="B32">
        <v>28</v>
      </c>
      <c r="C32">
        <v>30</v>
      </c>
      <c r="D32">
        <v>3</v>
      </c>
      <c r="E32">
        <v>1</v>
      </c>
      <c r="G32">
        <f t="shared" si="10"/>
        <v>1580</v>
      </c>
      <c r="H32">
        <f t="shared" si="35"/>
        <v>421</v>
      </c>
      <c r="I32">
        <f t="shared" si="36"/>
        <v>165</v>
      </c>
      <c r="J32">
        <f t="shared" si="37"/>
        <v>97</v>
      </c>
      <c r="L32">
        <v>28</v>
      </c>
      <c r="M32">
        <v>100</v>
      </c>
      <c r="N32">
        <v>10</v>
      </c>
      <c r="O32">
        <v>2</v>
      </c>
      <c r="R32">
        <f t="shared" si="11"/>
        <v>3400</v>
      </c>
      <c r="S32">
        <f t="shared" si="38"/>
        <v>645</v>
      </c>
      <c r="T32">
        <f t="shared" si="39"/>
        <v>260</v>
      </c>
      <c r="U32">
        <f t="shared" si="40"/>
        <v>30</v>
      </c>
      <c r="V32">
        <f t="shared" si="41"/>
        <v>90</v>
      </c>
      <c r="X32">
        <v>28</v>
      </c>
      <c r="Y32">
        <v>200</v>
      </c>
      <c r="Z32">
        <v>60</v>
      </c>
      <c r="AA32">
        <v>90</v>
      </c>
      <c r="AB32">
        <v>120</v>
      </c>
      <c r="AC32">
        <v>40</v>
      </c>
      <c r="AD32">
        <f t="shared" si="12"/>
        <v>2800</v>
      </c>
      <c r="AE32">
        <f t="shared" si="42"/>
        <v>700</v>
      </c>
      <c r="AF32">
        <f t="shared" si="43"/>
        <v>910</v>
      </c>
      <c r="AG32">
        <f t="shared" si="44"/>
        <v>1400</v>
      </c>
      <c r="AH32">
        <f t="shared" si="45"/>
        <v>550</v>
      </c>
      <c r="AJ32">
        <v>28</v>
      </c>
      <c r="AK32">
        <v>45</v>
      </c>
      <c r="AL32">
        <v>15</v>
      </c>
      <c r="AO32">
        <f t="shared" si="13"/>
        <v>95</v>
      </c>
      <c r="AP32">
        <f t="shared" si="46"/>
        <v>35</v>
      </c>
      <c r="AQ32">
        <f t="shared" si="47"/>
        <v>0</v>
      </c>
      <c r="AR32">
        <f t="shared" si="48"/>
        <v>0</v>
      </c>
      <c r="AT32">
        <v>28</v>
      </c>
      <c r="AW32">
        <v>124</v>
      </c>
      <c r="AX32">
        <v>122</v>
      </c>
      <c r="AY32">
        <v>60</v>
      </c>
      <c r="AZ32">
        <f t="shared" si="14"/>
        <v>0</v>
      </c>
      <c r="BA32">
        <f t="shared" si="49"/>
        <v>0</v>
      </c>
      <c r="BB32">
        <f t="shared" si="49"/>
        <v>403</v>
      </c>
      <c r="BC32">
        <f t="shared" si="50"/>
        <v>424</v>
      </c>
      <c r="BD32">
        <f t="shared" si="51"/>
        <v>138</v>
      </c>
      <c r="BF32">
        <v>28</v>
      </c>
      <c r="BG32">
        <v>60</v>
      </c>
      <c r="BH32">
        <v>50</v>
      </c>
      <c r="BI32">
        <v>60</v>
      </c>
      <c r="BK32">
        <f t="shared" si="19"/>
        <v>140</v>
      </c>
      <c r="BL32">
        <f t="shared" si="52"/>
        <v>100</v>
      </c>
      <c r="BM32">
        <f t="shared" si="53"/>
        <v>120</v>
      </c>
      <c r="BN32">
        <f t="shared" si="54"/>
        <v>0</v>
      </c>
      <c r="CU32">
        <f>5*12*34</f>
        <v>2040</v>
      </c>
    </row>
    <row r="33" spans="2:99" x14ac:dyDescent="0.25">
      <c r="B33">
        <v>29</v>
      </c>
      <c r="C33">
        <v>40</v>
      </c>
      <c r="D33">
        <v>3</v>
      </c>
      <c r="E33">
        <v>1</v>
      </c>
      <c r="G33">
        <f t="shared" si="10"/>
        <v>1540</v>
      </c>
      <c r="H33">
        <f t="shared" si="35"/>
        <v>418</v>
      </c>
      <c r="I33">
        <f t="shared" si="36"/>
        <v>164</v>
      </c>
      <c r="J33">
        <f t="shared" si="37"/>
        <v>97</v>
      </c>
      <c r="L33">
        <v>29</v>
      </c>
      <c r="M33">
        <v>150</v>
      </c>
      <c r="N33">
        <v>12</v>
      </c>
      <c r="O33">
        <v>3</v>
      </c>
      <c r="R33">
        <f t="shared" si="11"/>
        <v>3250</v>
      </c>
      <c r="S33">
        <f t="shared" si="38"/>
        <v>633</v>
      </c>
      <c r="T33">
        <f t="shared" si="39"/>
        <v>257</v>
      </c>
      <c r="U33">
        <f t="shared" si="40"/>
        <v>30</v>
      </c>
      <c r="V33">
        <f t="shared" si="41"/>
        <v>90</v>
      </c>
      <c r="X33">
        <v>29</v>
      </c>
      <c r="Y33">
        <v>300</v>
      </c>
      <c r="Z33">
        <v>80</v>
      </c>
      <c r="AA33">
        <v>100</v>
      </c>
      <c r="AB33">
        <v>160</v>
      </c>
      <c r="AC33">
        <v>50</v>
      </c>
      <c r="AD33">
        <f t="shared" si="12"/>
        <v>2500</v>
      </c>
      <c r="AE33">
        <f t="shared" si="42"/>
        <v>620</v>
      </c>
      <c r="AF33">
        <f t="shared" si="43"/>
        <v>810</v>
      </c>
      <c r="AG33">
        <f t="shared" si="44"/>
        <v>1240</v>
      </c>
      <c r="AH33">
        <f t="shared" si="45"/>
        <v>500</v>
      </c>
      <c r="AJ33">
        <v>29</v>
      </c>
      <c r="AK33">
        <v>45</v>
      </c>
      <c r="AL33">
        <v>15</v>
      </c>
      <c r="AO33">
        <f t="shared" si="13"/>
        <v>50</v>
      </c>
      <c r="AP33">
        <f t="shared" si="46"/>
        <v>20</v>
      </c>
      <c r="AQ33">
        <f t="shared" si="47"/>
        <v>0</v>
      </c>
      <c r="AR33">
        <f t="shared" si="48"/>
        <v>0</v>
      </c>
      <c r="AT33">
        <v>29</v>
      </c>
      <c r="AW33">
        <v>170</v>
      </c>
      <c r="AX33">
        <v>174</v>
      </c>
      <c r="AY33">
        <v>66</v>
      </c>
      <c r="AZ33">
        <f t="shared" si="14"/>
        <v>0</v>
      </c>
      <c r="BA33">
        <f t="shared" si="49"/>
        <v>0</v>
      </c>
      <c r="BB33">
        <f t="shared" si="49"/>
        <v>233</v>
      </c>
      <c r="BC33">
        <f t="shared" si="50"/>
        <v>250</v>
      </c>
      <c r="BD33">
        <f t="shared" si="51"/>
        <v>72</v>
      </c>
      <c r="BF33">
        <v>29</v>
      </c>
      <c r="BG33">
        <v>70</v>
      </c>
      <c r="BH33">
        <v>50</v>
      </c>
      <c r="BI33">
        <v>60</v>
      </c>
      <c r="BK33">
        <f t="shared" si="19"/>
        <v>70</v>
      </c>
      <c r="BL33">
        <f t="shared" si="52"/>
        <v>50</v>
      </c>
      <c r="BM33">
        <f t="shared" si="53"/>
        <v>60</v>
      </c>
      <c r="BN33">
        <f t="shared" si="54"/>
        <v>0</v>
      </c>
      <c r="CU33">
        <f>960/140</f>
        <v>6.8571428571428568</v>
      </c>
    </row>
    <row r="34" spans="2:99" x14ac:dyDescent="0.25">
      <c r="B34">
        <v>30</v>
      </c>
      <c r="C34">
        <v>40</v>
      </c>
      <c r="D34">
        <v>3</v>
      </c>
      <c r="E34">
        <v>1</v>
      </c>
      <c r="G34">
        <f t="shared" si="10"/>
        <v>1500</v>
      </c>
      <c r="H34">
        <f t="shared" si="35"/>
        <v>415</v>
      </c>
      <c r="I34">
        <f t="shared" si="36"/>
        <v>163</v>
      </c>
      <c r="J34">
        <f t="shared" si="37"/>
        <v>97</v>
      </c>
      <c r="L34">
        <v>30</v>
      </c>
      <c r="M34">
        <v>150</v>
      </c>
      <c r="N34">
        <v>12</v>
      </c>
      <c r="O34">
        <v>3</v>
      </c>
      <c r="R34">
        <f t="shared" si="11"/>
        <v>3100</v>
      </c>
      <c r="S34">
        <f t="shared" si="38"/>
        <v>621</v>
      </c>
      <c r="T34">
        <f t="shared" si="39"/>
        <v>254</v>
      </c>
      <c r="U34">
        <f t="shared" si="40"/>
        <v>30</v>
      </c>
      <c r="V34">
        <f t="shared" si="41"/>
        <v>90</v>
      </c>
      <c r="X34">
        <v>30</v>
      </c>
      <c r="Y34">
        <v>300</v>
      </c>
      <c r="Z34">
        <v>80</v>
      </c>
      <c r="AA34">
        <v>110</v>
      </c>
      <c r="AB34">
        <v>160</v>
      </c>
      <c r="AC34">
        <v>60</v>
      </c>
      <c r="AD34">
        <f t="shared" si="12"/>
        <v>2200</v>
      </c>
      <c r="AE34">
        <f t="shared" si="42"/>
        <v>540</v>
      </c>
      <c r="AF34">
        <f t="shared" si="43"/>
        <v>700</v>
      </c>
      <c r="AG34">
        <f t="shared" si="44"/>
        <v>1080</v>
      </c>
      <c r="AH34">
        <f t="shared" si="45"/>
        <v>440</v>
      </c>
      <c r="AJ34">
        <v>30</v>
      </c>
      <c r="AK34">
        <v>50</v>
      </c>
      <c r="AL34">
        <v>20</v>
      </c>
      <c r="AO34">
        <f t="shared" si="13"/>
        <v>0</v>
      </c>
      <c r="AP34">
        <f t="shared" si="46"/>
        <v>0</v>
      </c>
      <c r="AQ34">
        <f t="shared" si="47"/>
        <v>0</v>
      </c>
      <c r="AR34">
        <f t="shared" si="48"/>
        <v>0</v>
      </c>
      <c r="AT34">
        <v>30</v>
      </c>
      <c r="AW34">
        <v>233</v>
      </c>
      <c r="AX34">
        <v>250</v>
      </c>
      <c r="AY34">
        <v>72</v>
      </c>
      <c r="AZ34">
        <f t="shared" si="14"/>
        <v>0</v>
      </c>
      <c r="BA34">
        <f t="shared" si="49"/>
        <v>0</v>
      </c>
      <c r="BB34">
        <f t="shared" si="49"/>
        <v>0</v>
      </c>
      <c r="BC34">
        <f t="shared" si="50"/>
        <v>0</v>
      </c>
      <c r="BD34">
        <f t="shared" si="51"/>
        <v>0</v>
      </c>
      <c r="BF34">
        <v>30</v>
      </c>
      <c r="BG34">
        <v>70</v>
      </c>
      <c r="BH34">
        <v>50</v>
      </c>
      <c r="BI34">
        <v>60</v>
      </c>
      <c r="BK34">
        <f t="shared" si="19"/>
        <v>0</v>
      </c>
      <c r="BL34">
        <f t="shared" si="52"/>
        <v>0</v>
      </c>
      <c r="BM34">
        <f t="shared" si="53"/>
        <v>0</v>
      </c>
      <c r="BN34">
        <f t="shared" si="54"/>
        <v>0</v>
      </c>
    </row>
    <row r="35" spans="2:99" x14ac:dyDescent="0.25">
      <c r="B35">
        <v>31</v>
      </c>
      <c r="C35">
        <v>50</v>
      </c>
      <c r="D35">
        <v>5</v>
      </c>
      <c r="E35">
        <v>2</v>
      </c>
      <c r="F35">
        <v>1</v>
      </c>
      <c r="G35">
        <f t="shared" si="10"/>
        <v>1450</v>
      </c>
      <c r="H35">
        <f t="shared" si="35"/>
        <v>410</v>
      </c>
      <c r="I35">
        <f t="shared" si="36"/>
        <v>161</v>
      </c>
      <c r="J35">
        <f t="shared" si="37"/>
        <v>96</v>
      </c>
      <c r="L35">
        <v>31</v>
      </c>
      <c r="M35">
        <v>200</v>
      </c>
      <c r="N35">
        <v>15</v>
      </c>
      <c r="O35">
        <v>5</v>
      </c>
      <c r="R35">
        <f t="shared" si="11"/>
        <v>2900</v>
      </c>
      <c r="S35">
        <f t="shared" si="38"/>
        <v>606</v>
      </c>
      <c r="T35">
        <f t="shared" si="39"/>
        <v>249</v>
      </c>
      <c r="U35">
        <f t="shared" si="40"/>
        <v>30</v>
      </c>
      <c r="V35">
        <f t="shared" si="41"/>
        <v>90</v>
      </c>
      <c r="X35">
        <v>31</v>
      </c>
      <c r="Y35">
        <v>400</v>
      </c>
      <c r="Z35">
        <v>100</v>
      </c>
      <c r="AA35">
        <v>120</v>
      </c>
      <c r="AB35">
        <v>200</v>
      </c>
      <c r="AC35">
        <v>80</v>
      </c>
      <c r="AD35">
        <f t="shared" si="12"/>
        <v>1800</v>
      </c>
      <c r="AE35">
        <f t="shared" si="42"/>
        <v>440</v>
      </c>
      <c r="AF35">
        <f t="shared" si="43"/>
        <v>580</v>
      </c>
      <c r="AG35">
        <f t="shared" si="44"/>
        <v>880</v>
      </c>
      <c r="AH35">
        <f t="shared" si="45"/>
        <v>360</v>
      </c>
      <c r="AJ35">
        <v>31</v>
      </c>
      <c r="AO35">
        <f t="shared" si="13"/>
        <v>0</v>
      </c>
      <c r="AP35">
        <f t="shared" si="46"/>
        <v>0</v>
      </c>
      <c r="AQ35">
        <f t="shared" si="47"/>
        <v>0</v>
      </c>
      <c r="AR35">
        <f t="shared" si="48"/>
        <v>0</v>
      </c>
      <c r="AT35">
        <v>31</v>
      </c>
      <c r="AZ35">
        <f t="shared" si="14"/>
        <v>0</v>
      </c>
      <c r="BA35">
        <f t="shared" si="49"/>
        <v>0</v>
      </c>
      <c r="BB35">
        <f t="shared" si="49"/>
        <v>0</v>
      </c>
      <c r="BC35">
        <f t="shared" si="50"/>
        <v>0</v>
      </c>
      <c r="BD35">
        <f t="shared" si="51"/>
        <v>0</v>
      </c>
      <c r="BF35">
        <v>31</v>
      </c>
      <c r="BK35">
        <f t="shared" si="19"/>
        <v>0</v>
      </c>
      <c r="BL35">
        <f t="shared" si="52"/>
        <v>0</v>
      </c>
      <c r="BM35">
        <f t="shared" si="53"/>
        <v>0</v>
      </c>
      <c r="BN35">
        <f t="shared" si="54"/>
        <v>0</v>
      </c>
    </row>
    <row r="36" spans="2:99" x14ac:dyDescent="0.25">
      <c r="B36">
        <v>32</v>
      </c>
      <c r="C36">
        <v>55</v>
      </c>
      <c r="D36">
        <v>10</v>
      </c>
      <c r="E36">
        <v>4</v>
      </c>
      <c r="F36">
        <v>2</v>
      </c>
      <c r="G36">
        <f t="shared" si="10"/>
        <v>1395</v>
      </c>
      <c r="H36">
        <f t="shared" si="35"/>
        <v>400</v>
      </c>
      <c r="I36">
        <f t="shared" si="36"/>
        <v>157</v>
      </c>
      <c r="J36">
        <f t="shared" si="37"/>
        <v>94</v>
      </c>
      <c r="L36">
        <v>32</v>
      </c>
      <c r="M36">
        <v>200</v>
      </c>
      <c r="N36">
        <v>15</v>
      </c>
      <c r="O36">
        <v>5</v>
      </c>
      <c r="R36">
        <f t="shared" si="11"/>
        <v>2700</v>
      </c>
      <c r="S36">
        <f t="shared" si="38"/>
        <v>591</v>
      </c>
      <c r="T36">
        <f t="shared" si="39"/>
        <v>244</v>
      </c>
      <c r="U36">
        <f t="shared" ref="U36:U44" si="56">U35-P36</f>
        <v>30</v>
      </c>
      <c r="V36">
        <f t="shared" si="41"/>
        <v>90</v>
      </c>
      <c r="X36">
        <v>32</v>
      </c>
      <c r="Y36">
        <v>400</v>
      </c>
      <c r="Z36">
        <v>100</v>
      </c>
      <c r="AA36">
        <v>130</v>
      </c>
      <c r="AB36">
        <v>200</v>
      </c>
      <c r="AC36">
        <v>80</v>
      </c>
      <c r="AD36">
        <f t="shared" si="12"/>
        <v>1400</v>
      </c>
      <c r="AE36">
        <f t="shared" si="42"/>
        <v>340</v>
      </c>
      <c r="AF36">
        <f t="shared" si="43"/>
        <v>450</v>
      </c>
      <c r="AG36">
        <f t="shared" si="44"/>
        <v>680</v>
      </c>
      <c r="AH36">
        <f t="shared" si="45"/>
        <v>280</v>
      </c>
      <c r="AJ36">
        <v>32</v>
      </c>
      <c r="AO36">
        <f t="shared" si="13"/>
        <v>0</v>
      </c>
      <c r="AP36">
        <f t="shared" si="46"/>
        <v>0</v>
      </c>
      <c r="AQ36">
        <f t="shared" si="47"/>
        <v>0</v>
      </c>
      <c r="AR36">
        <f t="shared" si="48"/>
        <v>0</v>
      </c>
      <c r="AT36">
        <v>32</v>
      </c>
      <c r="AZ36">
        <f t="shared" si="14"/>
        <v>0</v>
      </c>
      <c r="BA36">
        <f t="shared" si="49"/>
        <v>0</v>
      </c>
      <c r="BB36">
        <f t="shared" si="49"/>
        <v>0</v>
      </c>
      <c r="BC36">
        <f t="shared" si="50"/>
        <v>0</v>
      </c>
      <c r="BD36">
        <f t="shared" si="51"/>
        <v>0</v>
      </c>
      <c r="BF36">
        <v>32</v>
      </c>
      <c r="BK36">
        <f t="shared" si="19"/>
        <v>0</v>
      </c>
      <c r="BL36">
        <f t="shared" si="52"/>
        <v>0</v>
      </c>
      <c r="BM36">
        <f t="shared" si="53"/>
        <v>0</v>
      </c>
      <c r="BN36">
        <f t="shared" si="54"/>
        <v>0</v>
      </c>
    </row>
    <row r="37" spans="2:99" x14ac:dyDescent="0.25">
      <c r="B37">
        <v>33</v>
      </c>
      <c r="C37">
        <v>65</v>
      </c>
      <c r="D37">
        <v>15</v>
      </c>
      <c r="E37">
        <v>6</v>
      </c>
      <c r="F37">
        <v>3</v>
      </c>
      <c r="G37">
        <f t="shared" si="10"/>
        <v>1330</v>
      </c>
      <c r="H37">
        <f t="shared" si="35"/>
        <v>385</v>
      </c>
      <c r="I37">
        <f t="shared" si="36"/>
        <v>151</v>
      </c>
      <c r="J37">
        <f t="shared" si="37"/>
        <v>91</v>
      </c>
      <c r="L37">
        <v>33</v>
      </c>
      <c r="M37">
        <v>200</v>
      </c>
      <c r="N37">
        <v>15</v>
      </c>
      <c r="O37">
        <v>5</v>
      </c>
      <c r="R37">
        <f t="shared" si="11"/>
        <v>2500</v>
      </c>
      <c r="S37">
        <f t="shared" si="38"/>
        <v>576</v>
      </c>
      <c r="T37">
        <f t="shared" si="39"/>
        <v>239</v>
      </c>
      <c r="U37">
        <f t="shared" si="56"/>
        <v>30</v>
      </c>
      <c r="V37">
        <f t="shared" si="41"/>
        <v>90</v>
      </c>
      <c r="X37">
        <v>33</v>
      </c>
      <c r="Y37">
        <v>400</v>
      </c>
      <c r="Z37">
        <v>100</v>
      </c>
      <c r="AA37">
        <v>140</v>
      </c>
      <c r="AB37">
        <v>200</v>
      </c>
      <c r="AC37">
        <v>80</v>
      </c>
      <c r="AD37">
        <f t="shared" si="12"/>
        <v>1000</v>
      </c>
      <c r="AE37">
        <f t="shared" si="42"/>
        <v>240</v>
      </c>
      <c r="AF37">
        <f t="shared" si="43"/>
        <v>310</v>
      </c>
      <c r="AG37">
        <f t="shared" si="44"/>
        <v>480</v>
      </c>
      <c r="AH37">
        <f t="shared" si="45"/>
        <v>200</v>
      </c>
      <c r="AJ37">
        <v>33</v>
      </c>
      <c r="AO37">
        <f t="shared" si="13"/>
        <v>0</v>
      </c>
      <c r="AP37">
        <f t="shared" si="46"/>
        <v>0</v>
      </c>
      <c r="AQ37">
        <f t="shared" si="47"/>
        <v>0</v>
      </c>
      <c r="AR37">
        <f t="shared" si="48"/>
        <v>0</v>
      </c>
      <c r="AT37">
        <v>33</v>
      </c>
      <c r="AZ37">
        <f t="shared" si="14"/>
        <v>0</v>
      </c>
      <c r="BA37">
        <f t="shared" si="49"/>
        <v>0</v>
      </c>
      <c r="BB37">
        <f t="shared" si="49"/>
        <v>0</v>
      </c>
      <c r="BC37">
        <f t="shared" si="50"/>
        <v>0</v>
      </c>
      <c r="BD37">
        <f t="shared" si="51"/>
        <v>0</v>
      </c>
      <c r="BF37">
        <v>33</v>
      </c>
      <c r="BK37">
        <f t="shared" si="19"/>
        <v>0</v>
      </c>
      <c r="BL37">
        <f t="shared" si="52"/>
        <v>0</v>
      </c>
      <c r="BM37">
        <f t="shared" si="53"/>
        <v>0</v>
      </c>
      <c r="BN37">
        <f t="shared" si="54"/>
        <v>0</v>
      </c>
    </row>
    <row r="38" spans="2:99" x14ac:dyDescent="0.25">
      <c r="B38">
        <v>34</v>
      </c>
      <c r="C38">
        <v>80</v>
      </c>
      <c r="D38">
        <v>20</v>
      </c>
      <c r="E38">
        <v>9</v>
      </c>
      <c r="F38">
        <v>5</v>
      </c>
      <c r="G38">
        <f t="shared" si="10"/>
        <v>1250</v>
      </c>
      <c r="H38">
        <f t="shared" si="35"/>
        <v>365</v>
      </c>
      <c r="I38">
        <f t="shared" si="36"/>
        <v>142</v>
      </c>
      <c r="J38">
        <f t="shared" si="37"/>
        <v>86</v>
      </c>
      <c r="L38">
        <v>34</v>
      </c>
      <c r="M38">
        <v>250</v>
      </c>
      <c r="N38">
        <v>18</v>
      </c>
      <c r="O38">
        <v>7</v>
      </c>
      <c r="R38">
        <f t="shared" si="11"/>
        <v>2250</v>
      </c>
      <c r="S38">
        <f t="shared" si="38"/>
        <v>558</v>
      </c>
      <c r="T38">
        <f t="shared" si="39"/>
        <v>232</v>
      </c>
      <c r="U38">
        <f t="shared" si="56"/>
        <v>30</v>
      </c>
      <c r="V38">
        <f t="shared" si="41"/>
        <v>90</v>
      </c>
      <c r="X38">
        <v>34</v>
      </c>
      <c r="Y38">
        <v>500</v>
      </c>
      <c r="Z38">
        <v>120</v>
      </c>
      <c r="AA38">
        <v>150</v>
      </c>
      <c r="AB38">
        <v>240</v>
      </c>
      <c r="AC38">
        <v>100</v>
      </c>
      <c r="AD38">
        <f t="shared" si="12"/>
        <v>500</v>
      </c>
      <c r="AE38">
        <f t="shared" si="42"/>
        <v>120</v>
      </c>
      <c r="AF38">
        <f t="shared" si="43"/>
        <v>160</v>
      </c>
      <c r="AG38">
        <f t="shared" si="44"/>
        <v>240</v>
      </c>
      <c r="AH38">
        <f t="shared" si="45"/>
        <v>100</v>
      </c>
      <c r="AJ38">
        <v>34</v>
      </c>
      <c r="AO38">
        <f t="shared" si="13"/>
        <v>0</v>
      </c>
      <c r="AP38">
        <f t="shared" si="46"/>
        <v>0</v>
      </c>
      <c r="AQ38">
        <f t="shared" si="47"/>
        <v>0</v>
      </c>
      <c r="AR38">
        <f t="shared" si="48"/>
        <v>0</v>
      </c>
      <c r="AT38">
        <v>34</v>
      </c>
      <c r="AZ38">
        <f t="shared" si="14"/>
        <v>0</v>
      </c>
      <c r="BA38">
        <f t="shared" si="49"/>
        <v>0</v>
      </c>
      <c r="BB38">
        <f t="shared" si="49"/>
        <v>0</v>
      </c>
      <c r="BC38">
        <f t="shared" si="50"/>
        <v>0</v>
      </c>
      <c r="BD38">
        <f t="shared" si="51"/>
        <v>0</v>
      </c>
      <c r="BF38">
        <v>34</v>
      </c>
      <c r="BK38">
        <f t="shared" si="19"/>
        <v>0</v>
      </c>
      <c r="BL38">
        <f t="shared" si="52"/>
        <v>0</v>
      </c>
      <c r="BM38">
        <f t="shared" si="53"/>
        <v>0</v>
      </c>
      <c r="BN38">
        <f t="shared" si="54"/>
        <v>0</v>
      </c>
    </row>
    <row r="39" spans="2:99" x14ac:dyDescent="0.25">
      <c r="B39">
        <v>35</v>
      </c>
      <c r="C39">
        <v>100</v>
      </c>
      <c r="D39">
        <v>30</v>
      </c>
      <c r="E39">
        <v>12</v>
      </c>
      <c r="F39">
        <v>7</v>
      </c>
      <c r="G39">
        <f t="shared" si="10"/>
        <v>1150</v>
      </c>
      <c r="H39">
        <f t="shared" si="35"/>
        <v>335</v>
      </c>
      <c r="I39">
        <f t="shared" si="36"/>
        <v>130</v>
      </c>
      <c r="J39">
        <f t="shared" si="37"/>
        <v>79</v>
      </c>
      <c r="L39">
        <v>35</v>
      </c>
      <c r="M39">
        <v>250</v>
      </c>
      <c r="N39">
        <v>18</v>
      </c>
      <c r="O39">
        <v>7</v>
      </c>
      <c r="R39">
        <f t="shared" si="11"/>
        <v>2000</v>
      </c>
      <c r="S39">
        <f t="shared" si="38"/>
        <v>540</v>
      </c>
      <c r="T39">
        <f t="shared" si="39"/>
        <v>225</v>
      </c>
      <c r="U39">
        <f t="shared" si="56"/>
        <v>30</v>
      </c>
      <c r="V39">
        <f t="shared" si="41"/>
        <v>90</v>
      </c>
      <c r="X39">
        <v>35</v>
      </c>
      <c r="Y39">
        <v>500</v>
      </c>
      <c r="Z39">
        <v>120</v>
      </c>
      <c r="AA39">
        <v>160</v>
      </c>
      <c r="AB39">
        <v>240</v>
      </c>
      <c r="AC39">
        <v>100</v>
      </c>
      <c r="AD39">
        <f t="shared" si="12"/>
        <v>0</v>
      </c>
      <c r="AE39">
        <f t="shared" si="42"/>
        <v>0</v>
      </c>
      <c r="AF39">
        <f t="shared" si="43"/>
        <v>0</v>
      </c>
      <c r="AG39">
        <f t="shared" si="44"/>
        <v>0</v>
      </c>
      <c r="AH39">
        <f t="shared" si="45"/>
        <v>0</v>
      </c>
      <c r="AJ39">
        <v>35</v>
      </c>
      <c r="AO39">
        <f t="shared" si="13"/>
        <v>0</v>
      </c>
      <c r="AP39">
        <f t="shared" si="46"/>
        <v>0</v>
      </c>
      <c r="AQ39">
        <f t="shared" si="47"/>
        <v>0</v>
      </c>
      <c r="AR39">
        <f t="shared" si="48"/>
        <v>0</v>
      </c>
      <c r="AT39">
        <v>35</v>
      </c>
      <c r="AZ39">
        <f t="shared" si="14"/>
        <v>0</v>
      </c>
      <c r="BA39">
        <f t="shared" si="49"/>
        <v>0</v>
      </c>
      <c r="BB39">
        <f t="shared" si="49"/>
        <v>0</v>
      </c>
      <c r="BC39">
        <f t="shared" si="50"/>
        <v>0</v>
      </c>
      <c r="BD39">
        <f t="shared" si="51"/>
        <v>0</v>
      </c>
      <c r="BF39">
        <v>35</v>
      </c>
      <c r="BK39">
        <f t="shared" si="19"/>
        <v>0</v>
      </c>
      <c r="BL39">
        <f t="shared" si="52"/>
        <v>0</v>
      </c>
      <c r="BM39">
        <f t="shared" si="53"/>
        <v>0</v>
      </c>
      <c r="BN39">
        <f t="shared" si="54"/>
        <v>0</v>
      </c>
    </row>
    <row r="40" spans="2:99" x14ac:dyDescent="0.25">
      <c r="B40">
        <v>36</v>
      </c>
      <c r="C40">
        <v>130</v>
      </c>
      <c r="D40">
        <v>40</v>
      </c>
      <c r="E40">
        <v>15</v>
      </c>
      <c r="F40">
        <v>9</v>
      </c>
      <c r="G40">
        <f t="shared" si="10"/>
        <v>1020</v>
      </c>
      <c r="H40">
        <f t="shared" si="35"/>
        <v>295</v>
      </c>
      <c r="I40">
        <f t="shared" si="36"/>
        <v>115</v>
      </c>
      <c r="J40">
        <f t="shared" si="37"/>
        <v>70</v>
      </c>
      <c r="L40">
        <v>36</v>
      </c>
      <c r="M40">
        <v>300</v>
      </c>
      <c r="N40">
        <v>36</v>
      </c>
      <c r="O40">
        <v>15</v>
      </c>
      <c r="P40">
        <v>2</v>
      </c>
      <c r="Q40">
        <v>6</v>
      </c>
      <c r="R40">
        <f t="shared" si="11"/>
        <v>1700</v>
      </c>
      <c r="S40">
        <f t="shared" si="38"/>
        <v>504</v>
      </c>
      <c r="T40">
        <f t="shared" si="39"/>
        <v>210</v>
      </c>
      <c r="U40">
        <f t="shared" si="56"/>
        <v>28</v>
      </c>
      <c r="V40">
        <f t="shared" si="41"/>
        <v>84</v>
      </c>
      <c r="X40">
        <v>36</v>
      </c>
      <c r="AD40">
        <f t="shared" si="12"/>
        <v>0</v>
      </c>
      <c r="AE40">
        <f t="shared" si="42"/>
        <v>0</v>
      </c>
      <c r="AF40">
        <f t="shared" si="43"/>
        <v>0</v>
      </c>
      <c r="AG40">
        <f t="shared" si="44"/>
        <v>0</v>
      </c>
      <c r="AH40">
        <f t="shared" si="45"/>
        <v>0</v>
      </c>
      <c r="AJ40">
        <v>36</v>
      </c>
      <c r="AO40">
        <f t="shared" si="13"/>
        <v>0</v>
      </c>
      <c r="AP40">
        <f t="shared" si="46"/>
        <v>0</v>
      </c>
      <c r="AQ40">
        <f t="shared" si="47"/>
        <v>0</v>
      </c>
      <c r="AR40">
        <f t="shared" si="48"/>
        <v>0</v>
      </c>
      <c r="AT40">
        <v>36</v>
      </c>
      <c r="AZ40">
        <f t="shared" si="14"/>
        <v>0</v>
      </c>
      <c r="BA40">
        <f t="shared" si="49"/>
        <v>0</v>
      </c>
      <c r="BB40">
        <f t="shared" si="49"/>
        <v>0</v>
      </c>
      <c r="BC40">
        <f t="shared" si="50"/>
        <v>0</v>
      </c>
      <c r="BD40">
        <f t="shared" si="51"/>
        <v>0</v>
      </c>
      <c r="BF40">
        <v>36</v>
      </c>
      <c r="BK40">
        <f t="shared" si="19"/>
        <v>0</v>
      </c>
      <c r="BL40">
        <f t="shared" si="52"/>
        <v>0</v>
      </c>
      <c r="BM40">
        <f t="shared" si="53"/>
        <v>0</v>
      </c>
      <c r="BN40">
        <f t="shared" si="54"/>
        <v>0</v>
      </c>
    </row>
    <row r="41" spans="2:99" x14ac:dyDescent="0.25">
      <c r="B41">
        <v>37</v>
      </c>
      <c r="C41">
        <v>160</v>
      </c>
      <c r="D41">
        <v>50</v>
      </c>
      <c r="E41">
        <v>20</v>
      </c>
      <c r="F41">
        <v>12</v>
      </c>
      <c r="G41">
        <f t="shared" si="10"/>
        <v>860</v>
      </c>
      <c r="H41">
        <f t="shared" si="35"/>
        <v>245</v>
      </c>
      <c r="I41">
        <f t="shared" si="36"/>
        <v>95</v>
      </c>
      <c r="J41">
        <f t="shared" si="37"/>
        <v>58</v>
      </c>
      <c r="L41">
        <v>37</v>
      </c>
      <c r="M41">
        <v>350</v>
      </c>
      <c r="N41">
        <v>72</v>
      </c>
      <c r="O41">
        <v>30</v>
      </c>
      <c r="P41">
        <v>4</v>
      </c>
      <c r="Q41">
        <v>12</v>
      </c>
      <c r="R41">
        <f t="shared" si="11"/>
        <v>1350</v>
      </c>
      <c r="S41">
        <f t="shared" si="38"/>
        <v>432</v>
      </c>
      <c r="T41">
        <f t="shared" si="39"/>
        <v>180</v>
      </c>
      <c r="U41">
        <f t="shared" si="56"/>
        <v>24</v>
      </c>
      <c r="V41">
        <f t="shared" si="41"/>
        <v>72</v>
      </c>
      <c r="X41">
        <v>37</v>
      </c>
      <c r="AD41">
        <f t="shared" si="12"/>
        <v>0</v>
      </c>
      <c r="AE41">
        <f t="shared" si="42"/>
        <v>0</v>
      </c>
      <c r="AF41">
        <f t="shared" si="43"/>
        <v>0</v>
      </c>
      <c r="AG41">
        <f t="shared" si="44"/>
        <v>0</v>
      </c>
      <c r="AH41">
        <f t="shared" si="45"/>
        <v>0</v>
      </c>
      <c r="AJ41">
        <v>37</v>
      </c>
      <c r="AO41">
        <f t="shared" si="13"/>
        <v>0</v>
      </c>
      <c r="AP41">
        <f t="shared" si="46"/>
        <v>0</v>
      </c>
      <c r="AQ41">
        <f t="shared" si="47"/>
        <v>0</v>
      </c>
      <c r="AR41">
        <f t="shared" si="48"/>
        <v>0</v>
      </c>
      <c r="AT41">
        <v>37</v>
      </c>
      <c r="AZ41">
        <f t="shared" si="14"/>
        <v>0</v>
      </c>
      <c r="BA41">
        <f t="shared" si="49"/>
        <v>0</v>
      </c>
      <c r="BB41">
        <f t="shared" si="49"/>
        <v>0</v>
      </c>
      <c r="BC41">
        <f t="shared" si="50"/>
        <v>0</v>
      </c>
      <c r="BD41">
        <f t="shared" si="51"/>
        <v>0</v>
      </c>
      <c r="BF41">
        <v>37</v>
      </c>
      <c r="BK41">
        <f t="shared" si="19"/>
        <v>0</v>
      </c>
      <c r="BL41">
        <f t="shared" si="52"/>
        <v>0</v>
      </c>
      <c r="BM41">
        <f t="shared" si="53"/>
        <v>0</v>
      </c>
      <c r="BN41">
        <f t="shared" si="54"/>
        <v>0</v>
      </c>
    </row>
    <row r="42" spans="2:99" x14ac:dyDescent="0.25">
      <c r="B42">
        <v>38</v>
      </c>
      <c r="C42">
        <v>200</v>
      </c>
      <c r="D42">
        <v>65</v>
      </c>
      <c r="E42">
        <v>25</v>
      </c>
      <c r="F42">
        <v>15</v>
      </c>
      <c r="G42">
        <f t="shared" si="10"/>
        <v>660</v>
      </c>
      <c r="H42">
        <f t="shared" si="35"/>
        <v>180</v>
      </c>
      <c r="I42">
        <f t="shared" si="36"/>
        <v>70</v>
      </c>
      <c r="J42">
        <f t="shared" si="37"/>
        <v>43</v>
      </c>
      <c r="L42">
        <v>38</v>
      </c>
      <c r="M42">
        <v>400</v>
      </c>
      <c r="N42">
        <v>108</v>
      </c>
      <c r="O42">
        <v>45</v>
      </c>
      <c r="P42">
        <v>6</v>
      </c>
      <c r="Q42">
        <v>18</v>
      </c>
      <c r="R42">
        <f t="shared" si="11"/>
        <v>950</v>
      </c>
      <c r="S42">
        <f t="shared" si="38"/>
        <v>324</v>
      </c>
      <c r="T42">
        <f t="shared" si="39"/>
        <v>135</v>
      </c>
      <c r="U42">
        <f t="shared" si="56"/>
        <v>18</v>
      </c>
      <c r="V42">
        <f t="shared" si="41"/>
        <v>54</v>
      </c>
      <c r="X42">
        <v>38</v>
      </c>
      <c r="AD42">
        <f t="shared" si="12"/>
        <v>0</v>
      </c>
      <c r="AE42">
        <f t="shared" si="42"/>
        <v>0</v>
      </c>
      <c r="AF42">
        <f t="shared" si="43"/>
        <v>0</v>
      </c>
      <c r="AG42">
        <f t="shared" si="44"/>
        <v>0</v>
      </c>
      <c r="AH42">
        <f t="shared" si="45"/>
        <v>0</v>
      </c>
      <c r="AJ42">
        <v>38</v>
      </c>
      <c r="AO42">
        <f t="shared" si="13"/>
        <v>0</v>
      </c>
      <c r="AP42">
        <f t="shared" si="46"/>
        <v>0</v>
      </c>
      <c r="AQ42">
        <f t="shared" si="47"/>
        <v>0</v>
      </c>
      <c r="AR42">
        <f t="shared" si="48"/>
        <v>0</v>
      </c>
      <c r="AT42">
        <v>38</v>
      </c>
      <c r="AZ42">
        <f t="shared" si="14"/>
        <v>0</v>
      </c>
      <c r="BA42">
        <f t="shared" si="49"/>
        <v>0</v>
      </c>
      <c r="BB42">
        <f t="shared" si="49"/>
        <v>0</v>
      </c>
      <c r="BC42">
        <f t="shared" si="50"/>
        <v>0</v>
      </c>
      <c r="BD42">
        <f t="shared" si="51"/>
        <v>0</v>
      </c>
      <c r="BF42">
        <v>38</v>
      </c>
      <c r="BK42">
        <f t="shared" si="19"/>
        <v>0</v>
      </c>
      <c r="BL42">
        <f t="shared" si="52"/>
        <v>0</v>
      </c>
      <c r="BM42">
        <f t="shared" si="53"/>
        <v>0</v>
      </c>
      <c r="BN42">
        <f t="shared" si="54"/>
        <v>0</v>
      </c>
    </row>
    <row r="43" spans="2:99" x14ac:dyDescent="0.25">
      <c r="B43">
        <v>39</v>
      </c>
      <c r="C43">
        <v>260</v>
      </c>
      <c r="D43">
        <v>80</v>
      </c>
      <c r="E43">
        <v>30</v>
      </c>
      <c r="F43">
        <v>18</v>
      </c>
      <c r="G43">
        <f t="shared" si="10"/>
        <v>400</v>
      </c>
      <c r="H43">
        <f t="shared" si="35"/>
        <v>100</v>
      </c>
      <c r="I43">
        <f t="shared" si="36"/>
        <v>40</v>
      </c>
      <c r="J43">
        <f t="shared" si="37"/>
        <v>25</v>
      </c>
      <c r="L43">
        <v>39</v>
      </c>
      <c r="M43">
        <v>450</v>
      </c>
      <c r="N43">
        <v>144</v>
      </c>
      <c r="O43">
        <v>60</v>
      </c>
      <c r="P43">
        <v>8</v>
      </c>
      <c r="Q43">
        <v>24</v>
      </c>
      <c r="R43">
        <f t="shared" si="11"/>
        <v>500</v>
      </c>
      <c r="S43">
        <f t="shared" si="38"/>
        <v>180</v>
      </c>
      <c r="T43">
        <f t="shared" si="39"/>
        <v>75</v>
      </c>
      <c r="U43">
        <f t="shared" si="56"/>
        <v>10</v>
      </c>
      <c r="V43">
        <f t="shared" si="41"/>
        <v>30</v>
      </c>
      <c r="X43">
        <v>39</v>
      </c>
      <c r="AD43">
        <f t="shared" si="12"/>
        <v>0</v>
      </c>
      <c r="AE43">
        <f t="shared" si="42"/>
        <v>0</v>
      </c>
      <c r="AF43">
        <f t="shared" si="43"/>
        <v>0</v>
      </c>
      <c r="AG43">
        <f t="shared" si="44"/>
        <v>0</v>
      </c>
      <c r="AH43">
        <f t="shared" si="45"/>
        <v>0</v>
      </c>
      <c r="AJ43">
        <v>39</v>
      </c>
      <c r="AO43">
        <f t="shared" si="13"/>
        <v>0</v>
      </c>
      <c r="AP43">
        <f t="shared" si="46"/>
        <v>0</v>
      </c>
      <c r="AQ43">
        <f t="shared" si="47"/>
        <v>0</v>
      </c>
      <c r="AR43">
        <f t="shared" si="48"/>
        <v>0</v>
      </c>
      <c r="AT43">
        <v>39</v>
      </c>
      <c r="AZ43">
        <f t="shared" si="14"/>
        <v>0</v>
      </c>
      <c r="BA43">
        <f t="shared" si="49"/>
        <v>0</v>
      </c>
      <c r="BB43">
        <f t="shared" si="49"/>
        <v>0</v>
      </c>
      <c r="BC43">
        <f t="shared" si="50"/>
        <v>0</v>
      </c>
      <c r="BD43">
        <f t="shared" si="51"/>
        <v>0</v>
      </c>
      <c r="BF43">
        <v>39</v>
      </c>
      <c r="BK43">
        <f t="shared" si="19"/>
        <v>0</v>
      </c>
      <c r="BL43">
        <f t="shared" si="52"/>
        <v>0</v>
      </c>
      <c r="BM43">
        <f t="shared" si="53"/>
        <v>0</v>
      </c>
      <c r="BN43">
        <f t="shared" si="54"/>
        <v>0</v>
      </c>
    </row>
    <row r="44" spans="2:99" x14ac:dyDescent="0.25">
      <c r="B44">
        <v>40</v>
      </c>
      <c r="C44">
        <v>400</v>
      </c>
      <c r="D44">
        <v>100</v>
      </c>
      <c r="E44">
        <v>40</v>
      </c>
      <c r="F44">
        <v>25</v>
      </c>
      <c r="G44">
        <f t="shared" si="10"/>
        <v>0</v>
      </c>
      <c r="H44">
        <f t="shared" si="35"/>
        <v>0</v>
      </c>
      <c r="I44">
        <f t="shared" si="36"/>
        <v>0</v>
      </c>
      <c r="J44">
        <f t="shared" si="37"/>
        <v>0</v>
      </c>
      <c r="L44">
        <v>40</v>
      </c>
      <c r="M44">
        <v>500</v>
      </c>
      <c r="N44">
        <v>180</v>
      </c>
      <c r="O44">
        <v>75</v>
      </c>
      <c r="P44">
        <v>10</v>
      </c>
      <c r="Q44">
        <v>30</v>
      </c>
      <c r="R44">
        <f t="shared" si="11"/>
        <v>0</v>
      </c>
      <c r="S44">
        <f t="shared" si="38"/>
        <v>0</v>
      </c>
      <c r="T44">
        <f t="shared" si="39"/>
        <v>0</v>
      </c>
      <c r="U44">
        <f t="shared" si="56"/>
        <v>0</v>
      </c>
      <c r="V44">
        <f t="shared" si="41"/>
        <v>0</v>
      </c>
      <c r="X44">
        <v>40</v>
      </c>
      <c r="AD44">
        <f t="shared" si="12"/>
        <v>0</v>
      </c>
      <c r="AE44">
        <f t="shared" si="42"/>
        <v>0</v>
      </c>
      <c r="AF44">
        <f t="shared" si="43"/>
        <v>0</v>
      </c>
      <c r="AG44">
        <f t="shared" si="44"/>
        <v>0</v>
      </c>
      <c r="AH44">
        <f t="shared" si="45"/>
        <v>0</v>
      </c>
      <c r="AJ44">
        <v>40</v>
      </c>
      <c r="AO44">
        <f t="shared" si="13"/>
        <v>0</v>
      </c>
      <c r="AP44">
        <f t="shared" si="46"/>
        <v>0</v>
      </c>
      <c r="AQ44">
        <f t="shared" si="47"/>
        <v>0</v>
      </c>
      <c r="AR44">
        <f t="shared" si="48"/>
        <v>0</v>
      </c>
      <c r="AT44">
        <v>40</v>
      </c>
      <c r="AZ44">
        <f t="shared" si="14"/>
        <v>0</v>
      </c>
      <c r="BA44">
        <f t="shared" si="49"/>
        <v>0</v>
      </c>
      <c r="BB44">
        <f t="shared" si="49"/>
        <v>0</v>
      </c>
      <c r="BC44">
        <f t="shared" si="50"/>
        <v>0</v>
      </c>
      <c r="BD44">
        <f t="shared" si="51"/>
        <v>0</v>
      </c>
      <c r="BF44">
        <v>40</v>
      </c>
      <c r="BK44">
        <f t="shared" si="19"/>
        <v>0</v>
      </c>
      <c r="BL44">
        <f t="shared" si="52"/>
        <v>0</v>
      </c>
      <c r="BM44">
        <f t="shared" si="53"/>
        <v>0</v>
      </c>
      <c r="BN44">
        <f t="shared" si="54"/>
        <v>0</v>
      </c>
    </row>
    <row r="45" spans="2:99" x14ac:dyDescent="0.25">
      <c r="B45" s="4"/>
    </row>
  </sheetData>
  <mergeCells count="40">
    <mergeCell ref="CN21:CP21"/>
    <mergeCell ref="CQ21:CT21"/>
    <mergeCell ref="CR15:CS15"/>
    <mergeCell ref="BQ23:BQ25"/>
    <mergeCell ref="BQ17:BQ22"/>
    <mergeCell ref="BR17:BR18"/>
    <mergeCell ref="BR19:BR20"/>
    <mergeCell ref="BR21:BR22"/>
    <mergeCell ref="CY4:DA4"/>
    <mergeCell ref="CM5:CM8"/>
    <mergeCell ref="CN4:CS4"/>
    <mergeCell ref="CT4:CX4"/>
    <mergeCell ref="BQ11:BQ16"/>
    <mergeCell ref="BR11:BR12"/>
    <mergeCell ref="BR13:BR14"/>
    <mergeCell ref="BR15:BR16"/>
    <mergeCell ref="BQ4:BR4"/>
    <mergeCell ref="BQ5:BQ10"/>
    <mergeCell ref="BR5:BR6"/>
    <mergeCell ref="BR7:BR8"/>
    <mergeCell ref="BR9:BR10"/>
    <mergeCell ref="CM9:CM13"/>
    <mergeCell ref="AT1:BD1"/>
    <mergeCell ref="AU2:AY2"/>
    <mergeCell ref="AZ2:BD2"/>
    <mergeCell ref="BF1:BN1"/>
    <mergeCell ref="BG2:BJ2"/>
    <mergeCell ref="BK2:BN2"/>
    <mergeCell ref="AJ1:AR1"/>
    <mergeCell ref="AK2:AN2"/>
    <mergeCell ref="AO2:AR2"/>
    <mergeCell ref="Y2:AC2"/>
    <mergeCell ref="AD2:AH2"/>
    <mergeCell ref="X1:AH1"/>
    <mergeCell ref="C2:F2"/>
    <mergeCell ref="G2:J2"/>
    <mergeCell ref="B1:J1"/>
    <mergeCell ref="L1:U1"/>
    <mergeCell ref="M2:Q2"/>
    <mergeCell ref="R2:V2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36</vt:i4>
      </vt:variant>
    </vt:vector>
  </HeadingPairs>
  <TitlesOfParts>
    <vt:vector size="41" baseType="lpstr">
      <vt:lpstr>キャラ</vt:lpstr>
      <vt:lpstr>素材</vt:lpstr>
      <vt:lpstr>武器</vt:lpstr>
      <vt:lpstr>護符</vt:lpstr>
      <vt:lpstr>施設素材表</vt:lpstr>
      <vt:lpstr>ロッドbonus</vt:lpstr>
      <vt:lpstr>ロッドslot</vt:lpstr>
      <vt:lpstr>ロッド所持</vt:lpstr>
      <vt:lpstr>ロッド上限</vt:lpstr>
      <vt:lpstr>弓bonus</vt:lpstr>
      <vt:lpstr>弓slot</vt:lpstr>
      <vt:lpstr>弓所持</vt:lpstr>
      <vt:lpstr>弓上限</vt:lpstr>
      <vt:lpstr>剣bonus</vt:lpstr>
      <vt:lpstr>剣slot</vt:lpstr>
      <vt:lpstr>剣所持</vt:lpstr>
      <vt:lpstr>剣上限</vt:lpstr>
      <vt:lpstr>銃bonus</vt:lpstr>
      <vt:lpstr>銃slot</vt:lpstr>
      <vt:lpstr>銃所持</vt:lpstr>
      <vt:lpstr>銃上限</vt:lpstr>
      <vt:lpstr>杖bonus</vt:lpstr>
      <vt:lpstr>杖slot</vt:lpstr>
      <vt:lpstr>杖所持</vt:lpstr>
      <vt:lpstr>杖上限</vt:lpstr>
      <vt:lpstr>槍bonus</vt:lpstr>
      <vt:lpstr>槍slot</vt:lpstr>
      <vt:lpstr>槍所持</vt:lpstr>
      <vt:lpstr>槍上限</vt:lpstr>
      <vt:lpstr>短剣bonus</vt:lpstr>
      <vt:lpstr>短剣slot</vt:lpstr>
      <vt:lpstr>短剣所持</vt:lpstr>
      <vt:lpstr>短剣上限</vt:lpstr>
      <vt:lpstr>刀bonus</vt:lpstr>
      <vt:lpstr>刀slot</vt:lpstr>
      <vt:lpstr>刀所持</vt:lpstr>
      <vt:lpstr>刀上限</vt:lpstr>
      <vt:lpstr>斧bonus</vt:lpstr>
      <vt:lpstr>斧slot</vt:lpstr>
      <vt:lpstr>斧所持</vt:lpstr>
      <vt:lpstr>斧上限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2021-01-12T11:45:47Z</dcterms:created>
  <dcterms:modified xsi:type="dcterms:W3CDTF">2021-01-12T11:47:54Z</dcterms:modified>
</cp:coreProperties>
</file>