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"/>
    </mc:Choice>
  </mc:AlternateContent>
  <xr:revisionPtr revIDLastSave="0" documentId="13_ncr:1_{3B1D94A5-5E70-AE43-9CA6-36DD7C7D3ED0}" xr6:coauthVersionLast="45" xr6:coauthVersionMax="45" xr10:uidLastSave="{00000000-0000-0000-0000-000000000000}"/>
  <bookViews>
    <workbookView xWindow="18420" yWindow="460" windowWidth="42880" windowHeight="17440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2" i="1"/>
  <c r="G71" i="1"/>
  <c r="F71" i="1"/>
  <c r="D71" i="1"/>
  <c r="C71" i="1"/>
  <c r="B71" i="1"/>
  <c r="I63" i="1"/>
  <c r="J63" i="1" s="1"/>
  <c r="F52" i="1"/>
  <c r="C5" i="1"/>
  <c r="I28" i="1"/>
  <c r="J28" i="1" s="1"/>
  <c r="I27" i="1"/>
  <c r="J27" i="1" s="1"/>
  <c r="K27" i="1" s="1"/>
  <c r="D70" i="1"/>
  <c r="D69" i="1"/>
  <c r="D68" i="1"/>
  <c r="G68" i="1" s="1"/>
  <c r="D67" i="1"/>
  <c r="D66" i="1"/>
  <c r="D65" i="1"/>
  <c r="D64" i="1"/>
  <c r="D63" i="1"/>
  <c r="D62" i="1"/>
  <c r="D61" i="1"/>
  <c r="D60" i="1"/>
  <c r="D59" i="1"/>
  <c r="D58" i="1"/>
  <c r="D57" i="1"/>
  <c r="D56" i="1"/>
  <c r="G56" i="1" s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G34" i="1" s="1"/>
  <c r="D33" i="1"/>
  <c r="D32" i="1"/>
  <c r="D31" i="1"/>
  <c r="D30" i="1"/>
  <c r="D29" i="1"/>
  <c r="D28" i="1"/>
  <c r="D27" i="1"/>
  <c r="C23" i="1"/>
  <c r="E11" i="4"/>
  <c r="F23" i="1"/>
  <c r="I23" i="1"/>
  <c r="J23" i="1" s="1"/>
  <c r="I21" i="1"/>
  <c r="J21" i="1" s="1"/>
  <c r="I20" i="1"/>
  <c r="J20" i="1" s="1"/>
  <c r="I18" i="1"/>
  <c r="J18" i="1" s="1"/>
  <c r="I16" i="1"/>
  <c r="J16" i="1" s="1"/>
  <c r="I13" i="1"/>
  <c r="J13" i="1" s="1"/>
  <c r="C13" i="1"/>
  <c r="F11" i="1"/>
  <c r="C10" i="1"/>
  <c r="I9" i="1"/>
  <c r="J9" i="1" s="1"/>
  <c r="I5" i="1"/>
  <c r="J5" i="1" s="1"/>
  <c r="O22" i="1"/>
  <c r="J70" i="1"/>
  <c r="J69" i="1"/>
  <c r="J68" i="1"/>
  <c r="J67" i="1"/>
  <c r="J66" i="1"/>
  <c r="J65" i="1"/>
  <c r="J64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6" i="1"/>
  <c r="K26" i="1" s="1"/>
  <c r="J25" i="1"/>
  <c r="J24" i="1"/>
  <c r="J22" i="1"/>
  <c r="J19" i="1"/>
  <c r="J17" i="1"/>
  <c r="K17" i="1" s="1"/>
  <c r="J15" i="1"/>
  <c r="J14" i="1"/>
  <c r="J12" i="1"/>
  <c r="J11" i="1"/>
  <c r="J10" i="1"/>
  <c r="J8" i="1"/>
  <c r="J7" i="1"/>
  <c r="J6" i="1"/>
  <c r="K6" i="1" s="1"/>
  <c r="J4" i="1"/>
  <c r="H70" i="1"/>
  <c r="G70" i="1"/>
  <c r="H69" i="1"/>
  <c r="G69" i="1"/>
  <c r="H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H23" i="1"/>
  <c r="G23" i="1"/>
  <c r="H22" i="1"/>
  <c r="H21" i="1"/>
  <c r="H20" i="1"/>
  <c r="H19" i="1"/>
  <c r="H18" i="1"/>
  <c r="H17" i="1"/>
  <c r="G17" i="1"/>
  <c r="H16" i="1"/>
  <c r="H15" i="1"/>
  <c r="G15" i="1"/>
  <c r="H14" i="1"/>
  <c r="G14" i="1"/>
  <c r="H13" i="1"/>
  <c r="G13" i="1"/>
  <c r="H12" i="1"/>
  <c r="H11" i="1"/>
  <c r="H10" i="1"/>
  <c r="G10" i="1"/>
  <c r="H9" i="1"/>
  <c r="H8" i="1"/>
  <c r="H7" i="1"/>
  <c r="H6" i="1"/>
  <c r="G6" i="1"/>
  <c r="H5" i="1"/>
  <c r="H4" i="1"/>
  <c r="J3" i="1"/>
  <c r="J2" i="1"/>
  <c r="K2" i="1" s="1"/>
  <c r="H3" i="1"/>
  <c r="G3" i="1"/>
  <c r="D25" i="1"/>
  <c r="D24" i="1"/>
  <c r="G24" i="1" s="1"/>
  <c r="D23" i="1"/>
  <c r="D22" i="1"/>
  <c r="G22" i="1" s="1"/>
  <c r="D21" i="1"/>
  <c r="G21" i="1" s="1"/>
  <c r="D20" i="1"/>
  <c r="G20" i="1" s="1"/>
  <c r="D19" i="1"/>
  <c r="G19" i="1" s="1"/>
  <c r="D18" i="1"/>
  <c r="G18" i="1" s="1"/>
  <c r="D17" i="1"/>
  <c r="D16" i="1"/>
  <c r="G16" i="1" s="1"/>
  <c r="D15" i="1"/>
  <c r="D14" i="1"/>
  <c r="D13" i="1"/>
  <c r="D12" i="1"/>
  <c r="G12" i="1" s="1"/>
  <c r="D11" i="1"/>
  <c r="G11" i="1" s="1"/>
  <c r="D10" i="1"/>
  <c r="D9" i="1"/>
  <c r="G9" i="1" s="1"/>
  <c r="D8" i="1"/>
  <c r="G8" i="1" s="1"/>
  <c r="D7" i="1"/>
  <c r="G7" i="1" s="1"/>
  <c r="D6" i="1"/>
  <c r="D5" i="1"/>
  <c r="G5" i="1" s="1"/>
  <c r="D4" i="1"/>
  <c r="G4" i="1" s="1"/>
  <c r="D3" i="1"/>
  <c r="F2" i="1"/>
  <c r="E26" i="1"/>
  <c r="L26" i="1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" i="2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4" i="3"/>
  <c r="C42" i="3"/>
  <c r="C29" i="2"/>
  <c r="C25" i="2"/>
  <c r="C1" i="2"/>
  <c r="J53" i="4"/>
  <c r="E53" i="4"/>
  <c r="F53" i="4" s="1"/>
  <c r="K53" i="4" s="1"/>
  <c r="D53" i="4"/>
  <c r="C53" i="4"/>
  <c r="B53" i="4"/>
  <c r="G53" i="4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K25" i="4"/>
  <c r="G25" i="4"/>
  <c r="F25" i="4"/>
  <c r="D13" i="4"/>
  <c r="J25" i="4"/>
  <c r="E25" i="4"/>
  <c r="C8" i="4"/>
  <c r="E5" i="4"/>
  <c r="E4" i="4"/>
  <c r="D2" i="4"/>
  <c r="J16" i="4"/>
  <c r="K16" i="4" s="1"/>
  <c r="G16" i="4"/>
  <c r="F16" i="4"/>
  <c r="J22" i="4"/>
  <c r="G22" i="4"/>
  <c r="F22" i="4"/>
  <c r="K22" i="4" s="1"/>
  <c r="J21" i="4"/>
  <c r="G21" i="4"/>
  <c r="F21" i="4"/>
  <c r="E22" i="4"/>
  <c r="E21" i="4"/>
  <c r="J20" i="4"/>
  <c r="G20" i="4"/>
  <c r="F20" i="4"/>
  <c r="J19" i="4"/>
  <c r="E19" i="4"/>
  <c r="G19" i="4" s="1"/>
  <c r="J18" i="4"/>
  <c r="E18" i="4"/>
  <c r="G18" i="4" s="1"/>
  <c r="J17" i="4"/>
  <c r="E17" i="4"/>
  <c r="G17" i="4" s="1"/>
  <c r="E49" i="4"/>
  <c r="G49" i="4" s="1"/>
  <c r="E48" i="4"/>
  <c r="F48" i="4" s="1"/>
  <c r="G48" i="4"/>
  <c r="E47" i="4"/>
  <c r="G47" i="4" s="1"/>
  <c r="E46" i="4"/>
  <c r="D46" i="4"/>
  <c r="E44" i="4"/>
  <c r="G44" i="4" s="1"/>
  <c r="B45" i="4"/>
  <c r="D45" i="4" s="1"/>
  <c r="J42" i="4"/>
  <c r="F42" i="4"/>
  <c r="G42" i="4"/>
  <c r="E40" i="4"/>
  <c r="G40" i="4" s="1"/>
  <c r="G52" i="4"/>
  <c r="G51" i="4"/>
  <c r="G50" i="4"/>
  <c r="G43" i="4"/>
  <c r="G41" i="4"/>
  <c r="G39" i="4"/>
  <c r="G38" i="4"/>
  <c r="G37" i="4"/>
  <c r="G36" i="4"/>
  <c r="G35" i="4"/>
  <c r="G33" i="4"/>
  <c r="G28" i="4"/>
  <c r="G27" i="4"/>
  <c r="G26" i="4"/>
  <c r="J35" i="4"/>
  <c r="D34" i="4"/>
  <c r="G34" i="4" s="1"/>
  <c r="F35" i="4"/>
  <c r="J32" i="4"/>
  <c r="J31" i="4"/>
  <c r="E32" i="4"/>
  <c r="F32" i="4" s="1"/>
  <c r="E31" i="4"/>
  <c r="F31" i="4" s="1"/>
  <c r="E30" i="4"/>
  <c r="F30" i="4" s="1"/>
  <c r="J29" i="4"/>
  <c r="E29" i="4"/>
  <c r="F29" i="4" s="1"/>
  <c r="J52" i="4"/>
  <c r="J51" i="4"/>
  <c r="J50" i="4"/>
  <c r="J49" i="4"/>
  <c r="J48" i="4"/>
  <c r="J47" i="4"/>
  <c r="J46" i="4"/>
  <c r="J45" i="4"/>
  <c r="J44" i="4"/>
  <c r="J43" i="4"/>
  <c r="J41" i="4"/>
  <c r="J40" i="4"/>
  <c r="J39" i="4"/>
  <c r="J38" i="4"/>
  <c r="J37" i="4"/>
  <c r="J36" i="4"/>
  <c r="J34" i="4"/>
  <c r="J33" i="4"/>
  <c r="J30" i="4"/>
  <c r="J28" i="4"/>
  <c r="J27" i="4"/>
  <c r="J26" i="4"/>
  <c r="J24" i="4"/>
  <c r="F52" i="4"/>
  <c r="F51" i="4"/>
  <c r="F50" i="4"/>
  <c r="F44" i="4"/>
  <c r="F43" i="4"/>
  <c r="F41" i="4"/>
  <c r="F39" i="4"/>
  <c r="F38" i="4"/>
  <c r="F37" i="4"/>
  <c r="F36" i="4"/>
  <c r="F33" i="4"/>
  <c r="F28" i="4"/>
  <c r="F27" i="4"/>
  <c r="F26" i="4"/>
  <c r="E24" i="4"/>
  <c r="G24" i="4" s="1"/>
  <c r="E23" i="4"/>
  <c r="G23" i="4" s="1"/>
  <c r="J23" i="4"/>
  <c r="R11" i="1"/>
  <c r="R10" i="1"/>
  <c r="Q11" i="1"/>
  <c r="Q10" i="1"/>
  <c r="P3" i="1"/>
  <c r="R4" i="1" s="1"/>
  <c r="P2" i="1"/>
  <c r="K3" i="3"/>
  <c r="K4" i="2"/>
  <c r="K3" i="2"/>
  <c r="J71" i="1" l="1"/>
  <c r="K71" i="1" s="1"/>
  <c r="I71" i="1"/>
  <c r="K63" i="1"/>
  <c r="K59" i="1"/>
  <c r="K55" i="1"/>
  <c r="K51" i="1"/>
  <c r="K47" i="1"/>
  <c r="K43" i="1"/>
  <c r="K39" i="1"/>
  <c r="K35" i="1"/>
  <c r="K31" i="1"/>
  <c r="K67" i="1"/>
  <c r="K32" i="1"/>
  <c r="K36" i="1"/>
  <c r="K40" i="1"/>
  <c r="K44" i="1"/>
  <c r="K48" i="1"/>
  <c r="K52" i="1"/>
  <c r="K56" i="1"/>
  <c r="K60" i="1"/>
  <c r="K64" i="1"/>
  <c r="K68" i="1"/>
  <c r="K28" i="1"/>
  <c r="K29" i="1"/>
  <c r="K33" i="1"/>
  <c r="K37" i="1"/>
  <c r="K41" i="1"/>
  <c r="K45" i="1"/>
  <c r="K49" i="1"/>
  <c r="K53" i="1"/>
  <c r="K57" i="1"/>
  <c r="K61" i="1"/>
  <c r="K65" i="1"/>
  <c r="K69" i="1"/>
  <c r="K30" i="1"/>
  <c r="K34" i="1"/>
  <c r="K38" i="1"/>
  <c r="K42" i="1"/>
  <c r="K46" i="1"/>
  <c r="K50" i="1"/>
  <c r="K54" i="1"/>
  <c r="K58" i="1"/>
  <c r="K62" i="1"/>
  <c r="K66" i="1"/>
  <c r="K70" i="1"/>
  <c r="K25" i="1"/>
  <c r="K24" i="1"/>
  <c r="K23" i="1"/>
  <c r="K22" i="1"/>
  <c r="K20" i="1"/>
  <c r="K21" i="1"/>
  <c r="K19" i="1"/>
  <c r="K18" i="1"/>
  <c r="K16" i="1"/>
  <c r="K15" i="1"/>
  <c r="K14" i="1"/>
  <c r="K13" i="1"/>
  <c r="K12" i="1"/>
  <c r="K5" i="1"/>
  <c r="K11" i="1"/>
  <c r="K4" i="1"/>
  <c r="K10" i="1"/>
  <c r="K9" i="1"/>
  <c r="K8" i="1"/>
  <c r="K7" i="1"/>
  <c r="K3" i="1"/>
  <c r="S3" i="1"/>
  <c r="R3" i="1"/>
  <c r="K20" i="4"/>
  <c r="K21" i="4"/>
  <c r="F49" i="4"/>
  <c r="F18" i="4"/>
  <c r="F19" i="4"/>
  <c r="K19" i="4" s="1"/>
  <c r="F34" i="4"/>
  <c r="K34" i="4" s="1"/>
  <c r="F17" i="4"/>
  <c r="K18" i="4"/>
  <c r="K17" i="4"/>
  <c r="K42" i="4"/>
  <c r="F46" i="4"/>
  <c r="F47" i="4"/>
  <c r="G46" i="4"/>
  <c r="F45" i="4"/>
  <c r="K45" i="4" s="1"/>
  <c r="G45" i="4"/>
  <c r="K48" i="4"/>
  <c r="F40" i="4"/>
  <c r="K40" i="4" s="1"/>
  <c r="K51" i="4"/>
  <c r="K35" i="4"/>
  <c r="G29" i="4"/>
  <c r="K26" i="4"/>
  <c r="K52" i="4"/>
  <c r="K43" i="4"/>
  <c r="K47" i="4"/>
  <c r="K44" i="4"/>
  <c r="K31" i="4"/>
  <c r="K49" i="4"/>
  <c r="K29" i="4"/>
  <c r="K39" i="4"/>
  <c r="K38" i="4"/>
  <c r="K41" i="4"/>
  <c r="K50" i="4"/>
  <c r="F24" i="4"/>
  <c r="K24" i="4" s="1"/>
  <c r="K27" i="4"/>
  <c r="K32" i="4"/>
  <c r="K37" i="4"/>
  <c r="K46" i="4"/>
  <c r="G31" i="4"/>
  <c r="G30" i="4"/>
  <c r="F23" i="4"/>
  <c r="K23" i="4" s="1"/>
  <c r="G32" i="4"/>
  <c r="K36" i="4"/>
  <c r="K33" i="4"/>
  <c r="K30" i="4"/>
  <c r="K28" i="4"/>
  <c r="S4" i="1"/>
  <c r="J4" i="3"/>
  <c r="J4" i="2"/>
  <c r="E2" i="1"/>
  <c r="D2" i="1" l="1"/>
  <c r="G2" i="1" s="1"/>
  <c r="L2" i="1"/>
  <c r="J3" i="3"/>
  <c r="J3" i="2"/>
  <c r="E71" i="1" l="1"/>
</calcChain>
</file>

<file path=xl/sharedStrings.xml><?xml version="1.0" encoding="utf-8"?>
<sst xmlns="http://schemas.openxmlformats.org/spreadsheetml/2006/main" count="456" uniqueCount="122">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</sst>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S71"/>
  <sheetViews>
    <sheetView tabSelected="1" topLeftCell="C38" workbookViewId="0">
      <selection activeCell="K71" sqref="K71"/>
    </sheetView>
  </sheetViews>
  <sheetFormatPr baseColWidth="10" defaultRowHeight="16" x14ac:dyDescent="0.2"/>
  <sheetData>
    <row r="1" spans="1:19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84</v>
      </c>
      <c r="K1" t="s">
        <v>85</v>
      </c>
      <c r="L1" t="s">
        <v>4</v>
      </c>
      <c r="M1" t="s">
        <v>5</v>
      </c>
    </row>
    <row r="2" spans="1:19" x14ac:dyDescent="0.2">
      <c r="A2" t="s">
        <v>0</v>
      </c>
      <c r="B2">
        <v>32</v>
      </c>
      <c r="C2">
        <v>65.040000000000006</v>
      </c>
      <c r="D2">
        <f>E2/B2</f>
        <v>116.28</v>
      </c>
      <c r="E2">
        <f>32*116.28</f>
        <v>3720.96</v>
      </c>
      <c r="F2">
        <f>0.57*4+0.63*4+0.73*4+0.77*4+0.82*2</f>
        <v>12.440000000000001</v>
      </c>
      <c r="G2">
        <f>(D2+F2/B2-C2)/C2*100</f>
        <v>79.379996924969234</v>
      </c>
      <c r="H2">
        <f>(E2-C2*B2)+F2</f>
        <v>1652.12</v>
      </c>
      <c r="I2" s="2">
        <v>43777</v>
      </c>
      <c r="J2" s="4">
        <f ca="1">(TODAY()-I2)/365.25</f>
        <v>0.89801505817932925</v>
      </c>
      <c r="K2">
        <f ca="1">G2/J2</f>
        <v>88.39495084403967</v>
      </c>
      <c r="L2">
        <f>E2/61552.32*100</f>
        <v>6.0451986212704902</v>
      </c>
      <c r="M2" t="s">
        <v>7</v>
      </c>
      <c r="O2" s="1">
        <v>44084</v>
      </c>
      <c r="P2">
        <f>44214.14+14355.45</f>
        <v>58569.59</v>
      </c>
    </row>
    <row r="3" spans="1:19" x14ac:dyDescent="0.2">
      <c r="A3" t="s">
        <v>8</v>
      </c>
      <c r="B3">
        <v>3</v>
      </c>
      <c r="C3">
        <v>440</v>
      </c>
      <c r="D3">
        <f t="shared" ref="D3:D66" si="0">E3/B3</f>
        <v>497.01</v>
      </c>
      <c r="E3">
        <v>1491.03</v>
      </c>
      <c r="F3">
        <v>0</v>
      </c>
      <c r="G3">
        <f>(D3+F3/B3-C3)/C3*100</f>
        <v>12.95681818181818</v>
      </c>
      <c r="H3">
        <f>(E3-C3*B3)+F3</f>
        <v>171.02999999999997</v>
      </c>
      <c r="I3" s="2">
        <v>44054</v>
      </c>
      <c r="J3" s="4">
        <f ca="1">(TODAY()-I3)/365.25</f>
        <v>0.13963039014373715</v>
      </c>
      <c r="K3">
        <f ca="1">G3/J3</f>
        <v>92.793683155080217</v>
      </c>
      <c r="L3">
        <f t="shared" ref="L3:L66" si="1">E3/61552.32*100</f>
        <v>2.4223782304225088</v>
      </c>
      <c r="M3" t="s">
        <v>7</v>
      </c>
      <c r="O3" s="1">
        <v>44089</v>
      </c>
      <c r="P3">
        <f>15110.38+44755.95</f>
        <v>59866.329999999994</v>
      </c>
      <c r="Q3">
        <v>500</v>
      </c>
      <c r="R3">
        <f>(P3-Q3-P2)/P2</f>
        <v>1.3603305059844162E-2</v>
      </c>
      <c r="S3">
        <f>(P3-Q3-P2)/P2</f>
        <v>1.3603305059844162E-2</v>
      </c>
    </row>
    <row r="4" spans="1:19" x14ac:dyDescent="0.2">
      <c r="A4" t="s">
        <v>10</v>
      </c>
      <c r="B4">
        <v>6.986713</v>
      </c>
      <c r="C4">
        <v>71.87</v>
      </c>
      <c r="D4">
        <f t="shared" si="0"/>
        <v>72.410302240839158</v>
      </c>
      <c r="E4">
        <v>505.91</v>
      </c>
      <c r="F4">
        <v>0</v>
      </c>
      <c r="G4">
        <f t="shared" ref="G4:G67" si="2">(D4+F4/B4-C4)/C4*100</f>
        <v>0.75177715436086479</v>
      </c>
      <c r="H4">
        <f t="shared" ref="H4:H67" si="3">(E4-C4*B4)+F4</f>
        <v>3.7749366900000041</v>
      </c>
      <c r="I4" s="2">
        <v>44054</v>
      </c>
      <c r="J4" s="4">
        <f t="shared" ref="J4:J67" ca="1" si="4">(TODAY()-I4)/365.25</f>
        <v>0.13963039014373715</v>
      </c>
      <c r="K4">
        <f t="shared" ref="K4:K67" ca="1" si="5">G4/J4</f>
        <v>5.3840510907903116</v>
      </c>
      <c r="L4">
        <f t="shared" si="1"/>
        <v>0.82191865391913732</v>
      </c>
      <c r="M4" t="s">
        <v>7</v>
      </c>
      <c r="O4" s="1">
        <v>44105</v>
      </c>
      <c r="P4">
        <v>61552.32</v>
      </c>
      <c r="Q4">
        <v>500</v>
      </c>
      <c r="R4">
        <f>(P4-Q4-P3)/P3</f>
        <v>1.9810634792545415E-2</v>
      </c>
      <c r="S4">
        <f>(P4-SUM(Q3:Q4)-P2)/P2</f>
        <v>3.3852550444693284E-2</v>
      </c>
    </row>
    <row r="5" spans="1:19" x14ac:dyDescent="0.2">
      <c r="A5" t="s">
        <v>15</v>
      </c>
      <c r="B5">
        <v>50.118220999999998</v>
      </c>
      <c r="C5">
        <f>(12*2.34+5*14.11+5*52.64+10*86.67+10*80.9+7*84.56+1.081549*92.46+0.036672*79.35)/B5</f>
        <v>54.518294728378329</v>
      </c>
      <c r="D5">
        <f t="shared" si="0"/>
        <v>83.834978899191171</v>
      </c>
      <c r="E5">
        <v>4201.66</v>
      </c>
      <c r="F5">
        <v>0</v>
      </c>
      <c r="G5">
        <f t="shared" si="2"/>
        <v>53.774030014832199</v>
      </c>
      <c r="H5">
        <f t="shared" si="3"/>
        <v>1469.30005626</v>
      </c>
      <c r="I5" s="2">
        <f ca="1">TODAY()-544</f>
        <v>43561</v>
      </c>
      <c r="J5" s="4">
        <f t="shared" ca="1" si="4"/>
        <v>1.4893908281998631</v>
      </c>
      <c r="K5">
        <f t="shared" ca="1" si="5"/>
        <v>36.10471408624533</v>
      </c>
      <c r="L5">
        <f t="shared" si="1"/>
        <v>6.8261602487119903</v>
      </c>
      <c r="M5" t="s">
        <v>7</v>
      </c>
    </row>
    <row r="6" spans="1:19" x14ac:dyDescent="0.2">
      <c r="A6" t="s">
        <v>16</v>
      </c>
      <c r="B6">
        <v>1</v>
      </c>
      <c r="C6">
        <v>3222.05</v>
      </c>
      <c r="D6">
        <f t="shared" si="0"/>
        <v>3201.96</v>
      </c>
      <c r="E6">
        <v>3201.96</v>
      </c>
      <c r="F6">
        <v>0</v>
      </c>
      <c r="G6">
        <f t="shared" si="2"/>
        <v>-0.62351608448038187</v>
      </c>
      <c r="H6">
        <f t="shared" si="3"/>
        <v>-20.090000000000146</v>
      </c>
      <c r="I6" s="1">
        <v>44050</v>
      </c>
      <c r="J6" s="4">
        <f t="shared" ca="1" si="4"/>
        <v>0.15058179329226556</v>
      </c>
      <c r="K6">
        <f t="shared" ca="1" si="5"/>
        <v>-4.1407136337538093</v>
      </c>
      <c r="L6">
        <f t="shared" si="1"/>
        <v>5.2020135065583233</v>
      </c>
      <c r="M6" t="s">
        <v>7</v>
      </c>
    </row>
    <row r="7" spans="1:19" x14ac:dyDescent="0.2">
      <c r="A7" t="s">
        <v>59</v>
      </c>
      <c r="B7">
        <v>6.3443940000000003</v>
      </c>
      <c r="C7">
        <v>78.81</v>
      </c>
      <c r="D7">
        <f t="shared" si="0"/>
        <v>83.049697102670478</v>
      </c>
      <c r="E7">
        <v>526.9</v>
      </c>
      <c r="F7">
        <v>0</v>
      </c>
      <c r="G7">
        <f t="shared" si="2"/>
        <v>5.379643576539114</v>
      </c>
      <c r="H7">
        <f t="shared" si="3"/>
        <v>26.898308859999929</v>
      </c>
      <c r="I7" s="1">
        <v>44088</v>
      </c>
      <c r="J7" s="4">
        <f t="shared" ca="1" si="4"/>
        <v>4.6543463381245723E-2</v>
      </c>
      <c r="K7">
        <f t="shared" ca="1" si="5"/>
        <v>115.58322449005361</v>
      </c>
      <c r="L7">
        <f t="shared" si="1"/>
        <v>0.85601972435807461</v>
      </c>
      <c r="M7" t="s">
        <v>7</v>
      </c>
    </row>
    <row r="8" spans="1:19" x14ac:dyDescent="0.2">
      <c r="A8" t="s">
        <v>63</v>
      </c>
      <c r="B8">
        <v>2.2483599999999999</v>
      </c>
      <c r="C8">
        <v>55.6</v>
      </c>
      <c r="D8">
        <f t="shared" si="0"/>
        <v>54.568663381309044</v>
      </c>
      <c r="E8">
        <v>122.69</v>
      </c>
      <c r="F8">
        <v>0</v>
      </c>
      <c r="G8">
        <f t="shared" si="2"/>
        <v>-1.8549219760628732</v>
      </c>
      <c r="H8">
        <f t="shared" si="3"/>
        <v>-2.3188159999999982</v>
      </c>
      <c r="I8" s="2">
        <v>44090</v>
      </c>
      <c r="J8" s="4">
        <f t="shared" ca="1" si="4"/>
        <v>4.1067761806981518E-2</v>
      </c>
      <c r="K8">
        <f t="shared" ca="1" si="5"/>
        <v>-45.167350117130965</v>
      </c>
      <c r="L8">
        <f t="shared" si="1"/>
        <v>0.19932636170334442</v>
      </c>
      <c r="M8" t="s">
        <v>7</v>
      </c>
      <c r="O8" t="s">
        <v>6</v>
      </c>
    </row>
    <row r="9" spans="1:19" x14ac:dyDescent="0.2">
      <c r="A9" t="s">
        <v>19</v>
      </c>
      <c r="B9">
        <v>13.360094999999999</v>
      </c>
      <c r="C9">
        <v>176.97</v>
      </c>
      <c r="D9">
        <f t="shared" si="0"/>
        <v>289.61994656475122</v>
      </c>
      <c r="E9">
        <v>3869.35</v>
      </c>
      <c r="F9">
        <v>0</v>
      </c>
      <c r="G9">
        <f t="shared" si="2"/>
        <v>63.65482656085846</v>
      </c>
      <c r="H9">
        <f t="shared" si="3"/>
        <v>1505.0139878499999</v>
      </c>
      <c r="I9" s="2">
        <f ca="1">TODAY()-740</f>
        <v>43365</v>
      </c>
      <c r="J9" s="4">
        <f t="shared" ca="1" si="4"/>
        <v>2.0260095824777551</v>
      </c>
      <c r="K9">
        <f t="shared" ca="1" si="5"/>
        <v>31.418818109937231</v>
      </c>
      <c r="L9">
        <f t="shared" si="1"/>
        <v>6.286278080176344</v>
      </c>
      <c r="M9" t="s">
        <v>7</v>
      </c>
      <c r="O9" s="1">
        <v>44084</v>
      </c>
      <c r="P9">
        <v>334.28</v>
      </c>
    </row>
    <row r="10" spans="1:19" x14ac:dyDescent="0.2">
      <c r="A10" t="s">
        <v>20</v>
      </c>
      <c r="B10">
        <v>20.232147999999999</v>
      </c>
      <c r="C10">
        <f>(82.74*(20-1.767852)+84.87*2)/B10</f>
        <v>82.95055599237412</v>
      </c>
      <c r="D10">
        <f t="shared" si="0"/>
        <v>83.220031802851594</v>
      </c>
      <c r="E10">
        <v>1683.72</v>
      </c>
      <c r="F10">
        <v>6.82</v>
      </c>
      <c r="G10">
        <f t="shared" si="2"/>
        <v>0.73123452420135693</v>
      </c>
      <c r="H10">
        <f t="shared" si="3"/>
        <v>12.272074479999965</v>
      </c>
      <c r="I10" s="2">
        <v>44050</v>
      </c>
      <c r="J10" s="4">
        <f t="shared" ca="1" si="4"/>
        <v>0.15058179329226556</v>
      </c>
      <c r="K10">
        <f t="shared" ca="1" si="5"/>
        <v>4.8560619993553749</v>
      </c>
      <c r="L10">
        <f t="shared" si="1"/>
        <v>2.7354289813933903</v>
      </c>
      <c r="M10" t="s">
        <v>7</v>
      </c>
      <c r="O10" s="1">
        <v>44089</v>
      </c>
      <c r="P10">
        <v>341.48</v>
      </c>
      <c r="Q10">
        <f>(P10-P9)/P9</f>
        <v>2.1538829723585156E-2</v>
      </c>
      <c r="R10">
        <f>(P10-P9)/P9</f>
        <v>2.1538829723585156E-2</v>
      </c>
    </row>
    <row r="11" spans="1:19" x14ac:dyDescent="0.2">
      <c r="A11" t="s">
        <v>21</v>
      </c>
      <c r="B11">
        <v>2.1924000000000001</v>
      </c>
      <c r="C11">
        <v>582.66999999999996</v>
      </c>
      <c r="D11">
        <f t="shared" si="0"/>
        <v>573.6498814085021</v>
      </c>
      <c r="E11">
        <v>1257.67</v>
      </c>
      <c r="F11">
        <f>14.52*B11/4</f>
        <v>7.958412</v>
      </c>
      <c r="G11">
        <f t="shared" si="2"/>
        <v>-0.92507226929443209</v>
      </c>
      <c r="H11">
        <f t="shared" si="3"/>
        <v>-11.817295999999896</v>
      </c>
      <c r="I11" s="2">
        <v>44050</v>
      </c>
      <c r="J11" s="4">
        <f t="shared" ca="1" si="4"/>
        <v>0.15058179329226556</v>
      </c>
      <c r="K11">
        <f t="shared" ca="1" si="5"/>
        <v>-6.1433208429052968</v>
      </c>
      <c r="L11">
        <f t="shared" si="1"/>
        <v>2.0432536092871887</v>
      </c>
      <c r="M11" t="s">
        <v>7</v>
      </c>
      <c r="O11" s="1">
        <v>44105</v>
      </c>
      <c r="P11">
        <v>337.23</v>
      </c>
      <c r="Q11">
        <f>(P11-P10)/P10</f>
        <v>-1.244582405997423E-2</v>
      </c>
      <c r="R11">
        <f>(P11-P9)/P9</f>
        <v>8.8249371784134435E-3</v>
      </c>
    </row>
    <row r="12" spans="1:19" x14ac:dyDescent="0.2">
      <c r="A12" t="s">
        <v>64</v>
      </c>
      <c r="B12">
        <v>2.2475269999999998</v>
      </c>
      <c r="C12">
        <v>66.739999999999995</v>
      </c>
      <c r="D12">
        <f t="shared" si="0"/>
        <v>70.900149364167817</v>
      </c>
      <c r="E12">
        <v>159.35</v>
      </c>
      <c r="F12">
        <v>0</v>
      </c>
      <c r="G12">
        <f t="shared" si="2"/>
        <v>6.2333673421753399</v>
      </c>
      <c r="H12">
        <f t="shared" si="3"/>
        <v>9.3500480200000311</v>
      </c>
      <c r="I12" s="2">
        <v>44090</v>
      </c>
      <c r="J12" s="4">
        <f t="shared" ca="1" si="4"/>
        <v>4.1067761806981518E-2</v>
      </c>
      <c r="K12">
        <f t="shared" ca="1" si="5"/>
        <v>151.78249478196955</v>
      </c>
      <c r="L12">
        <f t="shared" si="1"/>
        <v>0.25888544899688593</v>
      </c>
      <c r="M12" t="s">
        <v>7</v>
      </c>
    </row>
    <row r="13" spans="1:19" x14ac:dyDescent="0.2">
      <c r="A13" t="s">
        <v>28</v>
      </c>
      <c r="B13">
        <v>13</v>
      </c>
      <c r="C13">
        <f>(2*102.58+1*107.37+10*106.99)/B13</f>
        <v>106.34076923076921</v>
      </c>
      <c r="D13">
        <f t="shared" si="0"/>
        <v>266.97999999999996</v>
      </c>
      <c r="E13">
        <v>3470.74</v>
      </c>
      <c r="F13">
        <v>0</v>
      </c>
      <c r="G13">
        <f t="shared" si="2"/>
        <v>151.06081320573196</v>
      </c>
      <c r="H13">
        <f t="shared" si="3"/>
        <v>2088.31</v>
      </c>
      <c r="I13" s="2">
        <f ca="1">TODAY()-1671</f>
        <v>42434</v>
      </c>
      <c r="J13" s="4">
        <f t="shared" ca="1" si="4"/>
        <v>4.5749486652977414</v>
      </c>
      <c r="K13">
        <f t="shared" ca="1" si="5"/>
        <v>33.019127482581446</v>
      </c>
      <c r="L13">
        <f t="shared" si="1"/>
        <v>5.6386826686630167</v>
      </c>
      <c r="M13" t="s">
        <v>7</v>
      </c>
    </row>
    <row r="14" spans="1:19" x14ac:dyDescent="0.2">
      <c r="A14" t="s">
        <v>34</v>
      </c>
      <c r="B14">
        <v>1</v>
      </c>
      <c r="C14">
        <v>1509.04</v>
      </c>
      <c r="D14">
        <f t="shared" si="0"/>
        <v>1485.76</v>
      </c>
      <c r="E14">
        <v>1485.76</v>
      </c>
      <c r="F14">
        <v>0</v>
      </c>
      <c r="G14">
        <f t="shared" si="2"/>
        <v>-1.5427026453904453</v>
      </c>
      <c r="H14">
        <f t="shared" si="3"/>
        <v>-23.279999999999973</v>
      </c>
      <c r="I14" s="2">
        <v>44050</v>
      </c>
      <c r="J14" s="4">
        <f t="shared" ca="1" si="4"/>
        <v>0.15058179329226556</v>
      </c>
      <c r="K14">
        <f t="shared" ca="1" si="5"/>
        <v>-10.244948022342912</v>
      </c>
      <c r="L14">
        <f t="shared" si="1"/>
        <v>2.413816408544796</v>
      </c>
      <c r="M14" t="s">
        <v>7</v>
      </c>
    </row>
    <row r="15" spans="1:19" x14ac:dyDescent="0.2">
      <c r="A15" t="s">
        <v>35</v>
      </c>
      <c r="B15">
        <v>3.3539639999999999</v>
      </c>
      <c r="C15">
        <v>302.01</v>
      </c>
      <c r="D15">
        <f t="shared" si="0"/>
        <v>313.07133886946906</v>
      </c>
      <c r="E15">
        <v>1050.03</v>
      </c>
      <c r="F15">
        <v>1.28</v>
      </c>
      <c r="G15">
        <f t="shared" si="2"/>
        <v>3.7889397158266407</v>
      </c>
      <c r="H15">
        <f t="shared" si="3"/>
        <v>38.379332360000063</v>
      </c>
      <c r="I15" s="1">
        <v>44054</v>
      </c>
      <c r="J15" s="4">
        <f t="shared" ca="1" si="4"/>
        <v>0.13963039014373715</v>
      </c>
      <c r="K15">
        <f t="shared" ca="1" si="5"/>
        <v>27.135494729523149</v>
      </c>
      <c r="L15">
        <f t="shared" si="1"/>
        <v>1.705914578037026</v>
      </c>
      <c r="M15" t="s">
        <v>7</v>
      </c>
    </row>
    <row r="16" spans="1:19" x14ac:dyDescent="0.2">
      <c r="A16" t="s">
        <v>32</v>
      </c>
      <c r="B16">
        <v>2.3067060000000001</v>
      </c>
      <c r="C16">
        <v>301.49</v>
      </c>
      <c r="D16">
        <f t="shared" si="0"/>
        <v>316.91078100113322</v>
      </c>
      <c r="E16">
        <v>731.02</v>
      </c>
      <c r="F16">
        <v>0</v>
      </c>
      <c r="G16">
        <f t="shared" si="2"/>
        <v>5.1148565461982844</v>
      </c>
      <c r="H16">
        <f t="shared" si="3"/>
        <v>35.57120805999989</v>
      </c>
      <c r="I16" s="1">
        <f ca="1">TODAY()-40</f>
        <v>44065</v>
      </c>
      <c r="J16" s="4">
        <f t="shared" ca="1" si="4"/>
        <v>0.10951403148528405</v>
      </c>
      <c r="K16">
        <f t="shared" ca="1" si="5"/>
        <v>46.705033837473088</v>
      </c>
      <c r="L16">
        <f t="shared" si="1"/>
        <v>1.1876400434622123</v>
      </c>
      <c r="M16" t="s">
        <v>7</v>
      </c>
    </row>
    <row r="17" spans="1:15" x14ac:dyDescent="0.2">
      <c r="A17" t="s">
        <v>41</v>
      </c>
      <c r="B17">
        <v>2</v>
      </c>
      <c r="C17">
        <v>257.5</v>
      </c>
      <c r="D17">
        <f t="shared" si="0"/>
        <v>266.02499999999998</v>
      </c>
      <c r="E17">
        <v>532.04999999999995</v>
      </c>
      <c r="F17">
        <v>0</v>
      </c>
      <c r="G17">
        <f t="shared" si="2"/>
        <v>3.3106796116504764</v>
      </c>
      <c r="H17">
        <f t="shared" si="3"/>
        <v>17.049999999999955</v>
      </c>
      <c r="I17" s="1">
        <v>44063</v>
      </c>
      <c r="J17" s="4">
        <f t="shared" ca="1" si="4"/>
        <v>0.11498973305954825</v>
      </c>
      <c r="K17">
        <f t="shared" ca="1" si="5"/>
        <v>28.791088765603252</v>
      </c>
      <c r="L17">
        <f t="shared" si="1"/>
        <v>0.86438659013990049</v>
      </c>
      <c r="M17" t="s">
        <v>7</v>
      </c>
    </row>
    <row r="18" spans="1:15" x14ac:dyDescent="0.2">
      <c r="A18" t="s">
        <v>65</v>
      </c>
      <c r="B18">
        <v>13.807893999999999</v>
      </c>
      <c r="C18">
        <v>38.479999999999997</v>
      </c>
      <c r="D18">
        <f t="shared" si="0"/>
        <v>40.455119368674183</v>
      </c>
      <c r="E18">
        <v>558.6</v>
      </c>
      <c r="F18">
        <v>0</v>
      </c>
      <c r="G18">
        <f t="shared" si="2"/>
        <v>5.132846592188633</v>
      </c>
      <c r="H18">
        <f t="shared" si="3"/>
        <v>27.272238880000145</v>
      </c>
      <c r="I18" s="2">
        <f ca="1">TODAY()-8</f>
        <v>44097</v>
      </c>
      <c r="J18" s="4">
        <f t="shared" ca="1" si="4"/>
        <v>2.190280629705681E-2</v>
      </c>
      <c r="K18">
        <f t="shared" ca="1" si="5"/>
        <v>234.34652722461229</v>
      </c>
      <c r="L18">
        <f t="shared" si="1"/>
        <v>0.9075206263549449</v>
      </c>
      <c r="M18" t="s">
        <v>7</v>
      </c>
    </row>
    <row r="19" spans="1:15" x14ac:dyDescent="0.2">
      <c r="A19" t="s">
        <v>66</v>
      </c>
      <c r="B19">
        <v>1.844473</v>
      </c>
      <c r="C19">
        <v>67.77</v>
      </c>
      <c r="D19">
        <f t="shared" si="0"/>
        <v>69.049533389754146</v>
      </c>
      <c r="E19">
        <v>127.36</v>
      </c>
      <c r="F19">
        <v>0</v>
      </c>
      <c r="G19">
        <f t="shared" si="2"/>
        <v>1.8880528106155374</v>
      </c>
      <c r="H19">
        <f t="shared" si="3"/>
        <v>2.3600647900000098</v>
      </c>
      <c r="I19" s="1">
        <v>44090</v>
      </c>
      <c r="J19" s="4">
        <f t="shared" ca="1" si="4"/>
        <v>4.1067761806981518E-2</v>
      </c>
      <c r="K19">
        <f t="shared" ca="1" si="5"/>
        <v>45.974085938488336</v>
      </c>
      <c r="L19">
        <f t="shared" si="1"/>
        <v>0.20691340310162151</v>
      </c>
      <c r="M19" t="s">
        <v>7</v>
      </c>
    </row>
    <row r="20" spans="1:15" x14ac:dyDescent="0.2">
      <c r="A20" t="s">
        <v>43</v>
      </c>
      <c r="B20">
        <v>5.6489989999999999</v>
      </c>
      <c r="C20">
        <v>209.41</v>
      </c>
      <c r="D20">
        <f t="shared" si="0"/>
        <v>212.20927813936592</v>
      </c>
      <c r="E20">
        <v>1198.77</v>
      </c>
      <c r="F20">
        <v>2.5499999999999998</v>
      </c>
      <c r="G20">
        <f t="shared" si="2"/>
        <v>1.5523067418012122</v>
      </c>
      <c r="H20">
        <f t="shared" si="3"/>
        <v>18.363119410000127</v>
      </c>
      <c r="I20" s="2">
        <f ca="1">TODAY()-49</f>
        <v>44056</v>
      </c>
      <c r="J20" s="4">
        <f t="shared" ca="1" si="4"/>
        <v>0.13415468856947296</v>
      </c>
      <c r="K20">
        <f t="shared" ca="1" si="5"/>
        <v>11.571021172303935</v>
      </c>
      <c r="L20">
        <f t="shared" si="1"/>
        <v>1.9475626588892181</v>
      </c>
      <c r="M20" t="s">
        <v>7</v>
      </c>
    </row>
    <row r="21" spans="1:15" x14ac:dyDescent="0.2">
      <c r="A21" t="s">
        <v>46</v>
      </c>
      <c r="B21">
        <v>1.014446</v>
      </c>
      <c r="C21">
        <v>105.5</v>
      </c>
      <c r="D21">
        <f t="shared" si="0"/>
        <v>515.64104940036236</v>
      </c>
      <c r="E21">
        <v>523.09</v>
      </c>
      <c r="F21">
        <v>0</v>
      </c>
      <c r="G21">
        <f t="shared" si="2"/>
        <v>388.75928853114914</v>
      </c>
      <c r="H21">
        <f t="shared" si="3"/>
        <v>416.06594700000005</v>
      </c>
      <c r="I21" s="2">
        <f ca="1">TODAY()-1425</f>
        <v>42680</v>
      </c>
      <c r="J21" s="4">
        <f t="shared" ca="1" si="4"/>
        <v>3.9014373716632442</v>
      </c>
      <c r="K21">
        <f t="shared" ca="1" si="5"/>
        <v>99.645143955089281</v>
      </c>
      <c r="L21">
        <f t="shared" si="1"/>
        <v>0.8498298683136557</v>
      </c>
      <c r="M21" t="s">
        <v>7</v>
      </c>
    </row>
    <row r="22" spans="1:15" x14ac:dyDescent="0.2">
      <c r="A22" t="s">
        <v>47</v>
      </c>
      <c r="B22">
        <v>1.4641310000000001</v>
      </c>
      <c r="C22">
        <v>341.5</v>
      </c>
      <c r="D22">
        <f t="shared" si="0"/>
        <v>313.2233386220222</v>
      </c>
      <c r="E22">
        <v>458.6</v>
      </c>
      <c r="F22">
        <v>2.12</v>
      </c>
      <c r="G22">
        <f t="shared" si="2"/>
        <v>-7.8561357279120836</v>
      </c>
      <c r="H22">
        <f t="shared" si="3"/>
        <v>-39.280736499999996</v>
      </c>
      <c r="I22" s="1">
        <v>44069</v>
      </c>
      <c r="J22" s="4">
        <f t="shared" ca="1" si="4"/>
        <v>9.856262833675565E-2</v>
      </c>
      <c r="K22">
        <f t="shared" ca="1" si="5"/>
        <v>-79.707043739441346</v>
      </c>
      <c r="L22">
        <f t="shared" si="1"/>
        <v>0.74505721311560646</v>
      </c>
      <c r="M22" t="s">
        <v>7</v>
      </c>
      <c r="O22" s="2">
        <f ca="1">TODAY()</f>
        <v>44105</v>
      </c>
    </row>
    <row r="23" spans="1:15" x14ac:dyDescent="0.2">
      <c r="A23" t="s">
        <v>49</v>
      </c>
      <c r="B23">
        <v>12</v>
      </c>
      <c r="C23">
        <f>(332.1*2+352.63*5+453.07*5)/B23</f>
        <v>391.05833333333339</v>
      </c>
      <c r="D23">
        <f t="shared" si="0"/>
        <v>543.16</v>
      </c>
      <c r="E23">
        <v>6517.92</v>
      </c>
      <c r="F23">
        <f>0.2*(1.15*3+1.4*2)+0.28*2+0.3*4+0.32*7+1.92</f>
        <v>7.17</v>
      </c>
      <c r="G23">
        <f t="shared" si="2"/>
        <v>39.047669784985153</v>
      </c>
      <c r="H23">
        <f t="shared" si="3"/>
        <v>1832.3899999999994</v>
      </c>
      <c r="I23" s="2">
        <f ca="1">TODAY()-358</f>
        <v>43747</v>
      </c>
      <c r="J23" s="4">
        <f t="shared" ca="1" si="4"/>
        <v>0.98015058179329229</v>
      </c>
      <c r="K23">
        <f t="shared" ca="1" si="5"/>
        <v>39.838439633982759</v>
      </c>
      <c r="L23">
        <f t="shared" si="1"/>
        <v>10.589235304209492</v>
      </c>
      <c r="M23" t="s">
        <v>7</v>
      </c>
    </row>
    <row r="24" spans="1:15" x14ac:dyDescent="0.2">
      <c r="A24" t="s">
        <v>120</v>
      </c>
      <c r="B24">
        <v>6.742699</v>
      </c>
      <c r="C24">
        <v>37.08</v>
      </c>
      <c r="D24">
        <f t="shared" si="0"/>
        <v>36.310385499931115</v>
      </c>
      <c r="E24">
        <v>244.83</v>
      </c>
      <c r="F24">
        <v>0</v>
      </c>
      <c r="G24">
        <f t="shared" si="2"/>
        <v>-2.0755515104338809</v>
      </c>
      <c r="H24">
        <f t="shared" si="3"/>
        <v>-5.189278919999964</v>
      </c>
      <c r="I24" s="1">
        <v>44090</v>
      </c>
      <c r="J24" s="4">
        <f t="shared" ca="1" si="4"/>
        <v>4.1067761806981518E-2</v>
      </c>
      <c r="K24">
        <f t="shared" ca="1" si="5"/>
        <v>-50.539679279064998</v>
      </c>
      <c r="L24">
        <f t="shared" si="1"/>
        <v>0.3977591746338725</v>
      </c>
      <c r="M24" t="s">
        <v>7</v>
      </c>
      <c r="O24" s="3"/>
    </row>
    <row r="25" spans="1:15" x14ac:dyDescent="0.2">
      <c r="A25" t="s">
        <v>53</v>
      </c>
      <c r="B25">
        <v>5</v>
      </c>
      <c r="C25">
        <v>60.99</v>
      </c>
      <c r="D25">
        <f t="shared" si="0"/>
        <v>57.879999999999995</v>
      </c>
      <c r="E25">
        <v>289.39999999999998</v>
      </c>
      <c r="F25">
        <v>0</v>
      </c>
      <c r="G25">
        <f t="shared" si="2"/>
        <v>-5.0991965896048637</v>
      </c>
      <c r="H25">
        <f t="shared" si="3"/>
        <v>-15.550000000000011</v>
      </c>
      <c r="I25" s="1">
        <v>44063</v>
      </c>
      <c r="J25" s="4">
        <f t="shared" ca="1" si="4"/>
        <v>0.11498973305954825</v>
      </c>
      <c r="K25">
        <f t="shared" ca="1" si="5"/>
        <v>-44.34479891317087</v>
      </c>
      <c r="L25">
        <f t="shared" si="1"/>
        <v>0.47016911791464555</v>
      </c>
      <c r="M25" t="s">
        <v>7</v>
      </c>
    </row>
    <row r="26" spans="1:15" x14ac:dyDescent="0.2">
      <c r="A26" t="s">
        <v>6</v>
      </c>
      <c r="B26">
        <v>8</v>
      </c>
      <c r="C26">
        <v>256.76</v>
      </c>
      <c r="D26">
        <v>337.23</v>
      </c>
      <c r="E26">
        <f>8*337.23</f>
        <v>2697.84</v>
      </c>
      <c r="F26">
        <v>0</v>
      </c>
      <c r="G26">
        <f t="shared" si="2"/>
        <v>31.340551487770689</v>
      </c>
      <c r="H26">
        <f t="shared" si="3"/>
        <v>643.76000000000022</v>
      </c>
      <c r="I26" s="3">
        <v>43028</v>
      </c>
      <c r="J26" s="4">
        <f t="shared" ca="1" si="4"/>
        <v>2.9486652977412731</v>
      </c>
      <c r="K26">
        <f t="shared" ca="1" si="5"/>
        <v>10.628724634083792</v>
      </c>
      <c r="L26">
        <f t="shared" si="1"/>
        <v>4.3830029477361698</v>
      </c>
      <c r="M26" t="s">
        <v>7</v>
      </c>
    </row>
    <row r="27" spans="1:15" x14ac:dyDescent="0.2">
      <c r="A27" t="s">
        <v>54</v>
      </c>
      <c r="B27">
        <v>15.031708</v>
      </c>
      <c r="C27">
        <v>70.94</v>
      </c>
      <c r="D27">
        <f t="shared" si="0"/>
        <v>68.169897925106056</v>
      </c>
      <c r="E27">
        <v>1024.71</v>
      </c>
      <c r="F27">
        <v>0</v>
      </c>
      <c r="G27">
        <f t="shared" si="2"/>
        <v>-3.9048520931687927</v>
      </c>
      <c r="H27">
        <f t="shared" si="3"/>
        <v>-41.639365519999956</v>
      </c>
      <c r="I27" s="2">
        <f ca="1">TODAY()-38</f>
        <v>44067</v>
      </c>
      <c r="J27" s="4">
        <f t="shared" ca="1" si="4"/>
        <v>0.10403832991101986</v>
      </c>
      <c r="K27">
        <f t="shared" ca="1" si="5"/>
        <v>-37.532821763944774</v>
      </c>
      <c r="L27">
        <f t="shared" si="1"/>
        <v>1.6647788418048255</v>
      </c>
      <c r="M27" t="s">
        <v>7</v>
      </c>
    </row>
    <row r="28" spans="1:15" x14ac:dyDescent="0.2">
      <c r="A28" t="s">
        <v>55</v>
      </c>
      <c r="B28">
        <v>12.794714000000001</v>
      </c>
      <c r="C28">
        <v>312.77</v>
      </c>
      <c r="D28">
        <f t="shared" si="0"/>
        <v>443.41983728592919</v>
      </c>
      <c r="E28">
        <v>5673.43</v>
      </c>
      <c r="F28">
        <v>0</v>
      </c>
      <c r="G28">
        <f t="shared" si="2"/>
        <v>41.77185704700873</v>
      </c>
      <c r="H28">
        <f t="shared" si="3"/>
        <v>1671.6273022200003</v>
      </c>
      <c r="I28" s="2">
        <f ca="1">TODAY()-49</f>
        <v>44056</v>
      </c>
      <c r="J28" s="4">
        <f t="shared" ca="1" si="4"/>
        <v>0.13415468856947296</v>
      </c>
      <c r="K28">
        <f t="shared" ca="1" si="5"/>
        <v>311.37083237591713</v>
      </c>
      <c r="L28">
        <f t="shared" si="1"/>
        <v>9.2172480257446026</v>
      </c>
      <c r="M28" t="s">
        <v>7</v>
      </c>
      <c r="N28" s="2"/>
    </row>
    <row r="29" spans="1:15" x14ac:dyDescent="0.2">
      <c r="A29" t="s">
        <v>58</v>
      </c>
      <c r="B29">
        <v>0.23896200000000001</v>
      </c>
      <c r="C29">
        <v>418.48</v>
      </c>
      <c r="D29">
        <f t="shared" si="0"/>
        <v>476.60297453151549</v>
      </c>
      <c r="E29">
        <v>113.89</v>
      </c>
      <c r="F29">
        <v>0</v>
      </c>
      <c r="G29">
        <f t="shared" si="2"/>
        <v>13.889068660752118</v>
      </c>
      <c r="H29">
        <f t="shared" si="3"/>
        <v>13.889182239999997</v>
      </c>
      <c r="I29" s="1">
        <v>44076</v>
      </c>
      <c r="J29" s="4">
        <f t="shared" ca="1" si="4"/>
        <v>7.939767282683094E-2</v>
      </c>
      <c r="K29">
        <f t="shared" ca="1" si="5"/>
        <v>174.93042511516245</v>
      </c>
      <c r="L29">
        <f t="shared" si="1"/>
        <v>0.18502958133828262</v>
      </c>
      <c r="M29" t="s">
        <v>7</v>
      </c>
    </row>
    <row r="30" spans="1:15" x14ac:dyDescent="0.2">
      <c r="A30" t="s">
        <v>67</v>
      </c>
      <c r="B30">
        <v>2.2797040000000002</v>
      </c>
      <c r="C30">
        <v>87.73</v>
      </c>
      <c r="D30">
        <f t="shared" si="0"/>
        <v>87.730687843684962</v>
      </c>
      <c r="E30">
        <v>200</v>
      </c>
      <c r="F30">
        <v>0</v>
      </c>
      <c r="G30">
        <f t="shared" si="2"/>
        <v>7.8404614722165321E-4</v>
      </c>
      <c r="H30">
        <f t="shared" si="3"/>
        <v>1.5680799999699957E-3</v>
      </c>
      <c r="I30" s="1">
        <v>44105</v>
      </c>
      <c r="J30" s="4">
        <f t="shared" ca="1" si="4"/>
        <v>0</v>
      </c>
      <c r="K30" t="e">
        <f t="shared" ca="1" si="5"/>
        <v>#DIV/0!</v>
      </c>
      <c r="L30">
        <f t="shared" si="1"/>
        <v>0.32492682647867704</v>
      </c>
      <c r="M30" t="s">
        <v>9</v>
      </c>
    </row>
    <row r="31" spans="1:15" x14ac:dyDescent="0.2">
      <c r="A31" t="s">
        <v>68</v>
      </c>
      <c r="B31">
        <v>1.6930620000000001</v>
      </c>
      <c r="C31">
        <v>236.26</v>
      </c>
      <c r="D31">
        <f t="shared" si="0"/>
        <v>236.25832958273233</v>
      </c>
      <c r="E31">
        <v>400</v>
      </c>
      <c r="F31">
        <v>0</v>
      </c>
      <c r="G31">
        <f t="shared" si="2"/>
        <v>-7.0702500112636529E-4</v>
      </c>
      <c r="H31">
        <f t="shared" si="3"/>
        <v>-2.8281200000037643E-3</v>
      </c>
      <c r="I31" s="1">
        <v>44105</v>
      </c>
      <c r="J31" s="4">
        <f t="shared" ca="1" si="4"/>
        <v>0</v>
      </c>
      <c r="K31" t="e">
        <f t="shared" ca="1" si="5"/>
        <v>#DIV/0!</v>
      </c>
      <c r="L31">
        <f t="shared" si="1"/>
        <v>0.64985365295735409</v>
      </c>
      <c r="M31" t="s">
        <v>9</v>
      </c>
    </row>
    <row r="32" spans="1:15" x14ac:dyDescent="0.2">
      <c r="A32" t="s">
        <v>12</v>
      </c>
      <c r="B32">
        <v>4.6266299999999996</v>
      </c>
      <c r="C32">
        <v>108.07</v>
      </c>
      <c r="D32">
        <f t="shared" si="0"/>
        <v>109.71052364247844</v>
      </c>
      <c r="E32">
        <v>507.59</v>
      </c>
      <c r="F32">
        <v>0</v>
      </c>
      <c r="G32">
        <f t="shared" si="2"/>
        <v>1.5180194711561414</v>
      </c>
      <c r="H32">
        <f t="shared" si="3"/>
        <v>7.5900959000000512</v>
      </c>
      <c r="I32" s="1">
        <v>44084</v>
      </c>
      <c r="J32" s="4">
        <f t="shared" ca="1" si="4"/>
        <v>5.7494866529774126E-2</v>
      </c>
      <c r="K32">
        <f t="shared" ca="1" si="5"/>
        <v>26.402695801894318</v>
      </c>
      <c r="L32">
        <f t="shared" si="1"/>
        <v>0.82464803926155827</v>
      </c>
      <c r="M32" t="s">
        <v>9</v>
      </c>
    </row>
    <row r="33" spans="1:13" x14ac:dyDescent="0.2">
      <c r="A33" t="s">
        <v>11</v>
      </c>
      <c r="B33">
        <v>1.773528</v>
      </c>
      <c r="C33">
        <v>93.46</v>
      </c>
      <c r="D33">
        <f t="shared" si="0"/>
        <v>93.305546909888079</v>
      </c>
      <c r="E33">
        <v>165.48</v>
      </c>
      <c r="F33">
        <v>0</v>
      </c>
      <c r="G33">
        <f t="shared" si="2"/>
        <v>-0.16526117067399373</v>
      </c>
      <c r="H33">
        <f t="shared" si="3"/>
        <v>-0.27392688000000476</v>
      </c>
      <c r="I33" s="1">
        <v>44084</v>
      </c>
      <c r="J33" s="4">
        <f t="shared" ca="1" si="4"/>
        <v>5.7494866529774126E-2</v>
      </c>
      <c r="K33">
        <f t="shared" ca="1" si="5"/>
        <v>-2.8743639327941053</v>
      </c>
      <c r="L33">
        <f t="shared" si="1"/>
        <v>0.26884445622845732</v>
      </c>
      <c r="M33" t="s">
        <v>9</v>
      </c>
    </row>
    <row r="34" spans="1:13" x14ac:dyDescent="0.2">
      <c r="A34" t="s">
        <v>13</v>
      </c>
      <c r="B34">
        <v>1.8553729999999999</v>
      </c>
      <c r="C34">
        <v>107.8</v>
      </c>
      <c r="D34">
        <f t="shared" si="0"/>
        <v>114.81249322912429</v>
      </c>
      <c r="E34">
        <v>213.02</v>
      </c>
      <c r="F34">
        <v>0</v>
      </c>
      <c r="G34">
        <f t="shared" si="2"/>
        <v>6.5050957598555561</v>
      </c>
      <c r="H34">
        <f t="shared" si="3"/>
        <v>13.010790600000036</v>
      </c>
      <c r="I34" s="1">
        <v>44084</v>
      </c>
      <c r="J34" s="4">
        <f t="shared" ca="1" si="4"/>
        <v>5.7494866529774126E-2</v>
      </c>
      <c r="K34">
        <f t="shared" ca="1" si="5"/>
        <v>113.14220125177343</v>
      </c>
      <c r="L34">
        <f t="shared" si="1"/>
        <v>0.34607956288243891</v>
      </c>
      <c r="M34" t="s">
        <v>9</v>
      </c>
    </row>
    <row r="35" spans="1:13" x14ac:dyDescent="0.2">
      <c r="A35" t="s">
        <v>14</v>
      </c>
      <c r="B35">
        <v>12.977095</v>
      </c>
      <c r="C35">
        <v>55.72</v>
      </c>
      <c r="D35">
        <f t="shared" si="0"/>
        <v>60.800202202418951</v>
      </c>
      <c r="E35">
        <v>789.01</v>
      </c>
      <c r="F35">
        <v>0</v>
      </c>
      <c r="G35">
        <f t="shared" si="2"/>
        <v>9.1173765298258314</v>
      </c>
      <c r="H35">
        <f t="shared" si="3"/>
        <v>65.926266599999963</v>
      </c>
      <c r="I35" s="1">
        <v>44084</v>
      </c>
      <c r="J35" s="4">
        <f t="shared" ca="1" si="4"/>
        <v>5.7494866529774126E-2</v>
      </c>
      <c r="K35">
        <f t="shared" ca="1" si="5"/>
        <v>158.57722750089928</v>
      </c>
      <c r="L35">
        <f t="shared" si="1"/>
        <v>1.2818525767997047</v>
      </c>
      <c r="M35" t="s">
        <v>9</v>
      </c>
    </row>
    <row r="36" spans="1:13" x14ac:dyDescent="0.2">
      <c r="A36" t="s">
        <v>17</v>
      </c>
      <c r="B36">
        <v>0.97524</v>
      </c>
      <c r="C36">
        <v>264.25</v>
      </c>
      <c r="D36">
        <f t="shared" si="0"/>
        <v>270.29244083507649</v>
      </c>
      <c r="E36">
        <v>263.60000000000002</v>
      </c>
      <c r="F36">
        <v>0</v>
      </c>
      <c r="G36">
        <f t="shared" si="2"/>
        <v>2.2866379697545849</v>
      </c>
      <c r="H36">
        <f t="shared" si="3"/>
        <v>5.8928300000000036</v>
      </c>
      <c r="I36" s="1">
        <v>44084</v>
      </c>
      <c r="J36" s="4">
        <f t="shared" ca="1" si="4"/>
        <v>5.7494866529774126E-2</v>
      </c>
      <c r="K36">
        <f t="shared" ca="1" si="5"/>
        <v>39.771167545374389</v>
      </c>
      <c r="L36">
        <f t="shared" si="1"/>
        <v>0.4282535572988963</v>
      </c>
      <c r="M36" t="s">
        <v>9</v>
      </c>
    </row>
    <row r="37" spans="1:13" x14ac:dyDescent="0.2">
      <c r="A37" t="s">
        <v>18</v>
      </c>
      <c r="B37">
        <v>1.383141</v>
      </c>
      <c r="C37">
        <v>361.5</v>
      </c>
      <c r="D37">
        <f t="shared" si="0"/>
        <v>366.96909425720156</v>
      </c>
      <c r="E37">
        <v>507.57</v>
      </c>
      <c r="F37">
        <v>4.5</v>
      </c>
      <c r="G37">
        <f t="shared" si="2"/>
        <v>2.4128792958618668</v>
      </c>
      <c r="H37">
        <f t="shared" si="3"/>
        <v>12.064528499999994</v>
      </c>
      <c r="I37" s="1">
        <v>44084</v>
      </c>
      <c r="J37" s="4">
        <f t="shared" ca="1" si="4"/>
        <v>5.7494866529774126E-2</v>
      </c>
      <c r="K37">
        <f t="shared" ca="1" si="5"/>
        <v>41.966864895883184</v>
      </c>
      <c r="L37">
        <f t="shared" si="1"/>
        <v>0.82461554657891045</v>
      </c>
      <c r="M37" t="s">
        <v>9</v>
      </c>
    </row>
    <row r="38" spans="1:13" x14ac:dyDescent="0.2">
      <c r="A38" t="s">
        <v>60</v>
      </c>
      <c r="B38">
        <v>0.532883</v>
      </c>
      <c r="C38">
        <v>281.49</v>
      </c>
      <c r="D38">
        <f t="shared" si="0"/>
        <v>283.6645192284235</v>
      </c>
      <c r="E38">
        <v>151.16</v>
      </c>
      <c r="F38">
        <v>0</v>
      </c>
      <c r="G38">
        <f t="shared" si="2"/>
        <v>0.77250318960655506</v>
      </c>
      <c r="H38">
        <f t="shared" si="3"/>
        <v>1.1587643299999968</v>
      </c>
      <c r="I38" s="1">
        <v>44089</v>
      </c>
      <c r="J38" s="4">
        <f t="shared" ca="1" si="4"/>
        <v>4.380561259411362E-2</v>
      </c>
      <c r="K38">
        <f t="shared" ca="1" si="5"/>
        <v>17.63479937523714</v>
      </c>
      <c r="L38">
        <f t="shared" si="1"/>
        <v>0.2455796954525841</v>
      </c>
      <c r="M38" t="s">
        <v>9</v>
      </c>
    </row>
    <row r="39" spans="1:13" x14ac:dyDescent="0.2">
      <c r="A39" t="s">
        <v>62</v>
      </c>
      <c r="B39">
        <v>1.67743</v>
      </c>
      <c r="C39">
        <v>59.62</v>
      </c>
      <c r="D39">
        <f t="shared" si="0"/>
        <v>60.193271850390182</v>
      </c>
      <c r="E39">
        <v>100.97</v>
      </c>
      <c r="F39">
        <v>0</v>
      </c>
      <c r="G39">
        <f t="shared" si="2"/>
        <v>0.96154285540118267</v>
      </c>
      <c r="H39">
        <f t="shared" si="3"/>
        <v>0.96162340000000768</v>
      </c>
      <c r="I39" s="1">
        <v>44089</v>
      </c>
      <c r="J39" s="4">
        <f t="shared" ca="1" si="4"/>
        <v>4.380561259411362E-2</v>
      </c>
      <c r="K39">
        <f t="shared" ca="1" si="5"/>
        <v>21.950220495955122</v>
      </c>
      <c r="L39">
        <f t="shared" si="1"/>
        <v>0.16403930834776009</v>
      </c>
      <c r="M39" t="s">
        <v>9</v>
      </c>
    </row>
    <row r="40" spans="1:13" x14ac:dyDescent="0.2">
      <c r="A40" t="s">
        <v>22</v>
      </c>
      <c r="B40">
        <v>4.5094200000000004</v>
      </c>
      <c r="C40">
        <v>110.88</v>
      </c>
      <c r="D40">
        <f t="shared" si="0"/>
        <v>122.99586199555596</v>
      </c>
      <c r="E40">
        <v>554.64</v>
      </c>
      <c r="F40">
        <v>0</v>
      </c>
      <c r="G40">
        <f t="shared" si="2"/>
        <v>10.927003964245996</v>
      </c>
      <c r="H40">
        <f t="shared" si="3"/>
        <v>54.635510399999987</v>
      </c>
      <c r="I40" s="1">
        <v>44084</v>
      </c>
      <c r="J40" s="4">
        <f t="shared" ca="1" si="4"/>
        <v>5.7494866529774126E-2</v>
      </c>
      <c r="K40">
        <f t="shared" ca="1" si="5"/>
        <v>190.05181894956428</v>
      </c>
      <c r="L40">
        <f t="shared" si="1"/>
        <v>0.90108707519066711</v>
      </c>
      <c r="M40" t="s">
        <v>9</v>
      </c>
    </row>
    <row r="41" spans="1:13" x14ac:dyDescent="0.2">
      <c r="A41" t="s">
        <v>23</v>
      </c>
      <c r="B41">
        <v>2.0046900000000001</v>
      </c>
      <c r="C41">
        <v>172.81</v>
      </c>
      <c r="D41">
        <f t="shared" si="0"/>
        <v>167.84141188912002</v>
      </c>
      <c r="E41">
        <v>336.47</v>
      </c>
      <c r="F41">
        <v>0</v>
      </c>
      <c r="G41">
        <f t="shared" si="2"/>
        <v>-2.8751739545628019</v>
      </c>
      <c r="H41">
        <f t="shared" si="3"/>
        <v>-9.9604788999999982</v>
      </c>
      <c r="I41" s="1">
        <v>44084</v>
      </c>
      <c r="J41" s="4">
        <f t="shared" ca="1" si="4"/>
        <v>5.7494866529774126E-2</v>
      </c>
      <c r="K41">
        <f t="shared" ca="1" si="5"/>
        <v>-50.007489852574452</v>
      </c>
      <c r="L41">
        <f t="shared" si="1"/>
        <v>0.54664064652640232</v>
      </c>
      <c r="M41" t="s">
        <v>9</v>
      </c>
    </row>
    <row r="42" spans="1:13" x14ac:dyDescent="0.2">
      <c r="A42" t="s">
        <v>24</v>
      </c>
      <c r="B42">
        <v>8.7938770000000002</v>
      </c>
      <c r="C42">
        <v>56.86</v>
      </c>
      <c r="D42">
        <f t="shared" si="0"/>
        <v>58.399725172412573</v>
      </c>
      <c r="E42">
        <v>513.55999999999995</v>
      </c>
      <c r="F42">
        <v>0</v>
      </c>
      <c r="G42">
        <f t="shared" si="2"/>
        <v>2.707923271917998</v>
      </c>
      <c r="H42">
        <f t="shared" si="3"/>
        <v>13.540153779999969</v>
      </c>
      <c r="I42" s="1">
        <v>44084</v>
      </c>
      <c r="J42" s="4">
        <f t="shared" ca="1" si="4"/>
        <v>5.7494866529774126E-2</v>
      </c>
      <c r="K42">
        <f t="shared" ca="1" si="5"/>
        <v>47.098522622288037</v>
      </c>
      <c r="L42">
        <f t="shared" si="1"/>
        <v>0.83434710503194676</v>
      </c>
      <c r="M42" t="s">
        <v>9</v>
      </c>
    </row>
    <row r="43" spans="1:13" x14ac:dyDescent="0.2">
      <c r="A43" t="s">
        <v>25</v>
      </c>
      <c r="B43">
        <v>3.7509939999999999</v>
      </c>
      <c r="C43">
        <v>66.650000000000006</v>
      </c>
      <c r="D43">
        <f t="shared" si="0"/>
        <v>69.504243408547168</v>
      </c>
      <c r="E43">
        <v>260.70999999999998</v>
      </c>
      <c r="F43">
        <v>0</v>
      </c>
      <c r="G43">
        <f t="shared" si="2"/>
        <v>4.282435721751181</v>
      </c>
      <c r="H43">
        <f t="shared" si="3"/>
        <v>10.70624989999996</v>
      </c>
      <c r="I43" s="1">
        <v>44084</v>
      </c>
      <c r="J43" s="4">
        <f t="shared" ca="1" si="4"/>
        <v>5.7494866529774126E-2</v>
      </c>
      <c r="K43">
        <f t="shared" ca="1" si="5"/>
        <v>74.483792731886609</v>
      </c>
      <c r="L43">
        <f t="shared" si="1"/>
        <v>0.42355836465627938</v>
      </c>
      <c r="M43" t="s">
        <v>9</v>
      </c>
    </row>
    <row r="44" spans="1:13" x14ac:dyDescent="0.2">
      <c r="A44" t="s">
        <v>26</v>
      </c>
      <c r="B44">
        <v>2.8274509999999999</v>
      </c>
      <c r="C44">
        <v>110.66</v>
      </c>
      <c r="D44">
        <f t="shared" si="0"/>
        <v>113.38834872823615</v>
      </c>
      <c r="E44">
        <v>320.60000000000002</v>
      </c>
      <c r="F44">
        <v>0</v>
      </c>
      <c r="G44">
        <f t="shared" si="2"/>
        <v>2.465523882374983</v>
      </c>
      <c r="H44">
        <f t="shared" si="3"/>
        <v>7.7142723400000364</v>
      </c>
      <c r="I44" s="1">
        <v>44084</v>
      </c>
      <c r="J44" s="4">
        <f t="shared" ca="1" si="4"/>
        <v>5.7494866529774126E-2</v>
      </c>
      <c r="K44">
        <f t="shared" ca="1" si="5"/>
        <v>42.882504668450601</v>
      </c>
      <c r="L44">
        <f t="shared" si="1"/>
        <v>0.52085770284531929</v>
      </c>
      <c r="M44" t="s">
        <v>9</v>
      </c>
    </row>
    <row r="45" spans="1:13" x14ac:dyDescent="0.2">
      <c r="A45" t="s">
        <v>69</v>
      </c>
      <c r="B45">
        <v>3.033128</v>
      </c>
      <c r="C45">
        <v>82.42</v>
      </c>
      <c r="D45">
        <f t="shared" si="0"/>
        <v>82.423161831614095</v>
      </c>
      <c r="E45">
        <v>250</v>
      </c>
      <c r="F45">
        <v>0</v>
      </c>
      <c r="G45">
        <f t="shared" si="2"/>
        <v>3.8362431619674326E-3</v>
      </c>
      <c r="H45">
        <f t="shared" si="3"/>
        <v>9.59023999999431E-3</v>
      </c>
      <c r="I45" s="1">
        <v>44105</v>
      </c>
      <c r="J45" s="4">
        <f t="shared" ca="1" si="4"/>
        <v>0</v>
      </c>
      <c r="K45" t="e">
        <f t="shared" ca="1" si="5"/>
        <v>#DIV/0!</v>
      </c>
      <c r="L45">
        <f t="shared" si="1"/>
        <v>0.40615853309834626</v>
      </c>
      <c r="M45" t="s">
        <v>9</v>
      </c>
    </row>
    <row r="46" spans="1:13" x14ac:dyDescent="0.2">
      <c r="A46" t="s">
        <v>27</v>
      </c>
      <c r="B46">
        <v>8.0308740000000007</v>
      </c>
      <c r="C46">
        <v>31.13</v>
      </c>
      <c r="D46">
        <f t="shared" si="0"/>
        <v>28.959488095567178</v>
      </c>
      <c r="E46">
        <v>232.57</v>
      </c>
      <c r="F46">
        <v>0</v>
      </c>
      <c r="G46">
        <f t="shared" si="2"/>
        <v>-6.9724121568673993</v>
      </c>
      <c r="H46">
        <f t="shared" si="3"/>
        <v>-17.431107620000034</v>
      </c>
      <c r="I46" s="1">
        <v>44084</v>
      </c>
      <c r="J46" s="4">
        <f t="shared" ca="1" si="4"/>
        <v>5.7494866529774126E-2</v>
      </c>
      <c r="K46">
        <f t="shared" ca="1" si="5"/>
        <v>-121.27016858551512</v>
      </c>
      <c r="L46">
        <f t="shared" si="1"/>
        <v>0.37784116017072955</v>
      </c>
      <c r="M46" t="s">
        <v>9</v>
      </c>
    </row>
    <row r="47" spans="1:13" x14ac:dyDescent="0.2">
      <c r="A47" t="s">
        <v>29</v>
      </c>
      <c r="B47">
        <v>2.0623649999999998</v>
      </c>
      <c r="C47">
        <v>121.22</v>
      </c>
      <c r="D47">
        <f t="shared" si="0"/>
        <v>123.43110943019302</v>
      </c>
      <c r="E47">
        <v>254.56</v>
      </c>
      <c r="F47">
        <v>0</v>
      </c>
      <c r="G47">
        <f t="shared" si="2"/>
        <v>1.8240467168726442</v>
      </c>
      <c r="H47">
        <f t="shared" si="3"/>
        <v>4.5601147000000424</v>
      </c>
      <c r="I47" s="1">
        <v>44084</v>
      </c>
      <c r="J47" s="4">
        <f t="shared" ca="1" si="4"/>
        <v>5.7494866529774126E-2</v>
      </c>
      <c r="K47">
        <f t="shared" ca="1" si="5"/>
        <v>31.72538396846349</v>
      </c>
      <c r="L47">
        <f t="shared" si="1"/>
        <v>0.41356686474206011</v>
      </c>
      <c r="M47" t="s">
        <v>9</v>
      </c>
    </row>
    <row r="48" spans="1:13" x14ac:dyDescent="0.2">
      <c r="A48" t="s">
        <v>30</v>
      </c>
      <c r="B48">
        <v>3.369955</v>
      </c>
      <c r="C48">
        <v>148.37</v>
      </c>
      <c r="D48">
        <f t="shared" si="0"/>
        <v>147.45004013406705</v>
      </c>
      <c r="E48">
        <v>496.9</v>
      </c>
      <c r="F48">
        <v>0</v>
      </c>
      <c r="G48">
        <f t="shared" si="2"/>
        <v>-0.62004439302618619</v>
      </c>
      <c r="H48">
        <f t="shared" si="3"/>
        <v>-3.1002233500000216</v>
      </c>
      <c r="I48" s="1">
        <v>44084</v>
      </c>
      <c r="J48" s="4">
        <f t="shared" ca="1" si="4"/>
        <v>5.7494866529774126E-2</v>
      </c>
      <c r="K48">
        <f t="shared" ca="1" si="5"/>
        <v>-10.784343550134025</v>
      </c>
      <c r="L48">
        <f t="shared" si="1"/>
        <v>0.80728070038627286</v>
      </c>
      <c r="M48" t="s">
        <v>9</v>
      </c>
    </row>
    <row r="49" spans="1:13" x14ac:dyDescent="0.2">
      <c r="A49" t="s">
        <v>36</v>
      </c>
      <c r="B49">
        <v>5.1414609999999996</v>
      </c>
      <c r="C49">
        <v>97.25</v>
      </c>
      <c r="D49">
        <f t="shared" si="0"/>
        <v>104.28942279247087</v>
      </c>
      <c r="E49">
        <v>536.20000000000005</v>
      </c>
      <c r="F49">
        <v>0</v>
      </c>
      <c r="G49">
        <f t="shared" si="2"/>
        <v>7.2384810205356018</v>
      </c>
      <c r="H49">
        <f t="shared" si="3"/>
        <v>36.192917750000106</v>
      </c>
      <c r="I49" s="1">
        <v>44084</v>
      </c>
      <c r="J49" s="4">
        <f t="shared" ca="1" si="4"/>
        <v>5.7494866529774126E-2</v>
      </c>
      <c r="K49">
        <f t="shared" ca="1" si="5"/>
        <v>125.89786632145851</v>
      </c>
      <c r="L49">
        <f t="shared" si="1"/>
        <v>0.87112882178933315</v>
      </c>
      <c r="M49" t="s">
        <v>9</v>
      </c>
    </row>
    <row r="50" spans="1:13" x14ac:dyDescent="0.2">
      <c r="A50" t="s">
        <v>31</v>
      </c>
      <c r="B50">
        <v>2.1210640000000001</v>
      </c>
      <c r="C50">
        <v>235.73</v>
      </c>
      <c r="D50">
        <f t="shared" si="0"/>
        <v>239.79945913937533</v>
      </c>
      <c r="E50">
        <v>508.63</v>
      </c>
      <c r="F50">
        <v>0</v>
      </c>
      <c r="G50">
        <f t="shared" si="2"/>
        <v>1.7263221225025833</v>
      </c>
      <c r="H50">
        <f t="shared" si="3"/>
        <v>8.6315832800000294</v>
      </c>
      <c r="I50" s="1">
        <v>44084</v>
      </c>
      <c r="J50" s="4">
        <f t="shared" ca="1" si="4"/>
        <v>5.7494866529774126E-2</v>
      </c>
      <c r="K50">
        <f t="shared" ca="1" si="5"/>
        <v>30.025674059241361</v>
      </c>
      <c r="L50">
        <f t="shared" si="1"/>
        <v>0.82633765875924736</v>
      </c>
      <c r="M50" t="s">
        <v>9</v>
      </c>
    </row>
    <row r="51" spans="1:13" x14ac:dyDescent="0.2">
      <c r="A51" t="s">
        <v>61</v>
      </c>
      <c r="B51">
        <v>3.7566809999999999</v>
      </c>
      <c r="C51">
        <v>66.55</v>
      </c>
      <c r="D51">
        <f t="shared" si="0"/>
        <v>62.864001494936623</v>
      </c>
      <c r="E51">
        <v>236.16</v>
      </c>
      <c r="F51">
        <v>0</v>
      </c>
      <c r="G51">
        <f t="shared" si="2"/>
        <v>-5.5386904659104044</v>
      </c>
      <c r="H51">
        <f t="shared" si="3"/>
        <v>-13.84712055</v>
      </c>
      <c r="I51" s="1">
        <v>44084</v>
      </c>
      <c r="J51" s="4">
        <f t="shared" ca="1" si="4"/>
        <v>5.7494866529774126E-2</v>
      </c>
      <c r="K51">
        <f t="shared" ca="1" si="5"/>
        <v>-96.33365203208453</v>
      </c>
      <c r="L51">
        <f t="shared" si="1"/>
        <v>0.3836735967060218</v>
      </c>
      <c r="M51" t="s">
        <v>9</v>
      </c>
    </row>
    <row r="52" spans="1:13" x14ac:dyDescent="0.2">
      <c r="A52" t="s">
        <v>33</v>
      </c>
      <c r="B52">
        <v>10</v>
      </c>
      <c r="C52">
        <v>30.74</v>
      </c>
      <c r="D52">
        <f t="shared" si="0"/>
        <v>30.324999999999999</v>
      </c>
      <c r="E52">
        <v>303.25</v>
      </c>
      <c r="F52">
        <f>3.8*17</f>
        <v>64.599999999999994</v>
      </c>
      <c r="G52">
        <f t="shared" si="2"/>
        <v>19.664931685100843</v>
      </c>
      <c r="H52">
        <f t="shared" si="3"/>
        <v>60.450000000000017</v>
      </c>
      <c r="I52" s="2">
        <v>42437</v>
      </c>
      <c r="J52" s="4">
        <f t="shared" ca="1" si="4"/>
        <v>4.5667351129363452</v>
      </c>
      <c r="K52">
        <f t="shared" ca="1" si="5"/>
        <v>4.3061248788867399</v>
      </c>
      <c r="L52">
        <f t="shared" si="1"/>
        <v>0.49267030064829404</v>
      </c>
      <c r="M52" t="s">
        <v>9</v>
      </c>
    </row>
    <row r="53" spans="1:13" x14ac:dyDescent="0.2">
      <c r="A53" t="s">
        <v>37</v>
      </c>
      <c r="B53">
        <v>2.9366859999999999</v>
      </c>
      <c r="C53">
        <v>170.26</v>
      </c>
      <c r="D53">
        <f t="shared" si="0"/>
        <v>178.72867579305381</v>
      </c>
      <c r="E53">
        <v>524.87</v>
      </c>
      <c r="F53">
        <v>0</v>
      </c>
      <c r="G53">
        <f t="shared" si="2"/>
        <v>4.9739667526452598</v>
      </c>
      <c r="H53">
        <f t="shared" si="3"/>
        <v>24.869841640000061</v>
      </c>
      <c r="I53" s="1">
        <v>44084</v>
      </c>
      <c r="J53" s="4">
        <f t="shared" ca="1" si="4"/>
        <v>5.7494866529774126E-2</v>
      </c>
      <c r="K53">
        <f t="shared" ca="1" si="5"/>
        <v>86.511493162080058</v>
      </c>
      <c r="L53">
        <f t="shared" si="1"/>
        <v>0.85272171706931599</v>
      </c>
      <c r="M53" t="s">
        <v>9</v>
      </c>
    </row>
    <row r="54" spans="1:13" x14ac:dyDescent="0.2">
      <c r="A54" t="s">
        <v>38</v>
      </c>
      <c r="B54">
        <v>2.9477410000000002</v>
      </c>
      <c r="C54">
        <v>135.69999999999999</v>
      </c>
      <c r="D54">
        <f t="shared" si="0"/>
        <v>123.2706672669003</v>
      </c>
      <c r="E54">
        <v>363.37</v>
      </c>
      <c r="F54">
        <v>0</v>
      </c>
      <c r="G54">
        <f t="shared" si="2"/>
        <v>-9.1594198475310868</v>
      </c>
      <c r="H54">
        <f t="shared" si="3"/>
        <v>-36.638453699999957</v>
      </c>
      <c r="I54" s="1">
        <v>44084</v>
      </c>
      <c r="J54" s="4">
        <f t="shared" ca="1" si="4"/>
        <v>5.7494866529774126E-2</v>
      </c>
      <c r="K54">
        <f t="shared" ca="1" si="5"/>
        <v>-159.30848091955855</v>
      </c>
      <c r="L54">
        <f t="shared" si="1"/>
        <v>0.59034330468778429</v>
      </c>
      <c r="M54" t="s">
        <v>9</v>
      </c>
    </row>
    <row r="55" spans="1:13" x14ac:dyDescent="0.2">
      <c r="A55" t="s">
        <v>70</v>
      </c>
      <c r="B55">
        <v>3.7408399999999999</v>
      </c>
      <c r="C55">
        <v>66.83</v>
      </c>
      <c r="D55">
        <f t="shared" si="0"/>
        <v>66.829909859817576</v>
      </c>
      <c r="E55">
        <v>250</v>
      </c>
      <c r="F55">
        <v>0</v>
      </c>
      <c r="G55">
        <f t="shared" si="2"/>
        <v>-1.3487981807909667E-4</v>
      </c>
      <c r="H55">
        <f t="shared" si="3"/>
        <v>-3.3719999998993444E-4</v>
      </c>
      <c r="I55" s="1">
        <v>44105</v>
      </c>
      <c r="J55" s="4">
        <f t="shared" ca="1" si="4"/>
        <v>0</v>
      </c>
      <c r="K55" t="e">
        <f t="shared" ca="1" si="5"/>
        <v>#DIV/0!</v>
      </c>
      <c r="L55">
        <f t="shared" si="1"/>
        <v>0.40615853309834626</v>
      </c>
      <c r="M55" t="s">
        <v>9</v>
      </c>
    </row>
    <row r="56" spans="1:13" x14ac:dyDescent="0.2">
      <c r="A56" t="s">
        <v>39</v>
      </c>
      <c r="B56">
        <v>53.136142999999997</v>
      </c>
      <c r="C56">
        <v>9.41</v>
      </c>
      <c r="D56">
        <f t="shared" si="0"/>
        <v>9.2850171680695759</v>
      </c>
      <c r="E56">
        <v>493.37</v>
      </c>
      <c r="F56">
        <v>0</v>
      </c>
      <c r="G56">
        <f t="shared" si="2"/>
        <v>-1.3281916251904808</v>
      </c>
      <c r="H56">
        <f t="shared" si="3"/>
        <v>-6.64110562999997</v>
      </c>
      <c r="I56" s="1">
        <v>44084</v>
      </c>
      <c r="J56" s="4">
        <f t="shared" ca="1" si="4"/>
        <v>5.7494866529774126E-2</v>
      </c>
      <c r="K56">
        <f t="shared" ca="1" si="5"/>
        <v>-23.101047195277292</v>
      </c>
      <c r="L56">
        <f t="shared" si="1"/>
        <v>0.80154574189892447</v>
      </c>
      <c r="M56" t="s">
        <v>9</v>
      </c>
    </row>
    <row r="57" spans="1:13" x14ac:dyDescent="0.2">
      <c r="A57" t="s">
        <v>40</v>
      </c>
      <c r="B57">
        <v>10.088991</v>
      </c>
      <c r="C57">
        <v>49.56</v>
      </c>
      <c r="D57">
        <f t="shared" si="0"/>
        <v>52.27480131561223</v>
      </c>
      <c r="E57">
        <v>527.4</v>
      </c>
      <c r="F57">
        <v>0</v>
      </c>
      <c r="G57">
        <f t="shared" si="2"/>
        <v>5.4778073357793122</v>
      </c>
      <c r="H57">
        <f t="shared" si="3"/>
        <v>27.389606039999933</v>
      </c>
      <c r="I57" s="1">
        <v>44084</v>
      </c>
      <c r="J57" s="4">
        <f t="shared" ca="1" si="4"/>
        <v>5.7494866529774126E-2</v>
      </c>
      <c r="K57">
        <f t="shared" ca="1" si="5"/>
        <v>95.274720447304475</v>
      </c>
      <c r="L57">
        <f t="shared" si="1"/>
        <v>0.85683204142427116</v>
      </c>
      <c r="M57" t="s">
        <v>9</v>
      </c>
    </row>
    <row r="58" spans="1:13" x14ac:dyDescent="0.2">
      <c r="A58" t="s">
        <v>71</v>
      </c>
      <c r="B58">
        <v>4.4642910000000002</v>
      </c>
      <c r="C58">
        <v>89.6</v>
      </c>
      <c r="D58">
        <f t="shared" si="0"/>
        <v>89.599893913725595</v>
      </c>
      <c r="E58">
        <v>400</v>
      </c>
      <c r="F58">
        <v>0</v>
      </c>
      <c r="G58">
        <f t="shared" si="2"/>
        <v>-1.1839985982118963E-4</v>
      </c>
      <c r="H58">
        <f t="shared" si="3"/>
        <v>-4.7360000002072411E-4</v>
      </c>
      <c r="I58" s="1">
        <v>44105</v>
      </c>
      <c r="J58" s="4">
        <f t="shared" ca="1" si="4"/>
        <v>0</v>
      </c>
      <c r="K58" t="e">
        <f t="shared" ca="1" si="5"/>
        <v>#DIV/0!</v>
      </c>
      <c r="L58">
        <f t="shared" si="1"/>
        <v>0.64985365295735409</v>
      </c>
      <c r="M58" t="s">
        <v>9</v>
      </c>
    </row>
    <row r="59" spans="1:13" x14ac:dyDescent="0.2">
      <c r="A59" t="s">
        <v>72</v>
      </c>
      <c r="B59">
        <v>1.0626009999999999</v>
      </c>
      <c r="C59">
        <v>188.22</v>
      </c>
      <c r="D59">
        <f t="shared" si="0"/>
        <v>188.21740239280786</v>
      </c>
      <c r="E59">
        <v>200</v>
      </c>
      <c r="F59">
        <v>0</v>
      </c>
      <c r="G59">
        <f t="shared" si="2"/>
        <v>-1.3800909532161376E-3</v>
      </c>
      <c r="H59">
        <f t="shared" si="3"/>
        <v>-2.760219999970559E-3</v>
      </c>
      <c r="I59" s="1">
        <v>44105</v>
      </c>
      <c r="J59" s="4">
        <f t="shared" ca="1" si="4"/>
        <v>0</v>
      </c>
      <c r="K59" t="e">
        <f t="shared" ca="1" si="5"/>
        <v>#DIV/0!</v>
      </c>
      <c r="L59">
        <f t="shared" si="1"/>
        <v>0.32492682647867704</v>
      </c>
      <c r="M59" t="s">
        <v>9</v>
      </c>
    </row>
    <row r="60" spans="1:13" x14ac:dyDescent="0.2">
      <c r="A60" t="s">
        <v>73</v>
      </c>
      <c r="B60">
        <v>1.715436</v>
      </c>
      <c r="C60">
        <v>145.74</v>
      </c>
      <c r="D60">
        <f t="shared" si="0"/>
        <v>145.73554478278407</v>
      </c>
      <c r="E60">
        <v>250</v>
      </c>
      <c r="F60">
        <v>0</v>
      </c>
      <c r="G60">
        <f t="shared" si="2"/>
        <v>-3.0569625469563789E-3</v>
      </c>
      <c r="H60">
        <f t="shared" si="3"/>
        <v>-7.6426400000002559E-3</v>
      </c>
      <c r="I60" s="1">
        <v>44105</v>
      </c>
      <c r="J60" s="4">
        <f t="shared" ca="1" si="4"/>
        <v>0</v>
      </c>
      <c r="K60" t="e">
        <f t="shared" ca="1" si="5"/>
        <v>#DIV/0!</v>
      </c>
      <c r="L60">
        <f t="shared" si="1"/>
        <v>0.40615853309834626</v>
      </c>
      <c r="M60" t="s">
        <v>9</v>
      </c>
    </row>
    <row r="61" spans="1:13" x14ac:dyDescent="0.2">
      <c r="A61" t="s">
        <v>42</v>
      </c>
      <c r="B61">
        <v>2.6588280000000002</v>
      </c>
      <c r="C61">
        <v>301.47000000000003</v>
      </c>
      <c r="D61">
        <f t="shared" si="0"/>
        <v>337.0808491560943</v>
      </c>
      <c r="E61">
        <v>896.24</v>
      </c>
      <c r="F61">
        <v>0</v>
      </c>
      <c r="G61">
        <f t="shared" si="2"/>
        <v>11.812402280855233</v>
      </c>
      <c r="H61">
        <f t="shared" si="3"/>
        <v>94.683122839999896</v>
      </c>
      <c r="I61" s="1">
        <v>44084</v>
      </c>
      <c r="J61" s="4">
        <f t="shared" ca="1" si="4"/>
        <v>5.7494866529774126E-2</v>
      </c>
      <c r="K61">
        <f t="shared" ca="1" si="5"/>
        <v>205.45142538487494</v>
      </c>
      <c r="L61">
        <f t="shared" si="1"/>
        <v>1.4560620948162473</v>
      </c>
      <c r="M61" t="s">
        <v>9</v>
      </c>
    </row>
    <row r="62" spans="1:13" x14ac:dyDescent="0.2">
      <c r="A62" t="s">
        <v>44</v>
      </c>
      <c r="B62">
        <v>4.8933299999999997</v>
      </c>
      <c r="C62">
        <v>102.18</v>
      </c>
      <c r="D62">
        <f t="shared" si="0"/>
        <v>106.46941857589822</v>
      </c>
      <c r="E62">
        <v>520.99</v>
      </c>
      <c r="F62">
        <v>0</v>
      </c>
      <c r="G62">
        <f t="shared" si="2"/>
        <v>4.1979042629655607</v>
      </c>
      <c r="H62">
        <f t="shared" si="3"/>
        <v>20.989540599999998</v>
      </c>
      <c r="I62" s="1">
        <v>44084</v>
      </c>
      <c r="J62" s="4">
        <f t="shared" ca="1" si="4"/>
        <v>5.7494866529774126E-2</v>
      </c>
      <c r="K62">
        <f t="shared" ca="1" si="5"/>
        <v>73.013549145151003</v>
      </c>
      <c r="L62">
        <f t="shared" si="1"/>
        <v>0.8464181366356297</v>
      </c>
      <c r="M62" t="s">
        <v>9</v>
      </c>
    </row>
    <row r="63" spans="1:13" x14ac:dyDescent="0.2">
      <c r="A63" t="s">
        <v>45</v>
      </c>
      <c r="B63">
        <v>11.232438</v>
      </c>
      <c r="C63">
        <v>45.44</v>
      </c>
      <c r="D63">
        <f t="shared" si="0"/>
        <v>47.660178493751758</v>
      </c>
      <c r="E63">
        <v>535.34</v>
      </c>
      <c r="F63">
        <v>0</v>
      </c>
      <c r="G63">
        <f t="shared" si="2"/>
        <v>4.8859561922353878</v>
      </c>
      <c r="H63">
        <f t="shared" si="3"/>
        <v>24.938017280000054</v>
      </c>
      <c r="I63" s="1">
        <f ca="1">TODAY()-21</f>
        <v>44084</v>
      </c>
      <c r="J63" s="4">
        <f t="shared" ca="1" si="4"/>
        <v>5.7494866529774126E-2</v>
      </c>
      <c r="K63">
        <f t="shared" ca="1" si="5"/>
        <v>84.980738057808352</v>
      </c>
      <c r="L63">
        <f t="shared" si="1"/>
        <v>0.8697316364354748</v>
      </c>
      <c r="M63" t="s">
        <v>9</v>
      </c>
    </row>
    <row r="64" spans="1:13" x14ac:dyDescent="0.2">
      <c r="A64" t="s">
        <v>48</v>
      </c>
      <c r="B64">
        <v>10.958327000000001</v>
      </c>
      <c r="C64">
        <v>45.63</v>
      </c>
      <c r="D64">
        <f t="shared" si="0"/>
        <v>43.050367086143709</v>
      </c>
      <c r="E64">
        <v>471.76</v>
      </c>
      <c r="F64">
        <v>0</v>
      </c>
      <c r="G64">
        <f t="shared" si="2"/>
        <v>-5.6533704007370016</v>
      </c>
      <c r="H64">
        <f t="shared" si="3"/>
        <v>-28.268461010000067</v>
      </c>
      <c r="I64" s="1">
        <v>44084</v>
      </c>
      <c r="J64" s="4">
        <f t="shared" ca="1" si="4"/>
        <v>5.7494866529774126E-2</v>
      </c>
      <c r="K64">
        <f t="shared" ca="1" si="5"/>
        <v>-98.328263755675707</v>
      </c>
      <c r="L64">
        <f t="shared" si="1"/>
        <v>0.76643739829790325</v>
      </c>
      <c r="M64" t="s">
        <v>9</v>
      </c>
    </row>
    <row r="65" spans="1:13" x14ac:dyDescent="0.2">
      <c r="A65" t="s">
        <v>50</v>
      </c>
      <c r="B65">
        <v>8.6535130000000002</v>
      </c>
      <c r="C65">
        <v>57.78</v>
      </c>
      <c r="D65">
        <f t="shared" si="0"/>
        <v>59.944441061104314</v>
      </c>
      <c r="E65">
        <v>518.73</v>
      </c>
      <c r="F65">
        <v>0</v>
      </c>
      <c r="G65">
        <f t="shared" si="2"/>
        <v>3.7460039132992602</v>
      </c>
      <c r="H65">
        <f t="shared" si="3"/>
        <v>18.730018859999973</v>
      </c>
      <c r="I65" s="1">
        <v>44084</v>
      </c>
      <c r="J65" s="4">
        <f t="shared" ca="1" si="4"/>
        <v>5.7494866529774126E-2</v>
      </c>
      <c r="K65">
        <f t="shared" ca="1" si="5"/>
        <v>65.153710920597845</v>
      </c>
      <c r="L65">
        <f t="shared" si="1"/>
        <v>0.84274646349642068</v>
      </c>
      <c r="M65" t="s">
        <v>9</v>
      </c>
    </row>
    <row r="66" spans="1:13" x14ac:dyDescent="0.2">
      <c r="A66" t="s">
        <v>114</v>
      </c>
      <c r="B66">
        <v>1.194124</v>
      </c>
      <c r="C66">
        <v>125.62</v>
      </c>
      <c r="D66">
        <f t="shared" si="0"/>
        <v>125.61509524973957</v>
      </c>
      <c r="E66">
        <v>150</v>
      </c>
      <c r="F66">
        <v>0</v>
      </c>
      <c r="G66">
        <f t="shared" si="2"/>
        <v>-3.9044342146447109E-3</v>
      </c>
      <c r="H66">
        <f t="shared" si="3"/>
        <v>-5.8568800000102783E-3</v>
      </c>
      <c r="I66" s="1">
        <v>44105</v>
      </c>
      <c r="J66" s="4">
        <f t="shared" ca="1" si="4"/>
        <v>0</v>
      </c>
      <c r="K66" t="e">
        <f t="shared" ca="1" si="5"/>
        <v>#DIV/0!</v>
      </c>
      <c r="L66">
        <f t="shared" si="1"/>
        <v>0.24369511985900777</v>
      </c>
      <c r="M66" t="s">
        <v>9</v>
      </c>
    </row>
    <row r="67" spans="1:13" x14ac:dyDescent="0.2">
      <c r="A67" t="s">
        <v>51</v>
      </c>
      <c r="B67">
        <v>2.199379</v>
      </c>
      <c r="C67">
        <v>113.67</v>
      </c>
      <c r="D67">
        <f t="shared" ref="D67:D70" si="6">E67/B67</f>
        <v>118.56528592843706</v>
      </c>
      <c r="E67">
        <v>260.77</v>
      </c>
      <c r="F67">
        <v>0</v>
      </c>
      <c r="G67">
        <f t="shared" si="2"/>
        <v>4.3065768702710141</v>
      </c>
      <c r="H67">
        <f t="shared" si="3"/>
        <v>10.766589069999981</v>
      </c>
      <c r="I67" s="1">
        <v>44084</v>
      </c>
      <c r="J67" s="4">
        <f t="shared" ca="1" si="4"/>
        <v>5.7494866529774126E-2</v>
      </c>
      <c r="K67">
        <f t="shared" ca="1" si="5"/>
        <v>74.903676279356574</v>
      </c>
      <c r="L67">
        <f t="shared" ref="L67:L70" si="7">E67/61552.32*100</f>
        <v>0.42365584270422302</v>
      </c>
      <c r="M67" t="s">
        <v>9</v>
      </c>
    </row>
    <row r="68" spans="1:13" x14ac:dyDescent="0.2">
      <c r="A68" t="s">
        <v>52</v>
      </c>
      <c r="B68">
        <v>4.0690470000000003</v>
      </c>
      <c r="C68">
        <v>122.88</v>
      </c>
      <c r="D68">
        <f t="shared" si="6"/>
        <v>132.50522788259755</v>
      </c>
      <c r="E68">
        <v>539.16999999999996</v>
      </c>
      <c r="F68">
        <v>0</v>
      </c>
      <c r="G68">
        <f t="shared" ref="G68:G71" si="8">(D68+F68/B68-C68)/C68*100</f>
        <v>7.83303050341598</v>
      </c>
      <c r="H68">
        <f t="shared" ref="H68:H71" si="9">(E68-C68*B68)+F68</f>
        <v>39.165504639999938</v>
      </c>
      <c r="I68" s="1">
        <v>44084</v>
      </c>
      <c r="J68" s="4">
        <f t="shared" ref="J68:J70" ca="1" si="10">(TODAY()-I68)/365.25</f>
        <v>5.7494866529774126E-2</v>
      </c>
      <c r="K68">
        <f t="shared" ref="K68:K71" ca="1" si="11">G68/J68</f>
        <v>136.23878054155651</v>
      </c>
      <c r="L68">
        <f t="shared" si="7"/>
        <v>0.8759539851625413</v>
      </c>
      <c r="M68" t="s">
        <v>9</v>
      </c>
    </row>
    <row r="69" spans="1:13" x14ac:dyDescent="0.2">
      <c r="A69" t="s">
        <v>56</v>
      </c>
      <c r="B69">
        <v>8.5823440000000009</v>
      </c>
      <c r="C69">
        <v>29.13</v>
      </c>
      <c r="D69">
        <f t="shared" si="6"/>
        <v>27.254791930968974</v>
      </c>
      <c r="E69">
        <v>233.91</v>
      </c>
      <c r="F69">
        <v>0</v>
      </c>
      <c r="G69">
        <f t="shared" si="8"/>
        <v>-6.4373775112633886</v>
      </c>
      <c r="H69">
        <f t="shared" si="9"/>
        <v>-16.093680720000009</v>
      </c>
      <c r="I69" s="1">
        <v>44084</v>
      </c>
      <c r="J69" s="4">
        <f t="shared" ca="1" si="10"/>
        <v>5.7494866529774126E-2</v>
      </c>
      <c r="K69">
        <f t="shared" ca="1" si="11"/>
        <v>-111.96438742804537</v>
      </c>
      <c r="L69">
        <f t="shared" si="7"/>
        <v>0.38001816990813669</v>
      </c>
      <c r="M69" t="s">
        <v>9</v>
      </c>
    </row>
    <row r="70" spans="1:13" x14ac:dyDescent="0.2">
      <c r="A70" t="s">
        <v>57</v>
      </c>
      <c r="B70">
        <v>26.272559999999999</v>
      </c>
      <c r="C70">
        <v>22.45</v>
      </c>
      <c r="D70">
        <f t="shared" si="6"/>
        <v>21.340135867993069</v>
      </c>
      <c r="E70">
        <v>560.66</v>
      </c>
      <c r="F70">
        <v>5.91</v>
      </c>
      <c r="G70">
        <f t="shared" si="8"/>
        <v>-3.9417131533029073</v>
      </c>
      <c r="H70">
        <f t="shared" si="9"/>
        <v>-23.248971999999949</v>
      </c>
      <c r="I70" s="1">
        <v>44084</v>
      </c>
      <c r="J70" s="4">
        <f t="shared" ca="1" si="10"/>
        <v>5.7494866529774126E-2</v>
      </c>
      <c r="K70">
        <f t="shared" ca="1" si="11"/>
        <v>-68.557653773518425</v>
      </c>
      <c r="L70">
        <f t="shared" si="7"/>
        <v>0.91086737266767515</v>
      </c>
      <c r="M70" t="s">
        <v>9</v>
      </c>
    </row>
    <row r="71" spans="1:13" x14ac:dyDescent="0.2">
      <c r="B71">
        <f>SUM(B2:B70)</f>
        <v>494.96121899999997</v>
      </c>
      <c r="C71">
        <f>SUM(C2:C70)</f>
        <v>14493.07795328485</v>
      </c>
      <c r="D71">
        <f>SUM(D2:D70)</f>
        <v>15797.438272216561</v>
      </c>
      <c r="E71">
        <f>SUM(E2:E70)</f>
        <v>63238.469999999994</v>
      </c>
      <c r="F71">
        <f>SUM(F2:F70)</f>
        <v>115.348412</v>
      </c>
      <c r="G71">
        <f t="shared" si="8"/>
        <v>9.0014927711681789</v>
      </c>
      <c r="H71">
        <f>SUM(H1:H70)</f>
        <v>11904.687985930006</v>
      </c>
      <c r="I71" s="2">
        <f ca="1">AVERAGE(I2:I70)</f>
        <v>43970.855072463768</v>
      </c>
      <c r="J71" s="4">
        <f ca="1">AVERAGE(J1:J70)</f>
        <v>0.36726879544485053</v>
      </c>
      <c r="K71">
        <f t="shared" ca="1" si="11"/>
        <v>24.509277354383496</v>
      </c>
    </row>
  </sheetData>
  <sortState xmlns:xlrd2="http://schemas.microsoft.com/office/spreadsheetml/2017/richdata2" ref="A2:M71">
    <sortCondition ref="M2:M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K29"/>
  <sheetViews>
    <sheetView workbookViewId="0">
      <selection activeCell="D1" sqref="D1"/>
    </sheetView>
  </sheetViews>
  <sheetFormatPr baseColWidth="10" defaultRowHeight="16" x14ac:dyDescent="0.2"/>
  <sheetData>
    <row r="1" spans="1:11" x14ac:dyDescent="0.2">
      <c r="A1" t="s">
        <v>0</v>
      </c>
      <c r="B1">
        <v>32</v>
      </c>
      <c r="C1">
        <f>32*116.28</f>
        <v>3720.96</v>
      </c>
      <c r="D1">
        <f>C1/45753.09*100</f>
        <v>8.1326966113108448</v>
      </c>
      <c r="E1" t="s">
        <v>7</v>
      </c>
    </row>
    <row r="2" spans="1:11" x14ac:dyDescent="0.2">
      <c r="A2" t="s">
        <v>8</v>
      </c>
      <c r="B2">
        <v>3</v>
      </c>
      <c r="C2">
        <v>1491.03</v>
      </c>
      <c r="D2">
        <f t="shared" ref="D2:D28" si="0">C2/45753.09*100</f>
        <v>3.2588618604776203</v>
      </c>
      <c r="E2" t="s">
        <v>7</v>
      </c>
      <c r="G2" s="1">
        <v>44084</v>
      </c>
      <c r="H2">
        <v>44214.14</v>
      </c>
    </row>
    <row r="3" spans="1:11" x14ac:dyDescent="0.2">
      <c r="A3" t="s">
        <v>10</v>
      </c>
      <c r="B3">
        <v>6.99</v>
      </c>
      <c r="C3">
        <v>505.91</v>
      </c>
      <c r="D3">
        <f t="shared" si="0"/>
        <v>1.105739524915148</v>
      </c>
      <c r="E3" t="s">
        <v>7</v>
      </c>
      <c r="G3" s="1">
        <v>44089</v>
      </c>
      <c r="H3">
        <v>44755.95</v>
      </c>
      <c r="I3">
        <v>0</v>
      </c>
      <c r="J3">
        <f>(H3-I3-H2)/H2</f>
        <v>1.2254224553502514E-2</v>
      </c>
      <c r="K3">
        <f>(H3-I3-H2)/H2</f>
        <v>1.2254224553502514E-2</v>
      </c>
    </row>
    <row r="4" spans="1:11" x14ac:dyDescent="0.2">
      <c r="A4" t="s">
        <v>15</v>
      </c>
      <c r="B4">
        <v>50.12</v>
      </c>
      <c r="C4">
        <v>4201.66</v>
      </c>
      <c r="D4">
        <f t="shared" si="0"/>
        <v>9.1833360326045756</v>
      </c>
      <c r="E4" t="s">
        <v>7</v>
      </c>
      <c r="G4" s="1">
        <v>44105</v>
      </c>
      <c r="H4">
        <v>45753.09</v>
      </c>
      <c r="I4">
        <v>0</v>
      </c>
      <c r="J4">
        <f>(H4-I4-H3)/H3</f>
        <v>2.2279495798882595E-2</v>
      </c>
      <c r="K4">
        <f>(H4-SUM(I3:I4)-H2)/H2</f>
        <v>3.4806738296843436E-2</v>
      </c>
    </row>
    <row r="5" spans="1:11" x14ac:dyDescent="0.2">
      <c r="A5" t="s">
        <v>16</v>
      </c>
      <c r="B5">
        <v>1</v>
      </c>
      <c r="C5">
        <v>3201.96</v>
      </c>
      <c r="D5">
        <f t="shared" si="0"/>
        <v>6.9983469968913585</v>
      </c>
      <c r="E5" t="s">
        <v>7</v>
      </c>
    </row>
    <row r="6" spans="1:11" x14ac:dyDescent="0.2">
      <c r="A6" t="s">
        <v>59</v>
      </c>
      <c r="B6">
        <v>6.34</v>
      </c>
      <c r="C6">
        <v>526.9</v>
      </c>
      <c r="D6">
        <f t="shared" si="0"/>
        <v>1.1516162077796277</v>
      </c>
      <c r="E6" t="s">
        <v>7</v>
      </c>
    </row>
    <row r="7" spans="1:11" x14ac:dyDescent="0.2">
      <c r="A7" t="s">
        <v>63</v>
      </c>
      <c r="B7">
        <v>2.25</v>
      </c>
      <c r="C7">
        <v>122.69</v>
      </c>
      <c r="D7">
        <f t="shared" si="0"/>
        <v>0.26815675181719967</v>
      </c>
      <c r="E7" t="s">
        <v>7</v>
      </c>
    </row>
    <row r="8" spans="1:11" x14ac:dyDescent="0.2">
      <c r="A8" t="s">
        <v>19</v>
      </c>
      <c r="B8">
        <v>13.36</v>
      </c>
      <c r="C8">
        <v>3869.35</v>
      </c>
      <c r="D8">
        <f t="shared" si="0"/>
        <v>8.4570244326667332</v>
      </c>
      <c r="E8" t="s">
        <v>7</v>
      </c>
    </row>
    <row r="9" spans="1:11" x14ac:dyDescent="0.2">
      <c r="A9" t="s">
        <v>20</v>
      </c>
      <c r="B9">
        <v>20.23</v>
      </c>
      <c r="C9">
        <v>1683.72</v>
      </c>
      <c r="D9">
        <f t="shared" si="0"/>
        <v>3.6800137433340567</v>
      </c>
      <c r="E9" t="s">
        <v>7</v>
      </c>
    </row>
    <row r="10" spans="1:11" x14ac:dyDescent="0.2">
      <c r="A10" t="s">
        <v>21</v>
      </c>
      <c r="B10">
        <v>2.19</v>
      </c>
      <c r="C10">
        <v>1257.67</v>
      </c>
      <c r="D10">
        <f t="shared" si="0"/>
        <v>2.7488198064873872</v>
      </c>
      <c r="E10" t="s">
        <v>7</v>
      </c>
    </row>
    <row r="11" spans="1:11" x14ac:dyDescent="0.2">
      <c r="A11" t="s">
        <v>64</v>
      </c>
      <c r="B11">
        <v>2.25</v>
      </c>
      <c r="C11">
        <v>159.35</v>
      </c>
      <c r="D11">
        <f t="shared" si="0"/>
        <v>0.34828248758717723</v>
      </c>
      <c r="E11" t="s">
        <v>7</v>
      </c>
    </row>
    <row r="12" spans="1:11" x14ac:dyDescent="0.2">
      <c r="A12" t="s">
        <v>28</v>
      </c>
      <c r="B12">
        <v>13</v>
      </c>
      <c r="C12">
        <v>3470.74</v>
      </c>
      <c r="D12">
        <f t="shared" si="0"/>
        <v>7.5858045871874449</v>
      </c>
      <c r="E12" t="s">
        <v>7</v>
      </c>
    </row>
    <row r="13" spans="1:11" x14ac:dyDescent="0.2">
      <c r="A13" t="s">
        <v>34</v>
      </c>
      <c r="B13">
        <v>1</v>
      </c>
      <c r="C13">
        <v>1485.76</v>
      </c>
      <c r="D13">
        <f t="shared" si="0"/>
        <v>3.2473435127550951</v>
      </c>
      <c r="E13" t="s">
        <v>7</v>
      </c>
    </row>
    <row r="14" spans="1:11" x14ac:dyDescent="0.2">
      <c r="A14" t="s">
        <v>35</v>
      </c>
      <c r="B14">
        <v>3.35</v>
      </c>
      <c r="C14">
        <v>1050.03</v>
      </c>
      <c r="D14">
        <f t="shared" si="0"/>
        <v>2.2949925349304277</v>
      </c>
      <c r="E14" t="s">
        <v>7</v>
      </c>
    </row>
    <row r="15" spans="1:11" x14ac:dyDescent="0.2">
      <c r="A15" t="s">
        <v>32</v>
      </c>
      <c r="B15">
        <v>2.31</v>
      </c>
      <c r="C15">
        <v>731.02</v>
      </c>
      <c r="D15">
        <f t="shared" si="0"/>
        <v>1.5977500098900426</v>
      </c>
      <c r="E15" t="s">
        <v>7</v>
      </c>
    </row>
    <row r="16" spans="1:11" x14ac:dyDescent="0.2">
      <c r="A16" t="s">
        <v>41</v>
      </c>
      <c r="B16">
        <v>2</v>
      </c>
      <c r="C16">
        <v>532.04999999999995</v>
      </c>
      <c r="D16">
        <f t="shared" si="0"/>
        <v>1.1628722781346572</v>
      </c>
      <c r="E16" t="s">
        <v>7</v>
      </c>
    </row>
    <row r="17" spans="1:5" x14ac:dyDescent="0.2">
      <c r="A17" t="s">
        <v>65</v>
      </c>
      <c r="B17">
        <v>13.81</v>
      </c>
      <c r="C17">
        <v>558.6</v>
      </c>
      <c r="D17">
        <f t="shared" si="0"/>
        <v>1.2209011456931107</v>
      </c>
      <c r="E17" t="s">
        <v>7</v>
      </c>
    </row>
    <row r="18" spans="1:5" x14ac:dyDescent="0.2">
      <c r="A18" t="s">
        <v>66</v>
      </c>
      <c r="B18">
        <v>1.84</v>
      </c>
      <c r="C18">
        <v>127.36</v>
      </c>
      <c r="D18">
        <f t="shared" si="0"/>
        <v>0.27836371270224591</v>
      </c>
      <c r="E18" t="s">
        <v>7</v>
      </c>
    </row>
    <row r="19" spans="1:5" x14ac:dyDescent="0.2">
      <c r="A19" t="s">
        <v>43</v>
      </c>
      <c r="B19">
        <v>5.65</v>
      </c>
      <c r="C19">
        <v>1198.77</v>
      </c>
      <c r="D19">
        <f t="shared" si="0"/>
        <v>2.6200853319415152</v>
      </c>
      <c r="E19" t="s">
        <v>7</v>
      </c>
    </row>
    <row r="20" spans="1:5" x14ac:dyDescent="0.2">
      <c r="A20" t="s">
        <v>46</v>
      </c>
      <c r="B20">
        <v>1.01</v>
      </c>
      <c r="C20">
        <v>523.09</v>
      </c>
      <c r="D20">
        <f t="shared" si="0"/>
        <v>1.143288901361635</v>
      </c>
      <c r="E20" t="s">
        <v>7</v>
      </c>
    </row>
    <row r="21" spans="1:5" x14ac:dyDescent="0.2">
      <c r="A21" t="s">
        <v>47</v>
      </c>
      <c r="B21">
        <v>1.46</v>
      </c>
      <c r="C21">
        <v>458.6</v>
      </c>
      <c r="D21">
        <f t="shared" si="0"/>
        <v>1.0023366727799152</v>
      </c>
      <c r="E21" t="s">
        <v>7</v>
      </c>
    </row>
    <row r="22" spans="1:5" x14ac:dyDescent="0.2">
      <c r="A22" t="s">
        <v>49</v>
      </c>
      <c r="B22">
        <v>12</v>
      </c>
      <c r="C22">
        <v>6517.92</v>
      </c>
      <c r="D22">
        <f t="shared" si="0"/>
        <v>14.24585749290376</v>
      </c>
      <c r="E22" t="s">
        <v>7</v>
      </c>
    </row>
    <row r="23" spans="1:5" x14ac:dyDescent="0.2">
      <c r="A23" t="s">
        <v>120</v>
      </c>
      <c r="B23">
        <v>6.74</v>
      </c>
      <c r="C23">
        <v>244.83</v>
      </c>
      <c r="D23">
        <f t="shared" si="0"/>
        <v>0.53511139903337679</v>
      </c>
      <c r="E23" t="s">
        <v>7</v>
      </c>
    </row>
    <row r="24" spans="1:5" x14ac:dyDescent="0.2">
      <c r="A24" t="s">
        <v>53</v>
      </c>
      <c r="B24">
        <v>5</v>
      </c>
      <c r="C24">
        <v>289.39999999999998</v>
      </c>
      <c r="D24">
        <f t="shared" si="0"/>
        <v>0.63252558461078801</v>
      </c>
      <c r="E24" t="s">
        <v>7</v>
      </c>
    </row>
    <row r="25" spans="1:5" x14ac:dyDescent="0.2">
      <c r="A25" t="s">
        <v>6</v>
      </c>
      <c r="B25">
        <v>3</v>
      </c>
      <c r="C25">
        <f>3*337.23</f>
        <v>1011.69</v>
      </c>
      <c r="D25">
        <f t="shared" si="0"/>
        <v>2.2111949160155087</v>
      </c>
      <c r="E25" t="s">
        <v>7</v>
      </c>
    </row>
    <row r="26" spans="1:5" x14ac:dyDescent="0.2">
      <c r="A26" t="s">
        <v>54</v>
      </c>
      <c r="B26">
        <v>15.03</v>
      </c>
      <c r="C26">
        <v>1024.71</v>
      </c>
      <c r="D26">
        <f t="shared" si="0"/>
        <v>2.2396520103888067</v>
      </c>
      <c r="E26" t="s">
        <v>7</v>
      </c>
    </row>
    <row r="27" spans="1:5" x14ac:dyDescent="0.2">
      <c r="A27" t="s">
        <v>55</v>
      </c>
      <c r="B27">
        <v>12.8</v>
      </c>
      <c r="C27">
        <v>5673.43</v>
      </c>
      <c r="D27">
        <f t="shared" si="0"/>
        <v>12.400102375599115</v>
      </c>
      <c r="E27" t="s">
        <v>7</v>
      </c>
    </row>
    <row r="28" spans="1:5" x14ac:dyDescent="0.2">
      <c r="A28" t="s">
        <v>58</v>
      </c>
      <c r="B28">
        <v>0.24</v>
      </c>
      <c r="C28">
        <v>113.89</v>
      </c>
      <c r="D28">
        <f t="shared" si="0"/>
        <v>0.2489230782008385</v>
      </c>
      <c r="E28" t="s">
        <v>7</v>
      </c>
    </row>
    <row r="29" spans="1:5" x14ac:dyDescent="0.2">
      <c r="C29">
        <f>SUM(C1:C28)</f>
        <v>45753.09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K42"/>
  <sheetViews>
    <sheetView workbookViewId="0">
      <selection activeCell="D1" sqref="D1"/>
    </sheetView>
  </sheetViews>
  <sheetFormatPr baseColWidth="10" defaultRowHeight="16" x14ac:dyDescent="0.2"/>
  <sheetData>
    <row r="1" spans="1:11" x14ac:dyDescent="0.2">
      <c r="A1" t="s">
        <v>67</v>
      </c>
      <c r="B1">
        <v>2.2799999999999998</v>
      </c>
      <c r="C1">
        <v>200</v>
      </c>
      <c r="E1" t="s">
        <v>9</v>
      </c>
    </row>
    <row r="2" spans="1:11" x14ac:dyDescent="0.2">
      <c r="A2" t="s">
        <v>68</v>
      </c>
      <c r="B2">
        <v>1.69</v>
      </c>
      <c r="C2">
        <v>400</v>
      </c>
      <c r="E2" t="s">
        <v>9</v>
      </c>
      <c r="G2" s="1">
        <v>44084</v>
      </c>
      <c r="H2">
        <v>14355.45</v>
      </c>
    </row>
    <row r="3" spans="1:11" x14ac:dyDescent="0.2">
      <c r="A3" t="s">
        <v>12</v>
      </c>
      <c r="B3">
        <v>4.63</v>
      </c>
      <c r="C3">
        <v>507.59</v>
      </c>
      <c r="E3" t="s">
        <v>9</v>
      </c>
      <c r="G3" s="1">
        <v>44089</v>
      </c>
      <c r="H3">
        <v>15110.38</v>
      </c>
      <c r="I3">
        <v>500</v>
      </c>
      <c r="J3">
        <f>(H3-I3-H2)/H2</f>
        <v>1.7758412310307128E-2</v>
      </c>
      <c r="K3">
        <f>(H3-I3-H2)/H2</f>
        <v>1.7758412310307128E-2</v>
      </c>
    </row>
    <row r="4" spans="1:11" x14ac:dyDescent="0.2">
      <c r="A4" t="s">
        <v>11</v>
      </c>
      <c r="B4">
        <v>1.77</v>
      </c>
      <c r="C4">
        <v>165.48</v>
      </c>
      <c r="E4" t="s">
        <v>9</v>
      </c>
      <c r="G4" s="1">
        <v>44105</v>
      </c>
      <c r="H4">
        <v>15799.23</v>
      </c>
      <c r="I4">
        <v>500</v>
      </c>
      <c r="J4">
        <f>(H4-I4-H3)/H3</f>
        <v>1.2498031154742659E-2</v>
      </c>
      <c r="K4">
        <f>(H4-SUM(I3:I4)-H2)/H2</f>
        <v>3.0913694798839382E-2</v>
      </c>
    </row>
    <row r="5" spans="1:11" x14ac:dyDescent="0.2">
      <c r="A5" t="s">
        <v>13</v>
      </c>
      <c r="B5">
        <v>1.86</v>
      </c>
      <c r="C5">
        <v>213.02</v>
      </c>
      <c r="E5" t="s">
        <v>9</v>
      </c>
    </row>
    <row r="6" spans="1:11" x14ac:dyDescent="0.2">
      <c r="A6" t="s">
        <v>14</v>
      </c>
      <c r="B6">
        <v>12.98</v>
      </c>
      <c r="C6">
        <v>789.01</v>
      </c>
      <c r="E6" t="s">
        <v>9</v>
      </c>
    </row>
    <row r="7" spans="1:11" x14ac:dyDescent="0.2">
      <c r="A7" t="s">
        <v>17</v>
      </c>
      <c r="B7">
        <v>0.97524</v>
      </c>
      <c r="C7">
        <v>263.60000000000002</v>
      </c>
      <c r="E7" t="s">
        <v>9</v>
      </c>
    </row>
    <row r="8" spans="1:11" x14ac:dyDescent="0.2">
      <c r="A8" t="s">
        <v>18</v>
      </c>
      <c r="B8">
        <v>1.38</v>
      </c>
      <c r="C8">
        <v>507.57</v>
      </c>
      <c r="E8" t="s">
        <v>9</v>
      </c>
    </row>
    <row r="9" spans="1:11" x14ac:dyDescent="0.2">
      <c r="A9" t="s">
        <v>60</v>
      </c>
      <c r="B9">
        <v>0.53290000000000004</v>
      </c>
      <c r="C9">
        <v>151.16</v>
      </c>
      <c r="E9" t="s">
        <v>9</v>
      </c>
    </row>
    <row r="10" spans="1:11" x14ac:dyDescent="0.2">
      <c r="A10" t="s">
        <v>62</v>
      </c>
      <c r="B10">
        <v>1.68</v>
      </c>
      <c r="C10">
        <v>100.97</v>
      </c>
      <c r="E10" t="s">
        <v>9</v>
      </c>
    </row>
    <row r="11" spans="1:11" x14ac:dyDescent="0.2">
      <c r="A11" t="s">
        <v>22</v>
      </c>
      <c r="B11">
        <v>4.51</v>
      </c>
      <c r="C11">
        <v>554.64</v>
      </c>
      <c r="E11" t="s">
        <v>9</v>
      </c>
    </row>
    <row r="12" spans="1:11" x14ac:dyDescent="0.2">
      <c r="A12" t="s">
        <v>23</v>
      </c>
      <c r="B12">
        <v>2</v>
      </c>
      <c r="C12">
        <v>336.47</v>
      </c>
      <c r="E12" t="s">
        <v>9</v>
      </c>
    </row>
    <row r="13" spans="1:11" x14ac:dyDescent="0.2">
      <c r="A13" t="s">
        <v>24</v>
      </c>
      <c r="B13">
        <v>8.7899999999999991</v>
      </c>
      <c r="C13">
        <v>513.55999999999995</v>
      </c>
      <c r="E13" t="s">
        <v>9</v>
      </c>
    </row>
    <row r="14" spans="1:11" x14ac:dyDescent="0.2">
      <c r="A14" t="s">
        <v>25</v>
      </c>
      <c r="B14">
        <v>3.75</v>
      </c>
      <c r="C14">
        <v>260.70999999999998</v>
      </c>
      <c r="E14" t="s">
        <v>9</v>
      </c>
    </row>
    <row r="15" spans="1:11" x14ac:dyDescent="0.2">
      <c r="A15" t="s">
        <v>26</v>
      </c>
      <c r="B15">
        <v>2.83</v>
      </c>
      <c r="C15">
        <v>320.60000000000002</v>
      </c>
      <c r="E15" t="s">
        <v>9</v>
      </c>
    </row>
    <row r="16" spans="1:11" x14ac:dyDescent="0.2">
      <c r="A16" t="s">
        <v>69</v>
      </c>
      <c r="B16">
        <v>3.03</v>
      </c>
      <c r="C16">
        <v>250</v>
      </c>
      <c r="E16" t="s">
        <v>9</v>
      </c>
    </row>
    <row r="17" spans="1:5" x14ac:dyDescent="0.2">
      <c r="A17" t="s">
        <v>27</v>
      </c>
      <c r="B17">
        <v>8.0299999999999994</v>
      </c>
      <c r="C17">
        <v>232.57</v>
      </c>
      <c r="E17" t="s">
        <v>9</v>
      </c>
    </row>
    <row r="18" spans="1:5" x14ac:dyDescent="0.2">
      <c r="A18" t="s">
        <v>29</v>
      </c>
      <c r="B18">
        <v>2.06</v>
      </c>
      <c r="C18">
        <v>254.56</v>
      </c>
      <c r="E18" t="s">
        <v>9</v>
      </c>
    </row>
    <row r="19" spans="1:5" x14ac:dyDescent="0.2">
      <c r="A19" t="s">
        <v>30</v>
      </c>
      <c r="B19">
        <v>3.37</v>
      </c>
      <c r="C19">
        <v>496.9</v>
      </c>
      <c r="E19" t="s">
        <v>9</v>
      </c>
    </row>
    <row r="20" spans="1:5" x14ac:dyDescent="0.2">
      <c r="A20" t="s">
        <v>36</v>
      </c>
      <c r="B20">
        <v>5.14</v>
      </c>
      <c r="C20">
        <v>536.20000000000005</v>
      </c>
      <c r="E20" t="s">
        <v>9</v>
      </c>
    </row>
    <row r="21" spans="1:5" x14ac:dyDescent="0.2">
      <c r="A21" t="s">
        <v>31</v>
      </c>
      <c r="B21">
        <v>2.12</v>
      </c>
      <c r="C21">
        <v>508.63</v>
      </c>
      <c r="E21" t="s">
        <v>9</v>
      </c>
    </row>
    <row r="22" spans="1:5" x14ac:dyDescent="0.2">
      <c r="A22" t="s">
        <v>61</v>
      </c>
      <c r="B22">
        <v>3.76</v>
      </c>
      <c r="C22">
        <v>236.16</v>
      </c>
      <c r="E22" t="s">
        <v>9</v>
      </c>
    </row>
    <row r="23" spans="1:5" x14ac:dyDescent="0.2">
      <c r="A23" t="s">
        <v>33</v>
      </c>
      <c r="B23">
        <v>10</v>
      </c>
      <c r="C23">
        <v>303.25</v>
      </c>
      <c r="E23" t="s">
        <v>9</v>
      </c>
    </row>
    <row r="24" spans="1:5" x14ac:dyDescent="0.2">
      <c r="A24" t="s">
        <v>37</v>
      </c>
      <c r="B24">
        <v>2.94</v>
      </c>
      <c r="C24">
        <v>524.87</v>
      </c>
      <c r="E24" t="s">
        <v>9</v>
      </c>
    </row>
    <row r="25" spans="1:5" x14ac:dyDescent="0.2">
      <c r="A25" t="s">
        <v>38</v>
      </c>
      <c r="B25">
        <v>2.95</v>
      </c>
      <c r="C25">
        <v>363.37</v>
      </c>
      <c r="E25" t="s">
        <v>9</v>
      </c>
    </row>
    <row r="26" spans="1:5" x14ac:dyDescent="0.2">
      <c r="A26" t="s">
        <v>70</v>
      </c>
      <c r="B26">
        <v>3.74</v>
      </c>
      <c r="C26">
        <v>250</v>
      </c>
      <c r="E26" t="s">
        <v>9</v>
      </c>
    </row>
    <row r="27" spans="1:5" x14ac:dyDescent="0.2">
      <c r="A27" t="s">
        <v>39</v>
      </c>
      <c r="B27">
        <v>53.14</v>
      </c>
      <c r="C27">
        <v>493.37</v>
      </c>
      <c r="E27" t="s">
        <v>9</v>
      </c>
    </row>
    <row r="28" spans="1:5" x14ac:dyDescent="0.2">
      <c r="A28" t="s">
        <v>40</v>
      </c>
      <c r="B28">
        <v>10.09</v>
      </c>
      <c r="C28">
        <v>527.4</v>
      </c>
      <c r="E28" t="s">
        <v>9</v>
      </c>
    </row>
    <row r="29" spans="1:5" x14ac:dyDescent="0.2">
      <c r="A29" t="s">
        <v>71</v>
      </c>
      <c r="B29">
        <v>4.46</v>
      </c>
      <c r="C29">
        <v>400</v>
      </c>
      <c r="E29" t="s">
        <v>9</v>
      </c>
    </row>
    <row r="30" spans="1:5" x14ac:dyDescent="0.2">
      <c r="A30" t="s">
        <v>72</v>
      </c>
      <c r="B30">
        <v>1.06</v>
      </c>
      <c r="C30">
        <v>200</v>
      </c>
      <c r="E30" t="s">
        <v>9</v>
      </c>
    </row>
    <row r="31" spans="1:5" x14ac:dyDescent="0.2">
      <c r="A31" t="s">
        <v>73</v>
      </c>
      <c r="B31">
        <v>1.72</v>
      </c>
      <c r="C31">
        <v>250</v>
      </c>
      <c r="E31" t="s">
        <v>9</v>
      </c>
    </row>
    <row r="32" spans="1:5" x14ac:dyDescent="0.2">
      <c r="A32" t="s">
        <v>42</v>
      </c>
      <c r="B32">
        <v>2.66</v>
      </c>
      <c r="C32">
        <v>896.24</v>
      </c>
      <c r="E32" t="s">
        <v>9</v>
      </c>
    </row>
    <row r="33" spans="1:5" x14ac:dyDescent="0.2">
      <c r="A33" t="s">
        <v>44</v>
      </c>
      <c r="B33">
        <v>4.8899999999999997</v>
      </c>
      <c r="C33">
        <v>520.99</v>
      </c>
      <c r="E33" t="s">
        <v>9</v>
      </c>
    </row>
    <row r="34" spans="1:5" x14ac:dyDescent="0.2">
      <c r="A34" t="s">
        <v>45</v>
      </c>
      <c r="B34">
        <v>11.23</v>
      </c>
      <c r="C34">
        <v>535.34</v>
      </c>
      <c r="E34" t="s">
        <v>9</v>
      </c>
    </row>
    <row r="35" spans="1:5" x14ac:dyDescent="0.2">
      <c r="A35" t="s">
        <v>48</v>
      </c>
      <c r="B35">
        <v>10.96</v>
      </c>
      <c r="C35">
        <v>471.76</v>
      </c>
      <c r="E35" t="s">
        <v>9</v>
      </c>
    </row>
    <row r="36" spans="1:5" x14ac:dyDescent="0.2">
      <c r="A36" t="s">
        <v>50</v>
      </c>
      <c r="B36">
        <v>8.65</v>
      </c>
      <c r="C36">
        <v>518.73</v>
      </c>
      <c r="E36" t="s">
        <v>9</v>
      </c>
    </row>
    <row r="37" spans="1:5" x14ac:dyDescent="0.2">
      <c r="A37" t="s">
        <v>114</v>
      </c>
      <c r="B37">
        <v>1.19</v>
      </c>
      <c r="C37">
        <v>150</v>
      </c>
      <c r="E37" t="s">
        <v>9</v>
      </c>
    </row>
    <row r="38" spans="1:5" x14ac:dyDescent="0.2">
      <c r="A38" t="s">
        <v>51</v>
      </c>
      <c r="B38">
        <v>2.2000000000000002</v>
      </c>
      <c r="C38">
        <v>260.77</v>
      </c>
      <c r="E38" t="s">
        <v>9</v>
      </c>
    </row>
    <row r="39" spans="1:5" x14ac:dyDescent="0.2">
      <c r="A39" t="s">
        <v>52</v>
      </c>
      <c r="B39">
        <v>4.07</v>
      </c>
      <c r="C39">
        <v>539.16999999999996</v>
      </c>
      <c r="E39" t="s">
        <v>9</v>
      </c>
    </row>
    <row r="40" spans="1:5" x14ac:dyDescent="0.2">
      <c r="A40" t="s">
        <v>56</v>
      </c>
      <c r="B40">
        <v>8.58</v>
      </c>
      <c r="C40">
        <v>233.91</v>
      </c>
      <c r="E40" t="s">
        <v>9</v>
      </c>
    </row>
    <row r="41" spans="1:5" x14ac:dyDescent="0.2">
      <c r="A41" t="s">
        <v>57</v>
      </c>
      <c r="B41">
        <v>26.27</v>
      </c>
      <c r="C41">
        <v>560.66</v>
      </c>
      <c r="E41" t="s">
        <v>9</v>
      </c>
    </row>
    <row r="42" spans="1:5" x14ac:dyDescent="0.2">
      <c r="C42">
        <f>SUM(C1:C41)</f>
        <v>15799.230000000001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M53"/>
  <sheetViews>
    <sheetView topLeftCell="A41" workbookViewId="0">
      <selection activeCell="F51" sqref="F51"/>
    </sheetView>
  </sheetViews>
  <sheetFormatPr baseColWidth="10" defaultRowHeight="16" x14ac:dyDescent="0.2"/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A2" t="s">
        <v>113</v>
      </c>
      <c r="B2">
        <v>150</v>
      </c>
      <c r="C2">
        <v>0.72099999999999997</v>
      </c>
      <c r="D2">
        <f>1.02*8/150</f>
        <v>5.4400000000000004E-2</v>
      </c>
      <c r="E2">
        <v>0</v>
      </c>
      <c r="F2">
        <f t="shared" ref="F2:F15" si="0">((D2+(E2/B2)-C2)/C2)*100</f>
        <v>-92.454923717059629</v>
      </c>
      <c r="G2">
        <f t="shared" ref="G2:G15" si="1">(D2-C2)*B2+E2</f>
        <v>-99.99</v>
      </c>
      <c r="H2" s="2">
        <v>42586</v>
      </c>
      <c r="I2" s="2">
        <v>42860</v>
      </c>
      <c r="J2">
        <f t="shared" ref="J2:J15" si="2">(I2-H2)/365.25</f>
        <v>0.75017111567419581</v>
      </c>
      <c r="K2">
        <f t="shared" ref="K2:K15" si="3">F2/J2</f>
        <v>-123.24511272867163</v>
      </c>
      <c r="L2" t="s">
        <v>7</v>
      </c>
      <c r="M2" t="s">
        <v>105</v>
      </c>
    </row>
    <row r="3" spans="1:13" ht="17" customHeight="1" x14ac:dyDescent="0.2">
      <c r="A3" t="s">
        <v>8</v>
      </c>
      <c r="B3">
        <v>3</v>
      </c>
      <c r="C3">
        <v>78.86</v>
      </c>
      <c r="D3">
        <v>134.69</v>
      </c>
      <c r="E3">
        <v>0</v>
      </c>
      <c r="F3">
        <f t="shared" si="0"/>
        <v>70.796347958407296</v>
      </c>
      <c r="G3">
        <f t="shared" si="1"/>
        <v>167.49</v>
      </c>
      <c r="H3" s="2">
        <v>42417</v>
      </c>
      <c r="I3" s="2">
        <v>42860</v>
      </c>
      <c r="J3">
        <f t="shared" si="2"/>
        <v>1.2128678986995209</v>
      </c>
      <c r="K3">
        <f t="shared" si="3"/>
        <v>58.371029552614587</v>
      </c>
      <c r="L3" t="s">
        <v>7</v>
      </c>
      <c r="M3" t="s">
        <v>108</v>
      </c>
    </row>
    <row r="4" spans="1:13" ht="17" customHeight="1" x14ac:dyDescent="0.2">
      <c r="A4" t="s">
        <v>114</v>
      </c>
      <c r="B4">
        <v>4</v>
      </c>
      <c r="C4">
        <v>45.99</v>
      </c>
      <c r="D4">
        <v>61.46</v>
      </c>
      <c r="E4">
        <f>0.28*5</f>
        <v>1.4000000000000001</v>
      </c>
      <c r="F4">
        <f t="shared" si="0"/>
        <v>34.398782343987818</v>
      </c>
      <c r="G4">
        <f t="shared" si="1"/>
        <v>63.279999999999994</v>
      </c>
      <c r="H4" s="2">
        <v>42417</v>
      </c>
      <c r="I4" s="2">
        <v>42860</v>
      </c>
      <c r="J4">
        <f t="shared" si="2"/>
        <v>1.2128678986995209</v>
      </c>
      <c r="K4">
        <f t="shared" si="3"/>
        <v>28.361524268942549</v>
      </c>
      <c r="L4" t="s">
        <v>9</v>
      </c>
      <c r="M4" t="s">
        <v>108</v>
      </c>
    </row>
    <row r="5" spans="1:13" ht="17" customHeight="1" x14ac:dyDescent="0.2">
      <c r="A5" t="s">
        <v>115</v>
      </c>
      <c r="B5">
        <v>3</v>
      </c>
      <c r="C5">
        <v>8.23</v>
      </c>
      <c r="D5">
        <v>15.18</v>
      </c>
      <c r="E5">
        <f>3.6*1/6</f>
        <v>0.6</v>
      </c>
      <c r="F5">
        <f t="shared" si="0"/>
        <v>86.877278250303746</v>
      </c>
      <c r="G5">
        <f t="shared" si="1"/>
        <v>21.45</v>
      </c>
      <c r="H5" s="2">
        <v>42429</v>
      </c>
      <c r="I5" s="2">
        <v>42849</v>
      </c>
      <c r="J5">
        <f t="shared" si="2"/>
        <v>1.1498973305954825</v>
      </c>
      <c r="K5">
        <f t="shared" si="3"/>
        <v>75.552204478389157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15</v>
      </c>
      <c r="C6">
        <v>10.220000000000001</v>
      </c>
      <c r="D6">
        <v>15.18</v>
      </c>
      <c r="E6">
        <v>3</v>
      </c>
      <c r="F6">
        <f t="shared" si="0"/>
        <v>50.48923679060664</v>
      </c>
      <c r="G6">
        <f t="shared" si="1"/>
        <v>77.399999999999991</v>
      </c>
      <c r="H6" s="2">
        <v>42437</v>
      </c>
      <c r="I6" s="2">
        <v>42849</v>
      </c>
      <c r="J6">
        <f t="shared" si="2"/>
        <v>1.1279945242984257</v>
      </c>
      <c r="K6">
        <f t="shared" si="3"/>
        <v>44.760178975167662</v>
      </c>
      <c r="L6" t="s">
        <v>9</v>
      </c>
      <c r="M6" t="s">
        <v>108</v>
      </c>
    </row>
    <row r="7" spans="1:13" ht="17" customHeight="1" x14ac:dyDescent="0.2">
      <c r="A7" t="s">
        <v>116</v>
      </c>
      <c r="B7">
        <v>25</v>
      </c>
      <c r="C7">
        <v>4.0999999999999996</v>
      </c>
      <c r="D7">
        <v>8.39</v>
      </c>
      <c r="E7">
        <v>0</v>
      </c>
      <c r="F7">
        <f t="shared" si="0"/>
        <v>104.63414634146343</v>
      </c>
      <c r="G7">
        <f t="shared" si="1"/>
        <v>107.25000000000003</v>
      </c>
      <c r="H7" s="2">
        <v>42447</v>
      </c>
      <c r="I7" s="2">
        <v>42831</v>
      </c>
      <c r="J7">
        <f t="shared" si="2"/>
        <v>1.0513347022587269</v>
      </c>
      <c r="K7">
        <f t="shared" si="3"/>
        <v>99.525057164634163</v>
      </c>
      <c r="L7" t="s">
        <v>9</v>
      </c>
      <c r="M7" t="s">
        <v>108</v>
      </c>
    </row>
    <row r="8" spans="1:13" ht="17" customHeight="1" x14ac:dyDescent="0.2">
      <c r="A8" t="s">
        <v>15</v>
      </c>
      <c r="B8">
        <v>40</v>
      </c>
      <c r="C8">
        <f>(2*2.42+38*2.34)/40</f>
        <v>2.3439999999999999</v>
      </c>
      <c r="D8">
        <v>10.06</v>
      </c>
      <c r="E8">
        <v>0</v>
      </c>
      <c r="F8">
        <f t="shared" si="0"/>
        <v>329.18088737201373</v>
      </c>
      <c r="G8">
        <f t="shared" si="1"/>
        <v>308.64000000000004</v>
      </c>
      <c r="H8" s="2">
        <v>42436</v>
      </c>
      <c r="I8" s="2">
        <v>42860</v>
      </c>
      <c r="J8">
        <f t="shared" si="2"/>
        <v>1.160848733744011</v>
      </c>
      <c r="K8">
        <f t="shared" si="3"/>
        <v>283.56914885053777</v>
      </c>
      <c r="L8" t="s">
        <v>7</v>
      </c>
      <c r="M8" t="s">
        <v>108</v>
      </c>
    </row>
    <row r="9" spans="1:13" ht="17" customHeight="1" x14ac:dyDescent="0.2">
      <c r="A9" t="s">
        <v>117</v>
      </c>
      <c r="B9">
        <v>10</v>
      </c>
      <c r="C9">
        <v>16.95</v>
      </c>
      <c r="D9">
        <v>17.829999999999998</v>
      </c>
      <c r="E9">
        <v>0</v>
      </c>
      <c r="F9">
        <f t="shared" si="0"/>
        <v>5.1917404129793452</v>
      </c>
      <c r="G9">
        <f t="shared" si="1"/>
        <v>8.7999999999999901</v>
      </c>
      <c r="H9" s="2">
        <v>42662</v>
      </c>
      <c r="I9" s="2">
        <v>42674</v>
      </c>
      <c r="J9">
        <f t="shared" si="2"/>
        <v>3.2854209445585217E-2</v>
      </c>
      <c r="K9">
        <f t="shared" si="3"/>
        <v>158.02359882005882</v>
      </c>
      <c r="L9" t="s">
        <v>7</v>
      </c>
      <c r="M9" t="s">
        <v>107</v>
      </c>
    </row>
    <row r="10" spans="1:13" ht="17" customHeight="1" x14ac:dyDescent="0.2">
      <c r="A10" t="s">
        <v>118</v>
      </c>
      <c r="B10">
        <v>4</v>
      </c>
      <c r="C10">
        <v>28.69</v>
      </c>
      <c r="D10">
        <v>30.5</v>
      </c>
      <c r="E10">
        <v>2.04</v>
      </c>
      <c r="F10">
        <f t="shared" si="0"/>
        <v>8.0864412687347507</v>
      </c>
      <c r="G10">
        <f t="shared" si="1"/>
        <v>9.279999999999994</v>
      </c>
      <c r="H10" s="2">
        <v>42423</v>
      </c>
      <c r="I10" s="2">
        <v>42668</v>
      </c>
      <c r="J10">
        <f t="shared" si="2"/>
        <v>0.67077344284736484</v>
      </c>
      <c r="K10">
        <f t="shared" si="3"/>
        <v>12.055398666960684</v>
      </c>
      <c r="L10" t="s">
        <v>7</v>
      </c>
      <c r="M10" t="s">
        <v>107</v>
      </c>
    </row>
    <row r="11" spans="1:13" ht="17" customHeight="1" x14ac:dyDescent="0.2">
      <c r="A11" t="s">
        <v>49</v>
      </c>
      <c r="B11">
        <v>8</v>
      </c>
      <c r="C11">
        <v>33.21</v>
      </c>
      <c r="D11">
        <v>103.42</v>
      </c>
      <c r="E11">
        <f>(1.4*2+1.15*3)*4/5</f>
        <v>5</v>
      </c>
      <c r="F11">
        <f t="shared" si="0"/>
        <v>213.29418849744056</v>
      </c>
      <c r="G11">
        <f t="shared" si="1"/>
        <v>566.68000000000006</v>
      </c>
      <c r="H11" s="2">
        <v>42362</v>
      </c>
      <c r="I11" s="2">
        <v>42860</v>
      </c>
      <c r="J11">
        <f t="shared" si="2"/>
        <v>1.3634496919917864</v>
      </c>
      <c r="K11">
        <f t="shared" si="3"/>
        <v>156.43715331062282</v>
      </c>
      <c r="L11" t="s">
        <v>7</v>
      </c>
      <c r="M11" t="s">
        <v>108</v>
      </c>
    </row>
    <row r="12" spans="1:13" ht="17" customHeight="1" x14ac:dyDescent="0.2">
      <c r="A12" t="s">
        <v>119</v>
      </c>
      <c r="B12">
        <v>80</v>
      </c>
      <c r="C12">
        <v>1.73</v>
      </c>
      <c r="D12">
        <v>4.7300000000000004</v>
      </c>
      <c r="E12">
        <v>0</v>
      </c>
      <c r="F12">
        <f t="shared" si="0"/>
        <v>173.41040462427748</v>
      </c>
      <c r="G12">
        <f t="shared" si="1"/>
        <v>240.00000000000003</v>
      </c>
      <c r="H12" s="2">
        <v>42412</v>
      </c>
      <c r="I12" s="2">
        <v>42433</v>
      </c>
      <c r="J12">
        <f t="shared" si="2"/>
        <v>5.7494866529774126E-2</v>
      </c>
      <c r="K12">
        <f t="shared" si="3"/>
        <v>3016.102394715112</v>
      </c>
      <c r="L12" t="s">
        <v>9</v>
      </c>
      <c r="M12" t="s">
        <v>108</v>
      </c>
    </row>
    <row r="13" spans="1:13" ht="17" customHeight="1" x14ac:dyDescent="0.2">
      <c r="A13" t="s">
        <v>119</v>
      </c>
      <c r="B13">
        <v>23</v>
      </c>
      <c r="C13">
        <v>1.92</v>
      </c>
      <c r="D13">
        <f>1/23*(20*4.73+3*4.72)</f>
        <v>4.7286956521739132</v>
      </c>
      <c r="E13">
        <v>0</v>
      </c>
      <c r="F13">
        <f t="shared" si="0"/>
        <v>146.28623188405797</v>
      </c>
      <c r="G13">
        <f t="shared" si="1"/>
        <v>64.600000000000009</v>
      </c>
      <c r="H13" s="2">
        <v>42417</v>
      </c>
      <c r="I13" s="2">
        <v>42433</v>
      </c>
      <c r="J13">
        <f t="shared" si="2"/>
        <v>4.380561259411362E-2</v>
      </c>
      <c r="K13">
        <f t="shared" si="3"/>
        <v>3339.440387228261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10</v>
      </c>
      <c r="C14">
        <v>2.61</v>
      </c>
      <c r="D14">
        <v>4.72</v>
      </c>
      <c r="E14">
        <v>0</v>
      </c>
      <c r="F14">
        <f t="shared" si="0"/>
        <v>80.842911877394627</v>
      </c>
      <c r="G14">
        <f t="shared" si="1"/>
        <v>21.099999999999998</v>
      </c>
      <c r="H14" s="2">
        <v>42423</v>
      </c>
      <c r="I14" s="2">
        <v>42433</v>
      </c>
      <c r="J14">
        <f t="shared" si="2"/>
        <v>2.7378507871321012E-2</v>
      </c>
      <c r="K14">
        <f t="shared" si="3"/>
        <v>2952.7873563218391</v>
      </c>
      <c r="L14" t="s">
        <v>9</v>
      </c>
      <c r="M14" t="s">
        <v>108</v>
      </c>
    </row>
    <row r="15" spans="1:13" ht="17" customHeight="1" x14ac:dyDescent="0.2">
      <c r="A15" t="s">
        <v>33</v>
      </c>
      <c r="B15">
        <v>6</v>
      </c>
      <c r="C15">
        <v>28.91</v>
      </c>
      <c r="D15">
        <v>31.71</v>
      </c>
      <c r="E15">
        <v>0</v>
      </c>
      <c r="F15">
        <f t="shared" si="0"/>
        <v>9.6852300242130784</v>
      </c>
      <c r="G15">
        <f t="shared" si="1"/>
        <v>16.800000000000004</v>
      </c>
      <c r="H15" s="2">
        <v>42417</v>
      </c>
      <c r="I15" s="2">
        <v>42433</v>
      </c>
      <c r="J15">
        <f t="shared" si="2"/>
        <v>4.380561259411362E-2</v>
      </c>
      <c r="K15">
        <f t="shared" si="3"/>
        <v>221.09564164648918</v>
      </c>
      <c r="L15" t="s">
        <v>9</v>
      </c>
      <c r="M15" t="s">
        <v>108</v>
      </c>
    </row>
    <row r="16" spans="1:13" ht="17" customHeight="1" x14ac:dyDescent="0.2">
      <c r="A16" t="s">
        <v>112</v>
      </c>
      <c r="B16">
        <v>8</v>
      </c>
      <c r="C16">
        <v>11</v>
      </c>
      <c r="D16">
        <v>5.86</v>
      </c>
      <c r="E16">
        <v>0</v>
      </c>
      <c r="F16">
        <f>((D16+(E16/B16)-C16)/C16)*100</f>
        <v>-46.72727272727272</v>
      </c>
      <c r="G16">
        <f>(D16-C16)*B16+E16</f>
        <v>-41.12</v>
      </c>
      <c r="H16" s="1">
        <v>44061</v>
      </c>
      <c r="I16" s="1">
        <v>44071</v>
      </c>
      <c r="J16">
        <f>(I16-H16)/365.25</f>
        <v>2.7378507871321012E-2</v>
      </c>
      <c r="K16">
        <f>F16/J16</f>
        <v>-1706.7136363636362</v>
      </c>
      <c r="L16" t="s">
        <v>7</v>
      </c>
      <c r="M16" t="s">
        <v>105</v>
      </c>
    </row>
    <row r="17" spans="1:13" ht="17" customHeight="1" x14ac:dyDescent="0.2">
      <c r="A17" t="s">
        <v>109</v>
      </c>
      <c r="B17">
        <v>15</v>
      </c>
      <c r="C17">
        <v>8.2799999999999994</v>
      </c>
      <c r="D17">
        <v>2.57</v>
      </c>
      <c r="E17">
        <f>0/B17</f>
        <v>0</v>
      </c>
      <c r="F17">
        <f>((D17+(E17/B17)-C17)/C17)*100</f>
        <v>-68.961352657004824</v>
      </c>
      <c r="G17">
        <f>(D17-C17)*B17+E17</f>
        <v>-85.649999999999991</v>
      </c>
      <c r="H17" s="1">
        <v>42436</v>
      </c>
      <c r="I17" s="1">
        <v>44084</v>
      </c>
      <c r="J17">
        <f>(I17-H17)/365.25</f>
        <v>4.5119780971937029</v>
      </c>
      <c r="K17">
        <f>F17/J17</f>
        <v>-15.284061928380469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7.34</v>
      </c>
      <c r="D18">
        <v>2.57</v>
      </c>
      <c r="E18">
        <f>0/B18</f>
        <v>0</v>
      </c>
      <c r="F18">
        <f>((D18+(E18/B18)-C18)/C18)*100</f>
        <v>-64.986376021798364</v>
      </c>
      <c r="G18">
        <f>(D18-C18)*B18+E18</f>
        <v>-71.55</v>
      </c>
      <c r="H18" s="1">
        <v>42437</v>
      </c>
      <c r="I18" s="1">
        <v>44084</v>
      </c>
      <c r="J18">
        <f>(I18-H18)/365.25</f>
        <v>4.5092402464065708</v>
      </c>
      <c r="K18">
        <f>F18/J18</f>
        <v>-14.41182382632778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20</v>
      </c>
      <c r="C19">
        <v>7.22</v>
      </c>
      <c r="D19">
        <v>2.57</v>
      </c>
      <c r="E19">
        <f>0/B19</f>
        <v>0</v>
      </c>
      <c r="F19">
        <f>((D19+(E19/B19)-C19)/C19)*100</f>
        <v>-64.40443213296399</v>
      </c>
      <c r="G19">
        <f>(D19-C19)*B19+E19</f>
        <v>-93</v>
      </c>
      <c r="H19" s="1">
        <v>42860</v>
      </c>
      <c r="I19" s="1">
        <v>44084</v>
      </c>
      <c r="J19">
        <f>(I19-H19)/365.25</f>
        <v>3.3511293634496919</v>
      </c>
      <c r="K19">
        <f>F19/J19</f>
        <v>-19.218724539677368</v>
      </c>
      <c r="L19" t="s">
        <v>7</v>
      </c>
      <c r="M19" t="s">
        <v>105</v>
      </c>
    </row>
    <row r="20" spans="1:13" ht="17" customHeight="1" x14ac:dyDescent="0.2">
      <c r="A20" t="s">
        <v>110</v>
      </c>
      <c r="B20">
        <v>10</v>
      </c>
      <c r="C20">
        <v>24.06</v>
      </c>
      <c r="D20">
        <v>11.09</v>
      </c>
      <c r="E20">
        <v>43.5</v>
      </c>
      <c r="F20">
        <f>((D20+(E20/B20)-C20)/C20)*100</f>
        <v>-35.827098919368247</v>
      </c>
      <c r="G20">
        <f>(D20-C20)*B20+E20</f>
        <v>-86.199999999999989</v>
      </c>
      <c r="H20" s="1">
        <v>42437</v>
      </c>
      <c r="I20" s="1">
        <v>44084</v>
      </c>
      <c r="J20">
        <f>(I20-H20)/365.25</f>
        <v>4.5092402464065708</v>
      </c>
      <c r="K20">
        <f>F20/J20</f>
        <v>-7.9452628295684589</v>
      </c>
      <c r="L20" t="s">
        <v>7</v>
      </c>
      <c r="M20" t="s">
        <v>105</v>
      </c>
    </row>
    <row r="21" spans="1:13" ht="17" customHeight="1" x14ac:dyDescent="0.2">
      <c r="A21" t="s">
        <v>111</v>
      </c>
      <c r="B21">
        <v>5</v>
      </c>
      <c r="C21">
        <v>63.4</v>
      </c>
      <c r="D21">
        <v>47.87</v>
      </c>
      <c r="E21">
        <f>12.5+(118.4*0.5)</f>
        <v>71.7</v>
      </c>
      <c r="F21">
        <f>((D21+(E21/B21)-C21)/C21)*100</f>
        <v>-1.8769716088328152</v>
      </c>
      <c r="G21">
        <f>(D21-C21)*B21+E21</f>
        <v>-5.9500000000000028</v>
      </c>
      <c r="H21" s="1">
        <v>42444</v>
      </c>
      <c r="I21" s="1">
        <v>44084</v>
      </c>
      <c r="J21">
        <f>(I21-H21)/365.25</f>
        <v>4.4900752908966464</v>
      </c>
      <c r="K21">
        <f>F21/J21</f>
        <v>-0.41802675617450347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65.171999999999997</v>
      </c>
      <c r="D22">
        <v>47.87</v>
      </c>
      <c r="E22">
        <f>118.4*0.5</f>
        <v>59.2</v>
      </c>
      <c r="F22">
        <f>((D22+(E22/B22)-C22)/C22)*100</f>
        <v>-8.3808997729086165</v>
      </c>
      <c r="G22">
        <f>(D22-C22)*B22+E22</f>
        <v>-27.309999999999988</v>
      </c>
      <c r="H22" s="1">
        <v>42860</v>
      </c>
      <c r="I22" s="1">
        <v>44084</v>
      </c>
      <c r="J22">
        <f>(I22-H22)/365.25</f>
        <v>3.3511293634496919</v>
      </c>
      <c r="K22">
        <f>F22/J22</f>
        <v>-2.5009180082147648</v>
      </c>
      <c r="L22" t="s">
        <v>7</v>
      </c>
      <c r="M22" t="s">
        <v>105</v>
      </c>
    </row>
    <row r="23" spans="1:13" x14ac:dyDescent="0.2">
      <c r="A23" t="s">
        <v>89</v>
      </c>
      <c r="B23">
        <v>14</v>
      </c>
      <c r="C23">
        <v>20.82</v>
      </c>
      <c r="D23">
        <v>10.78</v>
      </c>
      <c r="E23">
        <f>0/B23</f>
        <v>0</v>
      </c>
      <c r="F23">
        <f>((D23+(E23/B23)-C23)/C23)*100</f>
        <v>-48.222862632084542</v>
      </c>
      <c r="G23">
        <f>(D23-C23)*B23+E23</f>
        <v>-140.56</v>
      </c>
      <c r="H23" s="1">
        <v>42795</v>
      </c>
      <c r="I23" s="1">
        <v>44084</v>
      </c>
      <c r="J23">
        <f>(I23-H23)/365.25</f>
        <v>3.5290896646132786</v>
      </c>
      <c r="K23">
        <f>F23/J23</f>
        <v>-13.66439144792</v>
      </c>
      <c r="L23" t="s">
        <v>7</v>
      </c>
      <c r="M23" t="s">
        <v>105</v>
      </c>
    </row>
    <row r="24" spans="1:13" x14ac:dyDescent="0.2">
      <c r="A24" t="s">
        <v>90</v>
      </c>
      <c r="B24">
        <v>60</v>
      </c>
      <c r="C24">
        <v>17.96</v>
      </c>
      <c r="D24">
        <v>35.29</v>
      </c>
      <c r="E24">
        <f>124.11</f>
        <v>124.11</v>
      </c>
      <c r="F24">
        <f t="shared" ref="F24:F53" si="4">((D24+(E24/B24)-C24)/C24)*100</f>
        <v>108.00946547884185</v>
      </c>
      <c r="G24">
        <f t="shared" ref="G24:G52" si="5">(D24-C24)*B24+E24</f>
        <v>1163.9099999999999</v>
      </c>
      <c r="H24" s="2">
        <v>42794</v>
      </c>
      <c r="I24" s="1">
        <v>44084</v>
      </c>
      <c r="J24">
        <f t="shared" ref="J24:J52" si="6">(I24-H24)/365.25</f>
        <v>3.5318275154004106</v>
      </c>
      <c r="K24">
        <f t="shared" ref="K24:K51" si="7">F24/J24</f>
        <v>30.581749818718592</v>
      </c>
      <c r="L24" t="s">
        <v>7</v>
      </c>
      <c r="M24" t="s">
        <v>108</v>
      </c>
    </row>
    <row r="25" spans="1:13" x14ac:dyDescent="0.2">
      <c r="A25" t="s">
        <v>98</v>
      </c>
      <c r="B25">
        <v>30</v>
      </c>
      <c r="C25">
        <v>29.72</v>
      </c>
      <c r="D25">
        <v>51.86</v>
      </c>
      <c r="E25">
        <f>11.1+11.7+18.3+14.7+14.4+3.15+0.12+4.17+0.21+3.45+0.39+3.69+4.95+3.48+3.18+1.71+19.2+17.41+10.5+22.44+3.06+13.2+16.2+26.1</f>
        <v>226.81</v>
      </c>
      <c r="F25">
        <f t="shared" ref="F25" si="8">((D25+(E25/B25)-C25)/C25)*100</f>
        <v>99.933826828174077</v>
      </c>
      <c r="G25">
        <f t="shared" ref="G25" si="9">(D25-C25)*B25+E25</f>
        <v>891.01</v>
      </c>
      <c r="H25" s="2">
        <v>42794</v>
      </c>
      <c r="I25" s="1">
        <v>44084</v>
      </c>
      <c r="J25">
        <f t="shared" si="6"/>
        <v>3.5318275154004106</v>
      </c>
      <c r="K25">
        <f t="shared" si="7"/>
        <v>28.29521724727952</v>
      </c>
      <c r="L25" t="s">
        <v>7</v>
      </c>
      <c r="M25" t="s">
        <v>108</v>
      </c>
    </row>
    <row r="26" spans="1:13" x14ac:dyDescent="0.2">
      <c r="A26" t="s">
        <v>91</v>
      </c>
      <c r="B26">
        <v>5</v>
      </c>
      <c r="C26">
        <v>170.73</v>
      </c>
      <c r="D26">
        <v>218.75</v>
      </c>
      <c r="E26">
        <v>0</v>
      </c>
      <c r="F26">
        <f t="shared" si="4"/>
        <v>28.126281262812636</v>
      </c>
      <c r="G26">
        <f t="shared" si="5"/>
        <v>240.10000000000005</v>
      </c>
      <c r="H26" s="2">
        <v>42794</v>
      </c>
      <c r="I26" s="1">
        <v>44084</v>
      </c>
      <c r="J26">
        <f t="shared" si="6"/>
        <v>3.5318275154004106</v>
      </c>
      <c r="K26">
        <f t="shared" si="7"/>
        <v>7.9636621947614845</v>
      </c>
      <c r="L26" t="s">
        <v>7</v>
      </c>
      <c r="M26" t="s">
        <v>108</v>
      </c>
    </row>
    <row r="27" spans="1:13" x14ac:dyDescent="0.2">
      <c r="A27" t="s">
        <v>92</v>
      </c>
      <c r="B27">
        <v>10</v>
      </c>
      <c r="C27">
        <v>14.27</v>
      </c>
      <c r="D27">
        <v>6.97</v>
      </c>
      <c r="E27">
        <v>29.8</v>
      </c>
      <c r="F27">
        <f t="shared" si="4"/>
        <v>-30.273300630693768</v>
      </c>
      <c r="G27">
        <f t="shared" si="5"/>
        <v>-43.2</v>
      </c>
      <c r="H27" s="2">
        <v>42366</v>
      </c>
      <c r="I27" s="1">
        <v>44084</v>
      </c>
      <c r="J27">
        <f t="shared" si="6"/>
        <v>4.7036276522929503</v>
      </c>
      <c r="K27">
        <f t="shared" si="7"/>
        <v>-6.4361601020726997</v>
      </c>
      <c r="L27" t="s">
        <v>7</v>
      </c>
      <c r="M27" t="s">
        <v>105</v>
      </c>
    </row>
    <row r="28" spans="1:13" x14ac:dyDescent="0.2">
      <c r="A28" t="s">
        <v>93</v>
      </c>
      <c r="B28">
        <v>2</v>
      </c>
      <c r="C28">
        <v>42.59</v>
      </c>
      <c r="D28">
        <v>51.2</v>
      </c>
      <c r="E28">
        <v>12.64</v>
      </c>
      <c r="F28">
        <f t="shared" si="4"/>
        <v>35.055177271660007</v>
      </c>
      <c r="G28">
        <f t="shared" si="5"/>
        <v>29.86</v>
      </c>
      <c r="H28" s="2">
        <v>42436</v>
      </c>
      <c r="I28" s="1">
        <v>44084</v>
      </c>
      <c r="J28">
        <f t="shared" si="6"/>
        <v>4.5119780971937029</v>
      </c>
      <c r="K28">
        <f t="shared" si="7"/>
        <v>7.7693589189768311</v>
      </c>
      <c r="L28" t="s">
        <v>7</v>
      </c>
      <c r="M28" t="s">
        <v>108</v>
      </c>
    </row>
    <row r="29" spans="1:13" x14ac:dyDescent="0.2">
      <c r="A29" t="s">
        <v>93</v>
      </c>
      <c r="B29">
        <v>10</v>
      </c>
      <c r="C29">
        <v>41.66</v>
      </c>
      <c r="D29">
        <v>51.2</v>
      </c>
      <c r="E29">
        <f>E28*5</f>
        <v>63.2</v>
      </c>
      <c r="F29">
        <f t="shared" si="4"/>
        <v>38.070091214594356</v>
      </c>
      <c r="G29">
        <f t="shared" si="5"/>
        <v>158.60000000000008</v>
      </c>
      <c r="H29" s="2">
        <v>42437</v>
      </c>
      <c r="I29" s="1">
        <v>44084</v>
      </c>
      <c r="J29">
        <f t="shared" si="6"/>
        <v>4.5092402464065708</v>
      </c>
      <c r="K29">
        <f t="shared" si="7"/>
        <v>8.4426841627993863</v>
      </c>
      <c r="L29" t="s">
        <v>7</v>
      </c>
      <c r="M29" t="s">
        <v>108</v>
      </c>
    </row>
    <row r="30" spans="1:13" x14ac:dyDescent="0.2">
      <c r="A30" t="s">
        <v>94</v>
      </c>
      <c r="B30">
        <v>10</v>
      </c>
      <c r="C30">
        <v>41.95</v>
      </c>
      <c r="D30">
        <v>33.78</v>
      </c>
      <c r="E30">
        <f>(0.25*3+0.265)*B30+(0.265*3+0.285*3+0.305*4+0.42*4)*B30</f>
        <v>55.650000000000006</v>
      </c>
      <c r="F30">
        <f t="shared" si="4"/>
        <v>-6.209773539928495</v>
      </c>
      <c r="G30">
        <f t="shared" si="5"/>
        <v>-26.050000000000011</v>
      </c>
      <c r="H30" s="2">
        <v>42436</v>
      </c>
      <c r="I30" s="1">
        <v>44084</v>
      </c>
      <c r="J30">
        <f t="shared" si="6"/>
        <v>4.5119780971937029</v>
      </c>
      <c r="K30">
        <f t="shared" si="7"/>
        <v>-1.3762862775842735</v>
      </c>
      <c r="L30" t="s">
        <v>7</v>
      </c>
      <c r="M30" t="s">
        <v>105</v>
      </c>
    </row>
    <row r="31" spans="1:13" x14ac:dyDescent="0.2">
      <c r="A31" t="s">
        <v>94</v>
      </c>
      <c r="B31">
        <v>10</v>
      </c>
      <c r="C31">
        <v>39.89</v>
      </c>
      <c r="D31">
        <v>33.78</v>
      </c>
      <c r="E31">
        <f>(0.25*3+0.265)*B31+(0.265*3+0.285*3+0.305*4+0.42*4)*B31</f>
        <v>55.650000000000006</v>
      </c>
      <c r="F31">
        <f t="shared" si="4"/>
        <v>-1.3662572073201344</v>
      </c>
      <c r="G31">
        <f t="shared" si="5"/>
        <v>-5.4499999999999886</v>
      </c>
      <c r="H31" s="2">
        <v>42437</v>
      </c>
      <c r="I31" s="1">
        <v>44084</v>
      </c>
      <c r="J31">
        <f t="shared" si="6"/>
        <v>4.5092402464065708</v>
      </c>
      <c r="K31">
        <f t="shared" si="7"/>
        <v>-0.30299055553957444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46.46</v>
      </c>
      <c r="D32">
        <v>33.78</v>
      </c>
      <c r="E32">
        <f>(0.265*3+0.285*3+0.305*4+0.42*4)*B32</f>
        <v>45.5</v>
      </c>
      <c r="F32">
        <f t="shared" si="4"/>
        <v>-17.498923805424027</v>
      </c>
      <c r="G32">
        <f t="shared" si="5"/>
        <v>-81.3</v>
      </c>
      <c r="H32" s="2">
        <v>42860</v>
      </c>
      <c r="I32" s="1">
        <v>44084</v>
      </c>
      <c r="J32">
        <f t="shared" si="6"/>
        <v>3.3511293634496919</v>
      </c>
      <c r="K32">
        <f t="shared" si="7"/>
        <v>-5.2217989541920966</v>
      </c>
      <c r="L32" t="s">
        <v>7</v>
      </c>
      <c r="M32" t="s">
        <v>105</v>
      </c>
    </row>
    <row r="33" spans="1:13" x14ac:dyDescent="0.2">
      <c r="A33" t="s">
        <v>95</v>
      </c>
      <c r="B33">
        <v>6</v>
      </c>
      <c r="C33">
        <v>13.47</v>
      </c>
      <c r="D33">
        <v>25.41</v>
      </c>
      <c r="E33">
        <v>13.98</v>
      </c>
      <c r="F33">
        <f t="shared" si="4"/>
        <v>105.93912397921308</v>
      </c>
      <c r="G33">
        <f t="shared" si="5"/>
        <v>85.62</v>
      </c>
      <c r="H33" s="1">
        <v>42801</v>
      </c>
      <c r="I33" s="1">
        <v>44084</v>
      </c>
      <c r="J33">
        <f t="shared" si="6"/>
        <v>3.5126625598904861</v>
      </c>
      <c r="K33">
        <f t="shared" si="7"/>
        <v>30.159208911463427</v>
      </c>
      <c r="L33" t="s">
        <v>7</v>
      </c>
      <c r="M33" t="s">
        <v>108</v>
      </c>
    </row>
    <row r="34" spans="1:13" x14ac:dyDescent="0.2">
      <c r="A34" t="s">
        <v>96</v>
      </c>
      <c r="B34">
        <v>10</v>
      </c>
      <c r="C34">
        <v>13.53</v>
      </c>
      <c r="D34">
        <f>0.922083*10.85+(1-0.922083)*10.79</f>
        <v>10.845324979999999</v>
      </c>
      <c r="E34">
        <v>18.45</v>
      </c>
      <c r="F34">
        <f t="shared" si="4"/>
        <v>-6.2060237989652602</v>
      </c>
      <c r="G34">
        <f t="shared" si="5"/>
        <v>-8.3967502000000032</v>
      </c>
      <c r="H34" s="3">
        <v>42659</v>
      </c>
      <c r="I34" s="1">
        <v>44084</v>
      </c>
      <c r="J34">
        <f t="shared" si="6"/>
        <v>3.9014373716632442</v>
      </c>
      <c r="K34">
        <f t="shared" si="7"/>
        <v>-1.5907018895242535</v>
      </c>
      <c r="L34" t="s">
        <v>7</v>
      </c>
      <c r="M34" t="s">
        <v>105</v>
      </c>
    </row>
    <row r="35" spans="1:13" x14ac:dyDescent="0.2">
      <c r="A35" t="s">
        <v>96</v>
      </c>
      <c r="B35">
        <v>10</v>
      </c>
      <c r="C35">
        <v>10.029999999999999</v>
      </c>
      <c r="D35">
        <v>10.79</v>
      </c>
      <c r="E35">
        <v>0</v>
      </c>
      <c r="F35">
        <f t="shared" si="4"/>
        <v>7.5772681954137573</v>
      </c>
      <c r="G35">
        <f t="shared" si="5"/>
        <v>7.5999999999999979</v>
      </c>
      <c r="H35" s="3">
        <v>44008</v>
      </c>
      <c r="I35" s="1">
        <v>44084</v>
      </c>
      <c r="J35">
        <f t="shared" si="6"/>
        <v>0.20807665982203971</v>
      </c>
      <c r="K35">
        <f t="shared" si="7"/>
        <v>36.415752741774668</v>
      </c>
      <c r="L35" t="s">
        <v>7</v>
      </c>
      <c r="M35" t="s">
        <v>108</v>
      </c>
    </row>
    <row r="36" spans="1:13" x14ac:dyDescent="0.2">
      <c r="A36" t="s">
        <v>97</v>
      </c>
      <c r="B36">
        <v>2</v>
      </c>
      <c r="C36">
        <v>111.69</v>
      </c>
      <c r="D36">
        <v>136.52000000000001</v>
      </c>
      <c r="E36">
        <v>25.62</v>
      </c>
      <c r="F36">
        <f t="shared" si="4"/>
        <v>33.700420807592458</v>
      </c>
      <c r="G36">
        <f t="shared" si="5"/>
        <v>75.28000000000003</v>
      </c>
      <c r="H36" s="3">
        <v>42831</v>
      </c>
      <c r="I36" s="1">
        <v>44084</v>
      </c>
      <c r="J36">
        <f t="shared" si="6"/>
        <v>3.4305270362765228</v>
      </c>
      <c r="K36">
        <f t="shared" si="7"/>
        <v>9.8236861133065805</v>
      </c>
      <c r="L36" t="s">
        <v>7</v>
      </c>
      <c r="M36" t="s">
        <v>108</v>
      </c>
    </row>
    <row r="37" spans="1:13" x14ac:dyDescent="0.2">
      <c r="A37" t="s">
        <v>99</v>
      </c>
      <c r="B37">
        <v>10</v>
      </c>
      <c r="C37">
        <v>203.48</v>
      </c>
      <c r="D37">
        <v>202.3</v>
      </c>
      <c r="E37">
        <v>12.5</v>
      </c>
      <c r="F37">
        <f t="shared" si="4"/>
        <v>3.4401415372528797E-2</v>
      </c>
      <c r="G37">
        <f t="shared" si="5"/>
        <v>0.700000000000216</v>
      </c>
      <c r="H37" s="1">
        <v>44050</v>
      </c>
      <c r="I37" s="1">
        <v>44084</v>
      </c>
      <c r="J37">
        <f t="shared" si="6"/>
        <v>9.3086926762491445E-2</v>
      </c>
      <c r="K37">
        <f t="shared" si="7"/>
        <v>0.36956226367106304</v>
      </c>
      <c r="L37" t="s">
        <v>7</v>
      </c>
      <c r="M37" t="s">
        <v>107</v>
      </c>
    </row>
    <row r="38" spans="1:13" x14ac:dyDescent="0.2">
      <c r="A38" t="s">
        <v>100</v>
      </c>
      <c r="B38">
        <v>9</v>
      </c>
      <c r="C38">
        <v>74.349999999999994</v>
      </c>
      <c r="D38">
        <v>76.67</v>
      </c>
      <c r="E38">
        <v>2.91</v>
      </c>
      <c r="F38">
        <f t="shared" si="4"/>
        <v>3.5552566689083327</v>
      </c>
      <c r="G38">
        <f t="shared" si="5"/>
        <v>23.790000000000067</v>
      </c>
      <c r="H38" s="1">
        <v>44054</v>
      </c>
      <c r="I38" s="1">
        <v>44084</v>
      </c>
      <c r="J38">
        <f t="shared" si="6"/>
        <v>8.2135523613963035E-2</v>
      </c>
      <c r="K38">
        <f t="shared" si="7"/>
        <v>43.285249943958952</v>
      </c>
      <c r="L38" t="s">
        <v>7</v>
      </c>
      <c r="M38" t="s">
        <v>107</v>
      </c>
    </row>
    <row r="39" spans="1:13" x14ac:dyDescent="0.2">
      <c r="A39" t="s">
        <v>101</v>
      </c>
      <c r="B39">
        <v>10</v>
      </c>
      <c r="C39">
        <v>107.56</v>
      </c>
      <c r="D39">
        <v>116.09</v>
      </c>
      <c r="E39">
        <v>0</v>
      </c>
      <c r="F39">
        <f t="shared" si="4"/>
        <v>7.930457419114914</v>
      </c>
      <c r="G39">
        <f t="shared" si="5"/>
        <v>85.300000000000011</v>
      </c>
      <c r="H39" s="1">
        <v>44063</v>
      </c>
      <c r="I39" s="1">
        <v>44084</v>
      </c>
      <c r="J39">
        <f t="shared" si="6"/>
        <v>5.7494866529774126E-2</v>
      </c>
      <c r="K39">
        <f t="shared" si="7"/>
        <v>137.93331296817726</v>
      </c>
      <c r="L39" t="s">
        <v>7</v>
      </c>
      <c r="M39" t="s">
        <v>107</v>
      </c>
    </row>
    <row r="40" spans="1:13" x14ac:dyDescent="0.2">
      <c r="A40" t="s">
        <v>102</v>
      </c>
      <c r="B40">
        <v>10</v>
      </c>
      <c r="C40">
        <v>31.01</v>
      </c>
      <c r="D40">
        <v>6.35</v>
      </c>
      <c r="E40">
        <f>2.3*3+2.4*4+1.2*4+0.1*7</f>
        <v>22</v>
      </c>
      <c r="F40">
        <f t="shared" si="4"/>
        <v>-72.428248951950977</v>
      </c>
      <c r="G40">
        <f t="shared" si="5"/>
        <v>-224.60000000000002</v>
      </c>
      <c r="H40" s="2">
        <v>42366</v>
      </c>
      <c r="I40" s="1">
        <v>44084</v>
      </c>
      <c r="J40">
        <f t="shared" si="6"/>
        <v>4.7036276522929503</v>
      </c>
      <c r="K40">
        <f t="shared" si="7"/>
        <v>-15.398380634284106</v>
      </c>
      <c r="L40" t="s">
        <v>7</v>
      </c>
      <c r="M40" t="s">
        <v>105</v>
      </c>
    </row>
    <row r="41" spans="1:13" x14ac:dyDescent="0.2">
      <c r="A41" t="s">
        <v>103</v>
      </c>
      <c r="B41">
        <v>3.008054</v>
      </c>
      <c r="C41">
        <v>74.8</v>
      </c>
      <c r="D41">
        <v>69.349999999999994</v>
      </c>
      <c r="E41">
        <v>0.9</v>
      </c>
      <c r="F41">
        <f t="shared" si="4"/>
        <v>-6.8861005929930457</v>
      </c>
      <c r="G41">
        <f t="shared" si="5"/>
        <v>-15.49389430000001</v>
      </c>
      <c r="H41" s="1">
        <v>44061</v>
      </c>
      <c r="I41" s="1">
        <v>44084</v>
      </c>
      <c r="J41">
        <f t="shared" si="6"/>
        <v>6.2970568104038324E-2</v>
      </c>
      <c r="K41">
        <f t="shared" si="7"/>
        <v>-109.35427137350914</v>
      </c>
      <c r="L41" t="s">
        <v>7</v>
      </c>
      <c r="M41" t="s">
        <v>107</v>
      </c>
    </row>
    <row r="42" spans="1:13" x14ac:dyDescent="0.2">
      <c r="A42" t="s">
        <v>103</v>
      </c>
      <c r="B42">
        <v>5</v>
      </c>
      <c r="C42">
        <v>73.75</v>
      </c>
      <c r="D42">
        <v>69.25</v>
      </c>
      <c r="E42">
        <v>1.5</v>
      </c>
      <c r="F42">
        <f t="shared" si="4"/>
        <v>-5.6949152542372916</v>
      </c>
      <c r="G42">
        <f t="shared" si="5"/>
        <v>-21</v>
      </c>
      <c r="H42" s="1">
        <v>44062</v>
      </c>
      <c r="I42" s="1">
        <v>44084</v>
      </c>
      <c r="J42">
        <f t="shared" si="6"/>
        <v>6.0232717316906229E-2</v>
      </c>
      <c r="K42">
        <f t="shared" si="7"/>
        <v>-94.54853620955322</v>
      </c>
      <c r="L42" t="s">
        <v>7</v>
      </c>
      <c r="M42" t="s">
        <v>107</v>
      </c>
    </row>
    <row r="43" spans="1:13" x14ac:dyDescent="0.2">
      <c r="A43" t="s">
        <v>104</v>
      </c>
      <c r="B43">
        <v>3</v>
      </c>
      <c r="C43">
        <v>344.93</v>
      </c>
      <c r="D43">
        <v>348.82</v>
      </c>
      <c r="E43">
        <v>2.0099999999999998</v>
      </c>
      <c r="F43">
        <f t="shared" si="4"/>
        <v>1.3220073638129481</v>
      </c>
      <c r="G43">
        <f t="shared" si="5"/>
        <v>13.679999999999959</v>
      </c>
      <c r="H43" s="1">
        <v>44054</v>
      </c>
      <c r="I43" s="1">
        <v>44084</v>
      </c>
      <c r="J43">
        <f t="shared" si="6"/>
        <v>8.2135523613963035E-2</v>
      </c>
      <c r="K43">
        <f t="shared" si="7"/>
        <v>16.095439654422645</v>
      </c>
      <c r="L43" t="s">
        <v>7</v>
      </c>
      <c r="M43" t="s">
        <v>107</v>
      </c>
    </row>
    <row r="44" spans="1:13" x14ac:dyDescent="0.2">
      <c r="A44" t="s">
        <v>10</v>
      </c>
      <c r="B44">
        <v>5</v>
      </c>
      <c r="C44">
        <v>37.659999999999997</v>
      </c>
      <c r="D44">
        <v>71.430000000000007</v>
      </c>
      <c r="E44">
        <f>1.17+4.13+0.95+3.84+1.64+5.26+2.09+5.3+1.3</f>
        <v>25.680000000000003</v>
      </c>
      <c r="F44">
        <f t="shared" si="4"/>
        <v>103.30855018587364</v>
      </c>
      <c r="G44">
        <f t="shared" si="5"/>
        <v>194.53000000000006</v>
      </c>
      <c r="H44" s="2">
        <v>42408</v>
      </c>
      <c r="I44" s="1">
        <v>44084</v>
      </c>
      <c r="J44">
        <f t="shared" si="6"/>
        <v>4.5886379192334017</v>
      </c>
      <c r="K44">
        <f t="shared" si="7"/>
        <v>22.513990426843883</v>
      </c>
      <c r="L44" t="s">
        <v>7</v>
      </c>
      <c r="M44" t="s">
        <v>108</v>
      </c>
    </row>
    <row r="45" spans="1:13" x14ac:dyDescent="0.2">
      <c r="A45" t="s">
        <v>10</v>
      </c>
      <c r="B45">
        <f>8.013287-5</f>
        <v>3.013287</v>
      </c>
      <c r="C45">
        <v>71.87</v>
      </c>
      <c r="D45">
        <f>((6.999861-5)*71.43+1.013426*71.45)/B45</f>
        <v>71.436726382186635</v>
      </c>
      <c r="E45">
        <v>0</v>
      </c>
      <c r="F45">
        <f t="shared" si="4"/>
        <v>-0.60285740616859607</v>
      </c>
      <c r="G45">
        <f t="shared" si="5"/>
        <v>-1.3055777599999965</v>
      </c>
      <c r="H45" s="1">
        <v>44054</v>
      </c>
      <c r="I45" s="1">
        <v>44084</v>
      </c>
      <c r="J45">
        <f t="shared" si="6"/>
        <v>8.2135523613963035E-2</v>
      </c>
      <c r="K45">
        <f t="shared" si="7"/>
        <v>-7.3397889201026576</v>
      </c>
      <c r="L45" t="s">
        <v>7</v>
      </c>
      <c r="M45" t="s">
        <v>107</v>
      </c>
    </row>
    <row r="46" spans="1:13" x14ac:dyDescent="0.2">
      <c r="A46" t="s">
        <v>21</v>
      </c>
      <c r="B46">
        <v>1</v>
      </c>
      <c r="C46">
        <v>383</v>
      </c>
      <c r="D46">
        <f>(1-0.910514)*557.36+0.910514*549.14</f>
        <v>549.87557491999996</v>
      </c>
      <c r="E46">
        <f>2.5*3+2.88*2+3.13*2+3.3*4+3.63*2+14.52/4</f>
        <v>43.61</v>
      </c>
      <c r="F46">
        <f t="shared" si="4"/>
        <v>54.957069169712788</v>
      </c>
      <c r="G46">
        <f t="shared" si="5"/>
        <v>210.48557491999998</v>
      </c>
      <c r="H46" s="2">
        <v>42860</v>
      </c>
      <c r="I46" s="1">
        <v>44088</v>
      </c>
      <c r="J46">
        <f t="shared" si="6"/>
        <v>3.3620807665982202</v>
      </c>
      <c r="K46">
        <f t="shared" si="7"/>
        <v>16.346147812897065</v>
      </c>
      <c r="L46" t="s">
        <v>7</v>
      </c>
      <c r="M46" t="s">
        <v>108</v>
      </c>
    </row>
    <row r="47" spans="1:13" x14ac:dyDescent="0.2">
      <c r="A47" t="s">
        <v>21</v>
      </c>
      <c r="B47">
        <v>0.80759999999999998</v>
      </c>
      <c r="C47">
        <v>582.66999999999996</v>
      </c>
      <c r="D47">
        <v>557.36</v>
      </c>
      <c r="E47">
        <f>14.53*0.8076/4</f>
        <v>2.9336069999999999</v>
      </c>
      <c r="F47">
        <f t="shared" si="4"/>
        <v>-3.7203734532410966</v>
      </c>
      <c r="G47">
        <f t="shared" si="5"/>
        <v>-17.506748999999957</v>
      </c>
      <c r="H47" s="1">
        <v>44050</v>
      </c>
      <c r="I47" s="1">
        <v>44090</v>
      </c>
      <c r="J47">
        <f t="shared" si="6"/>
        <v>0.10951403148528405</v>
      </c>
      <c r="K47">
        <f t="shared" si="7"/>
        <v>-33.971660094907762</v>
      </c>
      <c r="L47" t="s">
        <v>7</v>
      </c>
      <c r="M47" t="s">
        <v>107</v>
      </c>
    </row>
    <row r="48" spans="1:13" x14ac:dyDescent="0.2">
      <c r="A48" t="s">
        <v>20</v>
      </c>
      <c r="B48">
        <v>1.767852</v>
      </c>
      <c r="C48">
        <v>82.74</v>
      </c>
      <c r="D48">
        <v>84.85</v>
      </c>
      <c r="E48">
        <f>0.31*1.767852</f>
        <v>0.54803411999999996</v>
      </c>
      <c r="F48">
        <f t="shared" si="4"/>
        <v>2.9248247522359221</v>
      </c>
      <c r="G48">
        <f t="shared" si="5"/>
        <v>4.2782018399999986</v>
      </c>
      <c r="H48" s="1">
        <v>44050</v>
      </c>
      <c r="I48" s="1">
        <v>44090</v>
      </c>
      <c r="J48">
        <f t="shared" si="6"/>
        <v>0.10951403148528405</v>
      </c>
      <c r="K48">
        <f t="shared" si="7"/>
        <v>26.707306018854265</v>
      </c>
      <c r="L48" t="s">
        <v>7</v>
      </c>
      <c r="M48" t="s">
        <v>107</v>
      </c>
    </row>
    <row r="49" spans="1:13" x14ac:dyDescent="0.2">
      <c r="A49" t="s">
        <v>35</v>
      </c>
      <c r="B49">
        <v>1.6460360000000001</v>
      </c>
      <c r="C49">
        <v>302.01</v>
      </c>
      <c r="D49">
        <v>303.76</v>
      </c>
      <c r="E49">
        <f>0.2554*1.646036</f>
        <v>0.42039759440000002</v>
      </c>
      <c r="F49">
        <f t="shared" si="4"/>
        <v>0.66401774775669975</v>
      </c>
      <c r="G49">
        <f t="shared" si="5"/>
        <v>3.3009605944000002</v>
      </c>
      <c r="H49" s="1">
        <v>44054</v>
      </c>
      <c r="I49" s="1">
        <v>44096</v>
      </c>
      <c r="J49">
        <f t="shared" si="6"/>
        <v>0.11498973305954825</v>
      </c>
      <c r="K49">
        <f t="shared" si="7"/>
        <v>5.7745829135270137</v>
      </c>
      <c r="L49" t="s">
        <v>7</v>
      </c>
      <c r="M49" t="s">
        <v>107</v>
      </c>
    </row>
    <row r="50" spans="1:13" x14ac:dyDescent="0.2">
      <c r="A50" t="s">
        <v>74</v>
      </c>
      <c r="B50">
        <v>4.3339990000000004</v>
      </c>
      <c r="C50">
        <v>115.37</v>
      </c>
      <c r="D50">
        <v>117.95</v>
      </c>
      <c r="E50">
        <v>0</v>
      </c>
      <c r="F50">
        <f t="shared" si="4"/>
        <v>2.2362832625465878</v>
      </c>
      <c r="G50">
        <f t="shared" si="5"/>
        <v>11.181717419999993</v>
      </c>
      <c r="H50" s="1">
        <v>44084</v>
      </c>
      <c r="I50" s="1">
        <v>44105</v>
      </c>
      <c r="J50">
        <f t="shared" si="6"/>
        <v>5.7494866529774126E-2</v>
      </c>
      <c r="K50">
        <f t="shared" si="7"/>
        <v>38.8953553164353</v>
      </c>
      <c r="L50" t="s">
        <v>9</v>
      </c>
      <c r="M50" t="s">
        <v>81</v>
      </c>
    </row>
    <row r="51" spans="1:13" x14ac:dyDescent="0.2">
      <c r="A51" t="s">
        <v>86</v>
      </c>
      <c r="B51">
        <v>2.8388119999999999</v>
      </c>
      <c r="C51">
        <v>176.13</v>
      </c>
      <c r="D51">
        <v>198.04</v>
      </c>
      <c r="E51">
        <v>0</v>
      </c>
      <c r="F51">
        <f t="shared" si="4"/>
        <v>12.439675239879634</v>
      </c>
      <c r="G51">
        <f t="shared" si="5"/>
        <v>62.198370919999988</v>
      </c>
      <c r="H51" s="1">
        <v>44084</v>
      </c>
      <c r="I51" s="1">
        <v>44105</v>
      </c>
      <c r="J51">
        <f t="shared" si="6"/>
        <v>5.7494866529774126E-2</v>
      </c>
      <c r="K51">
        <f t="shared" si="7"/>
        <v>216.36149435076362</v>
      </c>
      <c r="L51" t="s">
        <v>9</v>
      </c>
      <c r="M51" t="s">
        <v>81</v>
      </c>
    </row>
    <row r="52" spans="1:13" x14ac:dyDescent="0.2">
      <c r="A52" t="s">
        <v>87</v>
      </c>
      <c r="B52">
        <v>3.655786</v>
      </c>
      <c r="C52">
        <v>136.77000000000001</v>
      </c>
      <c r="D52">
        <v>148.29</v>
      </c>
      <c r="E52">
        <v>0</v>
      </c>
      <c r="F52">
        <f t="shared" si="4"/>
        <v>8.4228997587190033</v>
      </c>
      <c r="G52">
        <f t="shared" si="5"/>
        <v>42.114654719999933</v>
      </c>
      <c r="H52" s="1">
        <v>44084</v>
      </c>
      <c r="I52" s="1">
        <v>44105</v>
      </c>
      <c r="J52">
        <f t="shared" si="6"/>
        <v>5.7494866529774126E-2</v>
      </c>
      <c r="K52">
        <f>F52/J52</f>
        <v>146.49829223200553</v>
      </c>
      <c r="L52" t="s">
        <v>9</v>
      </c>
      <c r="M52" t="s">
        <v>81</v>
      </c>
    </row>
    <row r="53" spans="1:13" x14ac:dyDescent="0.2">
      <c r="B53">
        <f>SUM(B2:B52)</f>
        <v>722.07142599999986</v>
      </c>
      <c r="C53">
        <f>SUM(C2:C52)</f>
        <v>3863.8269999999998</v>
      </c>
      <c r="D53">
        <f>SUM(D2:D52)</f>
        <v>4265.8307219343606</v>
      </c>
      <c r="E53">
        <f>SUM(E2:E52)</f>
        <v>972.8620387144</v>
      </c>
      <c r="F53">
        <f t="shared" si="4"/>
        <v>10.439158973573685</v>
      </c>
      <c r="G53">
        <f>SUM(G2:G52)</f>
        <v>3880.6765091543998</v>
      </c>
      <c r="J53">
        <f>AVERAGE(J2:J52)</f>
        <v>1.9531612782005345</v>
      </c>
      <c r="K53">
        <f>F53/J53</f>
        <v>5.3447501187364201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2020-10-02T00:26:24Z</dcterms:modified>
</cp:coreProperties>
</file>