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verjohansen/stocks/portfolio/"/>
    </mc:Choice>
  </mc:AlternateContent>
  <xr:revisionPtr revIDLastSave="0" documentId="13_ncr:1_{BF448936-7D6E-594C-A5CF-CE854119F52D}" xr6:coauthVersionLast="46" xr6:coauthVersionMax="46" xr10:uidLastSave="{00000000-0000-0000-0000-000000000000}"/>
  <bookViews>
    <workbookView xWindow="6060" yWindow="460" windowWidth="26380" windowHeight="19980" xr2:uid="{A5B2A4F2-60FC-EA4F-BC94-72BFD2F89465}"/>
  </bookViews>
  <sheets>
    <sheet name="Sheet1" sheetId="1" r:id="rId1"/>
    <sheet name="LONG" sheetId="2" r:id="rId2"/>
    <sheet name="TEMP" sheetId="3" r:id="rId3"/>
    <sheet name="SO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8" i="2" l="1"/>
  <c r="G38" i="2"/>
  <c r="E38" i="2"/>
  <c r="K37" i="2"/>
  <c r="J37" i="2"/>
  <c r="G37" i="2"/>
  <c r="E37" i="2"/>
  <c r="H37" i="2" s="1"/>
  <c r="K36" i="2"/>
  <c r="J36" i="2"/>
  <c r="G36" i="2"/>
  <c r="E36" i="2"/>
  <c r="H36" i="2" s="1"/>
  <c r="K35" i="2"/>
  <c r="J35" i="2"/>
  <c r="G35" i="2"/>
  <c r="E35" i="2"/>
  <c r="K34" i="2"/>
  <c r="J34" i="2"/>
  <c r="C34" i="2"/>
  <c r="B34" i="2"/>
  <c r="E34" i="2" s="1"/>
  <c r="K33" i="2"/>
  <c r="J33" i="2"/>
  <c r="G33" i="2"/>
  <c r="E33" i="2"/>
  <c r="K32" i="2"/>
  <c r="J32" i="2"/>
  <c r="G32" i="2"/>
  <c r="E32" i="2"/>
  <c r="H32" i="2" s="1"/>
  <c r="K31" i="2"/>
  <c r="J31" i="2"/>
  <c r="H31" i="2"/>
  <c r="G31" i="2"/>
  <c r="E31" i="2"/>
  <c r="K30" i="2"/>
  <c r="J30" i="2"/>
  <c r="G30" i="2"/>
  <c r="E30" i="2"/>
  <c r="K29" i="2"/>
  <c r="J29" i="2"/>
  <c r="F29" i="2"/>
  <c r="G29" i="2" s="1"/>
  <c r="E29" i="2"/>
  <c r="C29" i="2"/>
  <c r="K28" i="2"/>
  <c r="F28" i="2"/>
  <c r="G28" i="2" s="1"/>
  <c r="E28" i="2"/>
  <c r="K27" i="2"/>
  <c r="J27" i="2"/>
  <c r="G27" i="2"/>
  <c r="E27" i="2"/>
  <c r="K26" i="2"/>
  <c r="J26" i="2"/>
  <c r="G26" i="2"/>
  <c r="E26" i="2"/>
  <c r="K25" i="2"/>
  <c r="J25" i="2"/>
  <c r="H25" i="2"/>
  <c r="F25" i="2"/>
  <c r="G25" i="2" s="1"/>
  <c r="E25" i="2"/>
  <c r="K24" i="2"/>
  <c r="J24" i="2"/>
  <c r="G24" i="2"/>
  <c r="E24" i="2"/>
  <c r="H24" i="2" s="1"/>
  <c r="K23" i="2"/>
  <c r="J23" i="2"/>
  <c r="H23" i="2"/>
  <c r="G23" i="2"/>
  <c r="L23" i="2" s="1"/>
  <c r="E23" i="2"/>
  <c r="K22" i="2"/>
  <c r="J22" i="2"/>
  <c r="G22" i="2"/>
  <c r="L22" i="2" s="1"/>
  <c r="E22" i="2"/>
  <c r="K21" i="2"/>
  <c r="J21" i="2"/>
  <c r="H21" i="2"/>
  <c r="G21" i="2"/>
  <c r="E21" i="2"/>
  <c r="K20" i="2"/>
  <c r="J20" i="2"/>
  <c r="G20" i="2"/>
  <c r="E20" i="2"/>
  <c r="H20" i="2" s="1"/>
  <c r="K19" i="2"/>
  <c r="J19" i="2"/>
  <c r="E19" i="2"/>
  <c r="C19" i="2"/>
  <c r="G19" i="2" s="1"/>
  <c r="K18" i="2"/>
  <c r="J18" i="2"/>
  <c r="G18" i="2"/>
  <c r="L18" i="2" s="1"/>
  <c r="E18" i="2"/>
  <c r="K17" i="2"/>
  <c r="J17" i="2"/>
  <c r="G17" i="2"/>
  <c r="E17" i="2"/>
  <c r="K16" i="2"/>
  <c r="J16" i="2"/>
  <c r="H16" i="2"/>
  <c r="G16" i="2"/>
  <c r="E16" i="2"/>
  <c r="K15" i="2"/>
  <c r="J15" i="2"/>
  <c r="H15" i="2"/>
  <c r="G15" i="2"/>
  <c r="E15" i="2"/>
  <c r="K14" i="2"/>
  <c r="J14" i="2"/>
  <c r="F14" i="2"/>
  <c r="H14" i="2" s="1"/>
  <c r="E14" i="2"/>
  <c r="K13" i="2"/>
  <c r="J13" i="2"/>
  <c r="G13" i="2"/>
  <c r="F13" i="2"/>
  <c r="E13" i="2"/>
  <c r="C13" i="2"/>
  <c r="K12" i="2"/>
  <c r="J12" i="2"/>
  <c r="H12" i="2"/>
  <c r="G12" i="2"/>
  <c r="E12" i="2"/>
  <c r="K11" i="2"/>
  <c r="J11" i="2"/>
  <c r="G11" i="2"/>
  <c r="E11" i="2"/>
  <c r="K10" i="2"/>
  <c r="J10" i="2"/>
  <c r="G10" i="2"/>
  <c r="E10" i="2"/>
  <c r="K9" i="2"/>
  <c r="J9" i="2"/>
  <c r="G9" i="2"/>
  <c r="E9" i="2"/>
  <c r="H9" i="2" s="1"/>
  <c r="K8" i="2"/>
  <c r="J8" i="2"/>
  <c r="G8" i="2"/>
  <c r="E8" i="2"/>
  <c r="H8" i="2" s="1"/>
  <c r="K7" i="2"/>
  <c r="J7" i="2"/>
  <c r="G7" i="2"/>
  <c r="E7" i="2"/>
  <c r="K6" i="2"/>
  <c r="J6" i="2"/>
  <c r="E6" i="2"/>
  <c r="C6" i="2"/>
  <c r="G6" i="2" s="1"/>
  <c r="K5" i="2"/>
  <c r="J5" i="2"/>
  <c r="E5" i="2"/>
  <c r="C5" i="2"/>
  <c r="G5" i="2" s="1"/>
  <c r="K4" i="2"/>
  <c r="J4" i="2"/>
  <c r="G4" i="2"/>
  <c r="E4" i="2"/>
  <c r="K3" i="2"/>
  <c r="J3" i="2"/>
  <c r="F3" i="2"/>
  <c r="G3" i="2" s="1"/>
  <c r="E3" i="2"/>
  <c r="S25" i="1"/>
  <c r="U22" i="2"/>
  <c r="W14" i="3"/>
  <c r="V14" i="3"/>
  <c r="U14" i="3"/>
  <c r="T14" i="3"/>
  <c r="P14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K42" i="3"/>
  <c r="J42" i="3"/>
  <c r="G42" i="3"/>
  <c r="E42" i="3"/>
  <c r="K41" i="3"/>
  <c r="J41" i="3"/>
  <c r="G41" i="3"/>
  <c r="E41" i="3"/>
  <c r="K40" i="3"/>
  <c r="J40" i="3"/>
  <c r="G40" i="3"/>
  <c r="E40" i="3"/>
  <c r="K39" i="3"/>
  <c r="J39" i="3"/>
  <c r="H39" i="3"/>
  <c r="G39" i="3"/>
  <c r="E39" i="3"/>
  <c r="K38" i="3"/>
  <c r="J38" i="3"/>
  <c r="G38" i="3"/>
  <c r="E38" i="3"/>
  <c r="K37" i="3"/>
  <c r="J37" i="3"/>
  <c r="G37" i="3"/>
  <c r="E37" i="3"/>
  <c r="K36" i="3"/>
  <c r="J36" i="3"/>
  <c r="H36" i="3"/>
  <c r="G36" i="3"/>
  <c r="E36" i="3"/>
  <c r="K35" i="3"/>
  <c r="J35" i="3"/>
  <c r="H35" i="3"/>
  <c r="G35" i="3"/>
  <c r="E35" i="3"/>
  <c r="K34" i="3"/>
  <c r="J34" i="3"/>
  <c r="G34" i="3"/>
  <c r="E34" i="3"/>
  <c r="K33" i="3"/>
  <c r="J33" i="3"/>
  <c r="G33" i="3"/>
  <c r="E33" i="3"/>
  <c r="K32" i="3"/>
  <c r="J32" i="3"/>
  <c r="G32" i="3"/>
  <c r="E32" i="3"/>
  <c r="K31" i="3"/>
  <c r="J31" i="3"/>
  <c r="H31" i="3"/>
  <c r="G31" i="3"/>
  <c r="E31" i="3"/>
  <c r="K30" i="3"/>
  <c r="J30" i="3"/>
  <c r="G30" i="3"/>
  <c r="E30" i="3"/>
  <c r="K29" i="3"/>
  <c r="J29" i="3"/>
  <c r="G29" i="3"/>
  <c r="E29" i="3"/>
  <c r="K28" i="3"/>
  <c r="J28" i="3"/>
  <c r="H28" i="3"/>
  <c r="G28" i="3"/>
  <c r="E28" i="3"/>
  <c r="K27" i="3"/>
  <c r="J27" i="3"/>
  <c r="H27" i="3"/>
  <c r="G27" i="3"/>
  <c r="E27" i="3"/>
  <c r="K26" i="3"/>
  <c r="J26" i="3"/>
  <c r="H26" i="3"/>
  <c r="G26" i="3"/>
  <c r="E26" i="3"/>
  <c r="K25" i="3"/>
  <c r="J25" i="3"/>
  <c r="G25" i="3"/>
  <c r="E25" i="3"/>
  <c r="K24" i="3"/>
  <c r="J24" i="3"/>
  <c r="F24" i="3"/>
  <c r="G24" i="3" s="1"/>
  <c r="E24" i="3"/>
  <c r="K23" i="3"/>
  <c r="J23" i="3"/>
  <c r="E23" i="3"/>
  <c r="C23" i="3"/>
  <c r="B23" i="3"/>
  <c r="G23" i="3" s="1"/>
  <c r="K22" i="3"/>
  <c r="J22" i="3"/>
  <c r="G22" i="3"/>
  <c r="E22" i="3"/>
  <c r="K21" i="3"/>
  <c r="J21" i="3"/>
  <c r="G21" i="3"/>
  <c r="E21" i="3"/>
  <c r="K20" i="3"/>
  <c r="J20" i="3"/>
  <c r="H20" i="3"/>
  <c r="G20" i="3"/>
  <c r="E20" i="3"/>
  <c r="K19" i="3"/>
  <c r="J19" i="3"/>
  <c r="H19" i="3"/>
  <c r="G19" i="3"/>
  <c r="E19" i="3"/>
  <c r="K18" i="3"/>
  <c r="J18" i="3"/>
  <c r="G18" i="3"/>
  <c r="E18" i="3"/>
  <c r="K17" i="3"/>
  <c r="J17" i="3"/>
  <c r="G17" i="3"/>
  <c r="E17" i="3"/>
  <c r="K16" i="3"/>
  <c r="J16" i="3"/>
  <c r="H16" i="3"/>
  <c r="G16" i="3"/>
  <c r="E16" i="3"/>
  <c r="K15" i="3"/>
  <c r="J15" i="3"/>
  <c r="H15" i="3"/>
  <c r="G15" i="3"/>
  <c r="E15" i="3"/>
  <c r="K14" i="3"/>
  <c r="J14" i="3"/>
  <c r="G14" i="3"/>
  <c r="E14" i="3"/>
  <c r="K13" i="3"/>
  <c r="J13" i="3"/>
  <c r="G13" i="3"/>
  <c r="E13" i="3"/>
  <c r="K12" i="3"/>
  <c r="J12" i="3"/>
  <c r="H12" i="3"/>
  <c r="G12" i="3"/>
  <c r="E12" i="3"/>
  <c r="K11" i="3"/>
  <c r="J11" i="3"/>
  <c r="H11" i="3"/>
  <c r="G11" i="3"/>
  <c r="E11" i="3"/>
  <c r="K10" i="3"/>
  <c r="J10" i="3"/>
  <c r="G10" i="3"/>
  <c r="E10" i="3"/>
  <c r="K9" i="3"/>
  <c r="J9" i="3"/>
  <c r="G9" i="3"/>
  <c r="E9" i="3"/>
  <c r="K8" i="3"/>
  <c r="J8" i="3"/>
  <c r="H8" i="3"/>
  <c r="G8" i="3"/>
  <c r="E8" i="3"/>
  <c r="K7" i="3"/>
  <c r="J7" i="3"/>
  <c r="H7" i="3"/>
  <c r="G7" i="3"/>
  <c r="E7" i="3"/>
  <c r="K6" i="3"/>
  <c r="J6" i="3"/>
  <c r="G6" i="3"/>
  <c r="E6" i="3"/>
  <c r="K5" i="3"/>
  <c r="J5" i="3"/>
  <c r="G5" i="3"/>
  <c r="E5" i="3"/>
  <c r="K4" i="3"/>
  <c r="J4" i="3"/>
  <c r="H4" i="3"/>
  <c r="G4" i="3"/>
  <c r="E4" i="3"/>
  <c r="K3" i="3"/>
  <c r="J3" i="3"/>
  <c r="H3" i="3"/>
  <c r="G3" i="3"/>
  <c r="E3" i="3"/>
  <c r="W13" i="1"/>
  <c r="V13" i="1"/>
  <c r="U13" i="1"/>
  <c r="T13" i="1"/>
  <c r="V29" i="1"/>
  <c r="U29" i="1"/>
  <c r="T29" i="1"/>
  <c r="S29" i="1"/>
  <c r="P29" i="1"/>
  <c r="P25" i="1"/>
  <c r="P13" i="1"/>
  <c r="K67" i="4"/>
  <c r="K66" i="4"/>
  <c r="K65" i="4"/>
  <c r="K64" i="4"/>
  <c r="K63" i="4"/>
  <c r="J67" i="4"/>
  <c r="J66" i="4"/>
  <c r="J65" i="4"/>
  <c r="J64" i="4"/>
  <c r="J63" i="4"/>
  <c r="F67" i="4"/>
  <c r="F66" i="4"/>
  <c r="F65" i="4"/>
  <c r="F64" i="4"/>
  <c r="F63" i="4"/>
  <c r="W13" i="3"/>
  <c r="V13" i="3"/>
  <c r="U13" i="3"/>
  <c r="T13" i="3"/>
  <c r="M2" i="3"/>
  <c r="P13" i="3"/>
  <c r="U21" i="2"/>
  <c r="T28" i="1"/>
  <c r="S28" i="1"/>
  <c r="W12" i="1"/>
  <c r="V12" i="1"/>
  <c r="U12" i="1"/>
  <c r="T12" i="1"/>
  <c r="P12" i="1"/>
  <c r="J9" i="1"/>
  <c r="K9" i="1"/>
  <c r="G9" i="1"/>
  <c r="F29" i="1"/>
  <c r="F14" i="1"/>
  <c r="F28" i="1"/>
  <c r="E9" i="1"/>
  <c r="H9" i="1" s="1"/>
  <c r="G67" i="4"/>
  <c r="G66" i="4"/>
  <c r="G65" i="4"/>
  <c r="G64" i="4"/>
  <c r="G63" i="4"/>
  <c r="S8" i="1"/>
  <c r="W12" i="3"/>
  <c r="V12" i="3"/>
  <c r="U12" i="3"/>
  <c r="T12" i="3"/>
  <c r="U20" i="2"/>
  <c r="K37" i="1"/>
  <c r="J37" i="1"/>
  <c r="G37" i="1"/>
  <c r="E37" i="1"/>
  <c r="H37" i="1" s="1"/>
  <c r="T27" i="1"/>
  <c r="S27" i="1"/>
  <c r="T11" i="1"/>
  <c r="O2" i="1"/>
  <c r="F25" i="1"/>
  <c r="F13" i="1"/>
  <c r="D2" i="1"/>
  <c r="K63" i="1"/>
  <c r="J77" i="1"/>
  <c r="K77" i="1"/>
  <c r="G77" i="1"/>
  <c r="E77" i="1"/>
  <c r="H77" i="1" s="1"/>
  <c r="J62" i="4"/>
  <c r="G62" i="4"/>
  <c r="G61" i="4"/>
  <c r="F62" i="4"/>
  <c r="J8" i="1"/>
  <c r="K8" i="1"/>
  <c r="G8" i="1"/>
  <c r="E8" i="1"/>
  <c r="H8" i="1" s="1"/>
  <c r="J7" i="1"/>
  <c r="K7" i="1"/>
  <c r="G7" i="1"/>
  <c r="E7" i="1"/>
  <c r="H7" i="1" s="1"/>
  <c r="J61" i="4"/>
  <c r="F61" i="4"/>
  <c r="L17" i="2" l="1"/>
  <c r="L16" i="2"/>
  <c r="L19" i="2"/>
  <c r="L5" i="2"/>
  <c r="L6" i="2"/>
  <c r="L25" i="2"/>
  <c r="L7" i="2"/>
  <c r="L26" i="2"/>
  <c r="L27" i="2"/>
  <c r="L28" i="2"/>
  <c r="L29" i="2"/>
  <c r="L30" i="2"/>
  <c r="L31" i="2"/>
  <c r="L10" i="2"/>
  <c r="L11" i="2"/>
  <c r="L12" i="2"/>
  <c r="G14" i="2"/>
  <c r="L14" i="2" s="1"/>
  <c r="L15" i="2"/>
  <c r="L21" i="2"/>
  <c r="H28" i="2"/>
  <c r="L35" i="2"/>
  <c r="L36" i="2"/>
  <c r="L37" i="2"/>
  <c r="L3" i="2"/>
  <c r="L4" i="2"/>
  <c r="L8" i="2"/>
  <c r="L24" i="2"/>
  <c r="L32" i="2"/>
  <c r="G34" i="2"/>
  <c r="L34" i="2" s="1"/>
  <c r="L38" i="2"/>
  <c r="L9" i="2"/>
  <c r="L13" i="2"/>
  <c r="L20" i="2"/>
  <c r="L33" i="2"/>
  <c r="H3" i="2"/>
  <c r="H26" i="2"/>
  <c r="H34" i="2"/>
  <c r="H38" i="2"/>
  <c r="H7" i="2"/>
  <c r="H11" i="2"/>
  <c r="H13" i="2"/>
  <c r="H18" i="2"/>
  <c r="H19" i="2"/>
  <c r="H30" i="2"/>
  <c r="H4" i="2"/>
  <c r="H5" i="2"/>
  <c r="H6" i="2"/>
  <c r="H10" i="2"/>
  <c r="H17" i="2"/>
  <c r="H22" i="2"/>
  <c r="H27" i="2"/>
  <c r="H29" i="2"/>
  <c r="H33" i="2"/>
  <c r="H35" i="2"/>
  <c r="L23" i="3"/>
  <c r="L25" i="3"/>
  <c r="L24" i="3"/>
  <c r="L32" i="3"/>
  <c r="L33" i="3"/>
  <c r="L34" i="3"/>
  <c r="L7" i="3"/>
  <c r="L15" i="3"/>
  <c r="L9" i="3"/>
  <c r="L10" i="3"/>
  <c r="L31" i="3"/>
  <c r="L17" i="3"/>
  <c r="L18" i="3"/>
  <c r="L5" i="3"/>
  <c r="L6" i="3"/>
  <c r="L3" i="3"/>
  <c r="L11" i="3"/>
  <c r="L19" i="3"/>
  <c r="L27" i="3"/>
  <c r="L4" i="3"/>
  <c r="L12" i="3"/>
  <c r="L20" i="3"/>
  <c r="L28" i="3"/>
  <c r="L37" i="3"/>
  <c r="L38" i="3"/>
  <c r="L39" i="3"/>
  <c r="L13" i="3"/>
  <c r="L14" i="3"/>
  <c r="L21" i="3"/>
  <c r="L22" i="3"/>
  <c r="L29" i="3"/>
  <c r="L30" i="3"/>
  <c r="L40" i="3"/>
  <c r="L41" i="3"/>
  <c r="L42" i="3"/>
  <c r="L8" i="3"/>
  <c r="L16" i="3"/>
  <c r="L26" i="3"/>
  <c r="L35" i="3"/>
  <c r="L36" i="3"/>
  <c r="H6" i="3"/>
  <c r="H10" i="3"/>
  <c r="H14" i="3"/>
  <c r="H18" i="3"/>
  <c r="H22" i="3"/>
  <c r="H25" i="3"/>
  <c r="H29" i="3"/>
  <c r="H33" i="3"/>
  <c r="H37" i="3"/>
  <c r="H41" i="3"/>
  <c r="H5" i="3"/>
  <c r="H9" i="3"/>
  <c r="H13" i="3"/>
  <c r="H17" i="3"/>
  <c r="H21" i="3"/>
  <c r="H23" i="3"/>
  <c r="H24" i="3"/>
  <c r="H32" i="3"/>
  <c r="H40" i="3"/>
  <c r="H30" i="3"/>
  <c r="H34" i="3"/>
  <c r="H38" i="3"/>
  <c r="H42" i="3"/>
  <c r="L9" i="1"/>
  <c r="K62" i="4"/>
  <c r="K61" i="4"/>
  <c r="L37" i="1"/>
  <c r="L7" i="1"/>
  <c r="L8" i="1"/>
  <c r="L77" i="1"/>
  <c r="S24" i="1"/>
  <c r="T24" i="1"/>
  <c r="T25" i="1"/>
  <c r="S26" i="1"/>
  <c r="T26" i="1"/>
  <c r="U11" i="3"/>
  <c r="T11" i="3"/>
  <c r="D2" i="3"/>
  <c r="C2" i="3"/>
  <c r="F2" i="3"/>
  <c r="E2" i="3"/>
  <c r="B2" i="3"/>
  <c r="P6" i="3"/>
  <c r="P7" i="3" s="1"/>
  <c r="P8" i="3" s="1"/>
  <c r="T6" i="3"/>
  <c r="U6" i="3"/>
  <c r="W6" i="3" s="1"/>
  <c r="T7" i="3"/>
  <c r="U7" i="3"/>
  <c r="T8" i="3"/>
  <c r="U8" i="3"/>
  <c r="W8" i="3" s="1"/>
  <c r="T9" i="3"/>
  <c r="U9" i="3"/>
  <c r="T10" i="3"/>
  <c r="U10" i="3"/>
  <c r="I2" i="2"/>
  <c r="F2" i="2"/>
  <c r="E2" i="2"/>
  <c r="M26" i="2" s="1"/>
  <c r="D2" i="2"/>
  <c r="C2" i="2"/>
  <c r="B2" i="2"/>
  <c r="U19" i="2"/>
  <c r="T10" i="1"/>
  <c r="T23" i="1"/>
  <c r="S23" i="1"/>
  <c r="T22" i="1"/>
  <c r="S22" i="1"/>
  <c r="P22" i="1"/>
  <c r="P23" i="1" s="1"/>
  <c r="P24" i="1" s="1"/>
  <c r="F3" i="1"/>
  <c r="J15" i="1"/>
  <c r="K15" i="1"/>
  <c r="G15" i="1"/>
  <c r="E15" i="1"/>
  <c r="J30" i="1"/>
  <c r="K30" i="1"/>
  <c r="G30" i="1"/>
  <c r="E30" i="1"/>
  <c r="H30" i="1" s="1"/>
  <c r="C5" i="1"/>
  <c r="C6" i="1"/>
  <c r="C13" i="1"/>
  <c r="C19" i="1"/>
  <c r="C29" i="1"/>
  <c r="B34" i="1"/>
  <c r="C34" i="1"/>
  <c r="B59" i="1"/>
  <c r="C59" i="1" s="1"/>
  <c r="M35" i="2" l="1"/>
  <c r="M7" i="2"/>
  <c r="M19" i="2"/>
  <c r="M13" i="2"/>
  <c r="M29" i="2"/>
  <c r="M11" i="2"/>
  <c r="M4" i="2"/>
  <c r="M6" i="2"/>
  <c r="M38" i="2"/>
  <c r="M27" i="2"/>
  <c r="M28" i="2"/>
  <c r="M10" i="2"/>
  <c r="M3" i="2"/>
  <c r="M5" i="2"/>
  <c r="M34" i="2"/>
  <c r="M36" i="2"/>
  <c r="M23" i="2"/>
  <c r="M14" i="2"/>
  <c r="M37" i="2"/>
  <c r="M31" i="2"/>
  <c r="M25" i="2"/>
  <c r="M24" i="2"/>
  <c r="M20" i="2"/>
  <c r="M15" i="2"/>
  <c r="M12" i="2"/>
  <c r="M8" i="2"/>
  <c r="M32" i="2"/>
  <c r="M21" i="2"/>
  <c r="M16" i="2"/>
  <c r="M9" i="2"/>
  <c r="M18" i="2"/>
  <c r="M33" i="2"/>
  <c r="M17" i="2"/>
  <c r="M30" i="2"/>
  <c r="M22" i="2"/>
  <c r="P9" i="3"/>
  <c r="P10" i="3" s="1"/>
  <c r="P11" i="3" s="1"/>
  <c r="P12" i="3" s="1"/>
  <c r="V8" i="3"/>
  <c r="W11" i="3"/>
  <c r="G2" i="3"/>
  <c r="W7" i="3"/>
  <c r="V6" i="3"/>
  <c r="W9" i="3"/>
  <c r="V7" i="3"/>
  <c r="V9" i="3"/>
  <c r="H2" i="3"/>
  <c r="H2" i="2"/>
  <c r="C2" i="1"/>
  <c r="V22" i="1"/>
  <c r="U22" i="1"/>
  <c r="L15" i="1"/>
  <c r="V24" i="1"/>
  <c r="P26" i="1"/>
  <c r="U24" i="1"/>
  <c r="L30" i="1"/>
  <c r="H15" i="1"/>
  <c r="U23" i="1"/>
  <c r="J2" i="3"/>
  <c r="K2" i="3"/>
  <c r="W10" i="3"/>
  <c r="V10" i="3"/>
  <c r="K2" i="2"/>
  <c r="J2" i="2"/>
  <c r="V23" i="1"/>
  <c r="T18" i="2"/>
  <c r="U18" i="2" s="1"/>
  <c r="T8" i="1"/>
  <c r="J48" i="1"/>
  <c r="K48" i="1"/>
  <c r="E48" i="1"/>
  <c r="G48" i="1"/>
  <c r="L2" i="3" l="1"/>
  <c r="U26" i="1"/>
  <c r="P27" i="1"/>
  <c r="P28" i="1" s="1"/>
  <c r="V11" i="3"/>
  <c r="M2" i="2"/>
  <c r="H48" i="1"/>
  <c r="U25" i="1"/>
  <c r="V25" i="1"/>
  <c r="V26" i="1"/>
  <c r="L48" i="1"/>
  <c r="U17" i="2"/>
  <c r="T7" i="1"/>
  <c r="V28" i="1" l="1"/>
  <c r="U28" i="1"/>
  <c r="V27" i="1"/>
  <c r="U27" i="1"/>
  <c r="Q14" i="2"/>
  <c r="Q15" i="2" s="1"/>
  <c r="V15" i="2"/>
  <c r="V14" i="2"/>
  <c r="U15" i="2"/>
  <c r="U14" i="2"/>
  <c r="W14" i="2" s="1"/>
  <c r="P4" i="1"/>
  <c r="P5" i="1" s="1"/>
  <c r="P6" i="1" s="1"/>
  <c r="P7" i="1" s="1"/>
  <c r="X14" i="2" l="1"/>
  <c r="Q16" i="2"/>
  <c r="Q17" i="2" s="1"/>
  <c r="X15" i="2"/>
  <c r="W15" i="2"/>
  <c r="P8" i="1"/>
  <c r="V7" i="1"/>
  <c r="T16" i="2"/>
  <c r="J31" i="1"/>
  <c r="K31" i="1"/>
  <c r="G31" i="1"/>
  <c r="E31" i="1"/>
  <c r="J60" i="4"/>
  <c r="F60" i="4"/>
  <c r="G60" i="4"/>
  <c r="J59" i="4"/>
  <c r="F59" i="4"/>
  <c r="G59" i="4"/>
  <c r="J27" i="1"/>
  <c r="K27" i="1"/>
  <c r="G27" i="1"/>
  <c r="E27" i="1"/>
  <c r="J23" i="1"/>
  <c r="K23" i="1"/>
  <c r="G23" i="1"/>
  <c r="E23" i="1"/>
  <c r="V22" i="2" l="1"/>
  <c r="V21" i="2"/>
  <c r="V20" i="2"/>
  <c r="V19" i="2"/>
  <c r="V18" i="2"/>
  <c r="V17" i="2"/>
  <c r="X17" i="2" s="1"/>
  <c r="V16" i="2"/>
  <c r="X16" i="2" s="1"/>
  <c r="U16" i="2"/>
  <c r="W16" i="2" s="1"/>
  <c r="Q18" i="2"/>
  <c r="W17" i="2"/>
  <c r="K60" i="4"/>
  <c r="K59" i="4"/>
  <c r="H31" i="1"/>
  <c r="P10" i="1"/>
  <c r="V8" i="1"/>
  <c r="L31" i="1"/>
  <c r="L23" i="1"/>
  <c r="L27" i="1"/>
  <c r="H23" i="1"/>
  <c r="H27" i="1"/>
  <c r="I2" i="1"/>
  <c r="G10" i="4"/>
  <c r="R5" i="1"/>
  <c r="Q19" i="2" l="1"/>
  <c r="X19" i="2" s="1"/>
  <c r="W18" i="2"/>
  <c r="X18" i="2"/>
  <c r="V10" i="1"/>
  <c r="P11" i="1"/>
  <c r="V11" i="1" s="1"/>
  <c r="T6" i="1"/>
  <c r="V6" i="1" s="1"/>
  <c r="Q20" i="2" l="1"/>
  <c r="Q21" i="2" s="1"/>
  <c r="W19" i="2"/>
  <c r="E78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7" i="1"/>
  <c r="E46" i="1"/>
  <c r="E45" i="1"/>
  <c r="E44" i="1"/>
  <c r="E43" i="1"/>
  <c r="E42" i="1"/>
  <c r="E41" i="1"/>
  <c r="E40" i="1"/>
  <c r="E39" i="1"/>
  <c r="E38" i="1"/>
  <c r="E36" i="1"/>
  <c r="E35" i="1"/>
  <c r="E34" i="1"/>
  <c r="E33" i="1"/>
  <c r="E32" i="1"/>
  <c r="E29" i="1"/>
  <c r="E28" i="1"/>
  <c r="E26" i="1"/>
  <c r="E25" i="1"/>
  <c r="E24" i="1"/>
  <c r="E22" i="1"/>
  <c r="E21" i="1"/>
  <c r="E20" i="1"/>
  <c r="E19" i="1"/>
  <c r="H19" i="1" s="1"/>
  <c r="E18" i="1"/>
  <c r="E17" i="1"/>
  <c r="E16" i="1"/>
  <c r="E14" i="1"/>
  <c r="E13" i="1"/>
  <c r="E12" i="1"/>
  <c r="E11" i="1"/>
  <c r="E6" i="1"/>
  <c r="E5" i="1"/>
  <c r="E4" i="1"/>
  <c r="E3" i="1"/>
  <c r="J36" i="1"/>
  <c r="J19" i="1"/>
  <c r="K19" i="1"/>
  <c r="G19" i="1"/>
  <c r="J16" i="1"/>
  <c r="K16" i="1"/>
  <c r="G16" i="1"/>
  <c r="J34" i="1"/>
  <c r="K34" i="1"/>
  <c r="G34" i="1"/>
  <c r="K11" i="1"/>
  <c r="J11" i="1"/>
  <c r="G11" i="1"/>
  <c r="J10" i="1"/>
  <c r="K10" i="1"/>
  <c r="E10" i="1"/>
  <c r="E54" i="4"/>
  <c r="I2" i="4"/>
  <c r="H2" i="4"/>
  <c r="J58" i="4"/>
  <c r="F58" i="4"/>
  <c r="G58" i="4"/>
  <c r="J57" i="4"/>
  <c r="G57" i="4"/>
  <c r="F57" i="4"/>
  <c r="J56" i="4"/>
  <c r="E56" i="4"/>
  <c r="G56" i="4" s="1"/>
  <c r="J55" i="4"/>
  <c r="C55" i="4"/>
  <c r="F55" i="4" s="1"/>
  <c r="K55" i="4" s="1"/>
  <c r="J54" i="4"/>
  <c r="D54" i="4"/>
  <c r="C54" i="4"/>
  <c r="Q22" i="2" l="1"/>
  <c r="W21" i="2"/>
  <c r="X21" i="2"/>
  <c r="X20" i="2"/>
  <c r="W20" i="2"/>
  <c r="K58" i="4"/>
  <c r="G55" i="4"/>
  <c r="K57" i="4"/>
  <c r="E2" i="1"/>
  <c r="M9" i="1" s="1"/>
  <c r="G54" i="4"/>
  <c r="F56" i="4"/>
  <c r="K56" i="4" s="1"/>
  <c r="F54" i="4"/>
  <c r="K54" i="4" s="1"/>
  <c r="H16" i="1"/>
  <c r="L34" i="1"/>
  <c r="H10" i="1"/>
  <c r="B2" i="1"/>
  <c r="L11" i="1"/>
  <c r="H34" i="1"/>
  <c r="L19" i="1"/>
  <c r="H11" i="1"/>
  <c r="G2" i="2"/>
  <c r="L16" i="1"/>
  <c r="J4" i="1"/>
  <c r="J6" i="1"/>
  <c r="J13" i="1"/>
  <c r="J14" i="1"/>
  <c r="J18" i="1"/>
  <c r="J20" i="1"/>
  <c r="J22" i="1"/>
  <c r="J32" i="1"/>
  <c r="J33" i="1"/>
  <c r="J39" i="1"/>
  <c r="J40" i="1"/>
  <c r="J41" i="1"/>
  <c r="J42" i="1"/>
  <c r="J43" i="1"/>
  <c r="J44" i="1"/>
  <c r="J45" i="1"/>
  <c r="J46" i="1"/>
  <c r="J47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2" i="1"/>
  <c r="J73" i="1"/>
  <c r="J74" i="1"/>
  <c r="J75" i="1"/>
  <c r="J76" i="1"/>
  <c r="J78" i="1"/>
  <c r="J3" i="1"/>
  <c r="I2" i="3"/>
  <c r="K71" i="1"/>
  <c r="F60" i="1"/>
  <c r="H60" i="1" s="1"/>
  <c r="K36" i="1"/>
  <c r="K35" i="1"/>
  <c r="G76" i="1"/>
  <c r="G75" i="1"/>
  <c r="G74" i="1"/>
  <c r="G73" i="1"/>
  <c r="G72" i="1"/>
  <c r="G71" i="1"/>
  <c r="G70" i="1"/>
  <c r="G69" i="1"/>
  <c r="G67" i="1"/>
  <c r="G66" i="1"/>
  <c r="G64" i="1"/>
  <c r="G63" i="1"/>
  <c r="L63" i="1" s="1"/>
  <c r="G62" i="1"/>
  <c r="G61" i="1"/>
  <c r="G59" i="1"/>
  <c r="G58" i="1"/>
  <c r="G56" i="1"/>
  <c r="G55" i="1"/>
  <c r="G54" i="1"/>
  <c r="G52" i="1"/>
  <c r="G51" i="1"/>
  <c r="G50" i="1"/>
  <c r="G49" i="1"/>
  <c r="G47" i="1"/>
  <c r="G46" i="1"/>
  <c r="G43" i="1"/>
  <c r="G42" i="1"/>
  <c r="G41" i="1"/>
  <c r="G40" i="1"/>
  <c r="G39" i="1"/>
  <c r="E12" i="4"/>
  <c r="F12" i="4" s="1"/>
  <c r="H29" i="1"/>
  <c r="K29" i="1"/>
  <c r="K26" i="1"/>
  <c r="K25" i="1"/>
  <c r="K24" i="1"/>
  <c r="K21" i="1"/>
  <c r="K17" i="1"/>
  <c r="H17" i="1"/>
  <c r="H14" i="1"/>
  <c r="H13" i="1"/>
  <c r="K12" i="1"/>
  <c r="K5" i="1"/>
  <c r="K78" i="1"/>
  <c r="K76" i="1"/>
  <c r="K75" i="1"/>
  <c r="K74" i="1"/>
  <c r="K73" i="1"/>
  <c r="K72" i="1"/>
  <c r="K70" i="1"/>
  <c r="K69" i="1"/>
  <c r="K68" i="1"/>
  <c r="K67" i="1"/>
  <c r="K66" i="1"/>
  <c r="K65" i="1"/>
  <c r="K64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7" i="1"/>
  <c r="K46" i="1"/>
  <c r="K45" i="1"/>
  <c r="K44" i="1"/>
  <c r="K43" i="1"/>
  <c r="K42" i="1"/>
  <c r="K41" i="1"/>
  <c r="K40" i="1"/>
  <c r="K39" i="1"/>
  <c r="K38" i="1"/>
  <c r="K33" i="1"/>
  <c r="K32" i="1"/>
  <c r="K28" i="1"/>
  <c r="K22" i="1"/>
  <c r="K20" i="1"/>
  <c r="K18" i="1"/>
  <c r="K14" i="1"/>
  <c r="K13" i="1"/>
  <c r="K6" i="1"/>
  <c r="H78" i="1"/>
  <c r="G78" i="1"/>
  <c r="H76" i="1"/>
  <c r="H75" i="1"/>
  <c r="H74" i="1"/>
  <c r="H73" i="1"/>
  <c r="H72" i="1"/>
  <c r="H71" i="1"/>
  <c r="H70" i="1"/>
  <c r="H69" i="1"/>
  <c r="H68" i="1"/>
  <c r="G68" i="1"/>
  <c r="H67" i="1"/>
  <c r="H66" i="1"/>
  <c r="H65" i="1"/>
  <c r="G65" i="1"/>
  <c r="H64" i="1"/>
  <c r="H63" i="1"/>
  <c r="H62" i="1"/>
  <c r="H61" i="1"/>
  <c r="H59" i="1"/>
  <c r="H58" i="1"/>
  <c r="H57" i="1"/>
  <c r="G57" i="1"/>
  <c r="H56" i="1"/>
  <c r="H55" i="1"/>
  <c r="H54" i="1"/>
  <c r="H53" i="1"/>
  <c r="G53" i="1"/>
  <c r="H52" i="1"/>
  <c r="H51" i="1"/>
  <c r="H50" i="1"/>
  <c r="H49" i="1"/>
  <c r="H47" i="1"/>
  <c r="H46" i="1"/>
  <c r="H45" i="1"/>
  <c r="G45" i="1"/>
  <c r="H44" i="1"/>
  <c r="G44" i="1"/>
  <c r="H43" i="1"/>
  <c r="H42" i="1"/>
  <c r="H41" i="1"/>
  <c r="H40" i="1"/>
  <c r="H39" i="1"/>
  <c r="H38" i="1"/>
  <c r="G38" i="1"/>
  <c r="H36" i="1"/>
  <c r="G36" i="1"/>
  <c r="H35" i="1"/>
  <c r="G35" i="1"/>
  <c r="G33" i="1"/>
  <c r="H32" i="1"/>
  <c r="H28" i="1"/>
  <c r="H26" i="1"/>
  <c r="H25" i="1"/>
  <c r="H24" i="1"/>
  <c r="H22" i="1"/>
  <c r="H21" i="1"/>
  <c r="H20" i="1"/>
  <c r="H18" i="1"/>
  <c r="H12" i="1"/>
  <c r="H6" i="1"/>
  <c r="K4" i="1"/>
  <c r="K3" i="1"/>
  <c r="H4" i="1"/>
  <c r="G32" i="1"/>
  <c r="G28" i="1"/>
  <c r="G26" i="1"/>
  <c r="G25" i="1"/>
  <c r="G24" i="1"/>
  <c r="G22" i="1"/>
  <c r="G21" i="1"/>
  <c r="G20" i="1"/>
  <c r="G18" i="1"/>
  <c r="G12" i="1"/>
  <c r="G6" i="1"/>
  <c r="G4" i="1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G16" i="4"/>
  <c r="F16" i="4"/>
  <c r="G15" i="4"/>
  <c r="F15" i="4"/>
  <c r="G13" i="4"/>
  <c r="F13" i="4"/>
  <c r="G12" i="4"/>
  <c r="G11" i="4"/>
  <c r="F11" i="4"/>
  <c r="F10" i="4"/>
  <c r="G8" i="4"/>
  <c r="F8" i="4"/>
  <c r="G7" i="4"/>
  <c r="F7" i="4"/>
  <c r="G4" i="4"/>
  <c r="F4" i="4"/>
  <c r="D14" i="4"/>
  <c r="G14" i="4" s="1"/>
  <c r="J26" i="4"/>
  <c r="E26" i="4"/>
  <c r="G26" i="4" s="1"/>
  <c r="C9" i="4"/>
  <c r="F9" i="4" s="1"/>
  <c r="E6" i="4"/>
  <c r="G6" i="4" s="1"/>
  <c r="E5" i="4"/>
  <c r="F5" i="4" s="1"/>
  <c r="D3" i="4"/>
  <c r="G3" i="4" s="1"/>
  <c r="J17" i="4"/>
  <c r="G17" i="4"/>
  <c r="F17" i="4"/>
  <c r="J23" i="4"/>
  <c r="J22" i="4"/>
  <c r="E23" i="4"/>
  <c r="G23" i="4" s="1"/>
  <c r="E22" i="4"/>
  <c r="G22" i="4" s="1"/>
  <c r="J21" i="4"/>
  <c r="G21" i="4"/>
  <c r="F21" i="4"/>
  <c r="J20" i="4"/>
  <c r="E20" i="4"/>
  <c r="G20" i="4" s="1"/>
  <c r="J19" i="4"/>
  <c r="E19" i="4"/>
  <c r="G19" i="4" s="1"/>
  <c r="J18" i="4"/>
  <c r="E18" i="4"/>
  <c r="G18" i="4" s="1"/>
  <c r="E50" i="4"/>
  <c r="G50" i="4" s="1"/>
  <c r="E49" i="4"/>
  <c r="F49" i="4" s="1"/>
  <c r="E48" i="4"/>
  <c r="G48" i="4" s="1"/>
  <c r="E47" i="4"/>
  <c r="D47" i="4"/>
  <c r="E45" i="4"/>
  <c r="G45" i="4" s="1"/>
  <c r="B46" i="4"/>
  <c r="J43" i="4"/>
  <c r="F43" i="4"/>
  <c r="G43" i="4"/>
  <c r="E41" i="4"/>
  <c r="G41" i="4" s="1"/>
  <c r="G53" i="4"/>
  <c r="G52" i="4"/>
  <c r="G51" i="4"/>
  <c r="G44" i="4"/>
  <c r="G42" i="4"/>
  <c r="G40" i="4"/>
  <c r="G39" i="4"/>
  <c r="G38" i="4"/>
  <c r="G37" i="4"/>
  <c r="G36" i="4"/>
  <c r="G34" i="4"/>
  <c r="G29" i="4"/>
  <c r="G28" i="4"/>
  <c r="G27" i="4"/>
  <c r="J36" i="4"/>
  <c r="D35" i="4"/>
  <c r="G35" i="4" s="1"/>
  <c r="F36" i="4"/>
  <c r="J33" i="4"/>
  <c r="J32" i="4"/>
  <c r="E33" i="4"/>
  <c r="F33" i="4" s="1"/>
  <c r="E32" i="4"/>
  <c r="F32" i="4" s="1"/>
  <c r="E31" i="4"/>
  <c r="F31" i="4" s="1"/>
  <c r="J30" i="4"/>
  <c r="E30" i="4"/>
  <c r="F30" i="4" s="1"/>
  <c r="J53" i="4"/>
  <c r="J52" i="4"/>
  <c r="J51" i="4"/>
  <c r="J50" i="4"/>
  <c r="J49" i="4"/>
  <c r="J48" i="4"/>
  <c r="J47" i="4"/>
  <c r="J46" i="4"/>
  <c r="J45" i="4"/>
  <c r="J44" i="4"/>
  <c r="J42" i="4"/>
  <c r="J41" i="4"/>
  <c r="J40" i="4"/>
  <c r="J39" i="4"/>
  <c r="J38" i="4"/>
  <c r="J37" i="4"/>
  <c r="J35" i="4"/>
  <c r="J34" i="4"/>
  <c r="J31" i="4"/>
  <c r="J29" i="4"/>
  <c r="J28" i="4"/>
  <c r="J27" i="4"/>
  <c r="J25" i="4"/>
  <c r="F53" i="4"/>
  <c r="F52" i="4"/>
  <c r="F51" i="4"/>
  <c r="F45" i="4"/>
  <c r="F44" i="4"/>
  <c r="F42" i="4"/>
  <c r="F40" i="4"/>
  <c r="F39" i="4"/>
  <c r="F38" i="4"/>
  <c r="F37" i="4"/>
  <c r="F34" i="4"/>
  <c r="F29" i="4"/>
  <c r="F28" i="4"/>
  <c r="F27" i="4"/>
  <c r="E25" i="4"/>
  <c r="G25" i="4" s="1"/>
  <c r="E24" i="4"/>
  <c r="G24" i="4" s="1"/>
  <c r="J24" i="4"/>
  <c r="R4" i="1"/>
  <c r="R3" i="1"/>
  <c r="U11" i="1" s="1"/>
  <c r="W11" i="1" s="1"/>
  <c r="W22" i="2" l="1"/>
  <c r="X22" i="2"/>
  <c r="M77" i="1"/>
  <c r="M37" i="1"/>
  <c r="M8" i="1"/>
  <c r="K17" i="4"/>
  <c r="F26" i="4"/>
  <c r="K26" i="4" s="1"/>
  <c r="K4" i="4"/>
  <c r="K8" i="4"/>
  <c r="K12" i="4"/>
  <c r="K16" i="4"/>
  <c r="M38" i="1"/>
  <c r="M7" i="1"/>
  <c r="K2" i="1"/>
  <c r="F22" i="4"/>
  <c r="E2" i="4"/>
  <c r="G5" i="4"/>
  <c r="J2" i="4"/>
  <c r="M16" i="1"/>
  <c r="G9" i="4"/>
  <c r="C2" i="4"/>
  <c r="D46" i="4"/>
  <c r="D2" i="4" s="1"/>
  <c r="B2" i="4"/>
  <c r="F3" i="4"/>
  <c r="M49" i="1"/>
  <c r="M56" i="1"/>
  <c r="M63" i="1"/>
  <c r="M19" i="1"/>
  <c r="M32" i="1"/>
  <c r="M46" i="1"/>
  <c r="M70" i="1"/>
  <c r="M10" i="1"/>
  <c r="M14" i="1"/>
  <c r="M21" i="1"/>
  <c r="M29" i="1"/>
  <c r="M54" i="1"/>
  <c r="M65" i="1"/>
  <c r="M72" i="1"/>
  <c r="M3" i="1"/>
  <c r="M12" i="1"/>
  <c r="U10" i="1"/>
  <c r="W10" i="1" s="1"/>
  <c r="U8" i="1"/>
  <c r="W8" i="1" s="1"/>
  <c r="U7" i="1"/>
  <c r="W7" i="1" s="1"/>
  <c r="M62" i="1"/>
  <c r="M45" i="1"/>
  <c r="M28" i="1"/>
  <c r="M73" i="1"/>
  <c r="M57" i="1"/>
  <c r="M40" i="1"/>
  <c r="M22" i="1"/>
  <c r="M4" i="1"/>
  <c r="M64" i="1"/>
  <c r="M47" i="1"/>
  <c r="M13" i="1"/>
  <c r="M71" i="1"/>
  <c r="M55" i="1"/>
  <c r="M39" i="1"/>
  <c r="M20" i="1"/>
  <c r="M74" i="1"/>
  <c r="M58" i="1"/>
  <c r="M41" i="1"/>
  <c r="M24" i="1"/>
  <c r="M5" i="1"/>
  <c r="M69" i="1"/>
  <c r="M53" i="1"/>
  <c r="M36" i="1"/>
  <c r="M18" i="1"/>
  <c r="M76" i="1"/>
  <c r="M60" i="1"/>
  <c r="M43" i="1"/>
  <c r="M25" i="1"/>
  <c r="M11" i="1"/>
  <c r="M67" i="1"/>
  <c r="M51" i="1"/>
  <c r="M34" i="1"/>
  <c r="G60" i="1"/>
  <c r="M30" i="1"/>
  <c r="M15" i="1"/>
  <c r="M48" i="1"/>
  <c r="M23" i="1"/>
  <c r="M31" i="1"/>
  <c r="M27" i="1"/>
  <c r="M66" i="1"/>
  <c r="M50" i="1"/>
  <c r="M33" i="1"/>
  <c r="M78" i="1"/>
  <c r="M61" i="1"/>
  <c r="M44" i="1"/>
  <c r="M26" i="1"/>
  <c r="M68" i="1"/>
  <c r="M52" i="1"/>
  <c r="M35" i="1"/>
  <c r="M17" i="1"/>
  <c r="M75" i="1"/>
  <c r="M59" i="1"/>
  <c r="M42" i="1"/>
  <c r="M6" i="1"/>
  <c r="G29" i="1"/>
  <c r="L29" i="1" s="1"/>
  <c r="G14" i="1"/>
  <c r="U6" i="1"/>
  <c r="W6" i="1" s="1"/>
  <c r="U5" i="1"/>
  <c r="W5" i="1" s="1"/>
  <c r="G10" i="1"/>
  <c r="L10" i="1" s="1"/>
  <c r="U4" i="1"/>
  <c r="W4" i="1" s="1"/>
  <c r="T4" i="1"/>
  <c r="V4" i="1" s="1"/>
  <c r="T5" i="1"/>
  <c r="V5" i="1" s="1"/>
  <c r="F2" i="1"/>
  <c r="G2" i="1" s="1"/>
  <c r="L33" i="1"/>
  <c r="G5" i="1"/>
  <c r="L5" i="1" s="1"/>
  <c r="G17" i="1"/>
  <c r="L17" i="1" s="1"/>
  <c r="H5" i="1"/>
  <c r="G13" i="1"/>
  <c r="F23" i="4"/>
  <c r="K23" i="4" s="1"/>
  <c r="K3" i="4"/>
  <c r="K11" i="4"/>
  <c r="K15" i="4"/>
  <c r="F6" i="4"/>
  <c r="K6" i="4" s="1"/>
  <c r="F14" i="4"/>
  <c r="K14" i="4" s="1"/>
  <c r="K5" i="4"/>
  <c r="K9" i="4"/>
  <c r="K13" i="4"/>
  <c r="G49" i="4"/>
  <c r="K10" i="4"/>
  <c r="K7" i="4"/>
  <c r="J24" i="1"/>
  <c r="J26" i="1"/>
  <c r="J17" i="1"/>
  <c r="J12" i="1"/>
  <c r="J5" i="1"/>
  <c r="J25" i="1"/>
  <c r="J21" i="1"/>
  <c r="J71" i="1"/>
  <c r="J35" i="1"/>
  <c r="J29" i="1"/>
  <c r="H33" i="1"/>
  <c r="L35" i="1"/>
  <c r="L6" i="1"/>
  <c r="L22" i="1"/>
  <c r="L2" i="2"/>
  <c r="L71" i="1"/>
  <c r="L67" i="1"/>
  <c r="L59" i="1"/>
  <c r="L56" i="1"/>
  <c r="L52" i="1"/>
  <c r="L47" i="1"/>
  <c r="L43" i="1"/>
  <c r="L75" i="1"/>
  <c r="L40" i="1"/>
  <c r="L44" i="1"/>
  <c r="L49" i="1"/>
  <c r="L53" i="1"/>
  <c r="L57" i="1"/>
  <c r="L60" i="1"/>
  <c r="L64" i="1"/>
  <c r="L68" i="1"/>
  <c r="L72" i="1"/>
  <c r="L76" i="1"/>
  <c r="L36" i="1"/>
  <c r="L38" i="1"/>
  <c r="L41" i="1"/>
  <c r="L45" i="1"/>
  <c r="L50" i="1"/>
  <c r="L54" i="1"/>
  <c r="L58" i="1"/>
  <c r="L61" i="1"/>
  <c r="L65" i="1"/>
  <c r="L69" i="1"/>
  <c r="L73" i="1"/>
  <c r="L78" i="1"/>
  <c r="L39" i="1"/>
  <c r="L42" i="1"/>
  <c r="L46" i="1"/>
  <c r="L51" i="1"/>
  <c r="L55" i="1"/>
  <c r="L62" i="1"/>
  <c r="L66" i="1"/>
  <c r="L70" i="1"/>
  <c r="L74" i="1"/>
  <c r="L32" i="1"/>
  <c r="L28" i="1"/>
  <c r="L25" i="1"/>
  <c r="L26" i="1"/>
  <c r="L24" i="1"/>
  <c r="L21" i="1"/>
  <c r="L20" i="1"/>
  <c r="L18" i="1"/>
  <c r="L14" i="1"/>
  <c r="L13" i="1"/>
  <c r="L12" i="1"/>
  <c r="L4" i="1"/>
  <c r="K21" i="4"/>
  <c r="K22" i="4"/>
  <c r="F50" i="4"/>
  <c r="K50" i="4" s="1"/>
  <c r="F19" i="4"/>
  <c r="K19" i="4" s="1"/>
  <c r="F20" i="4"/>
  <c r="K20" i="4" s="1"/>
  <c r="F35" i="4"/>
  <c r="K35" i="4" s="1"/>
  <c r="F18" i="4"/>
  <c r="K18" i="4" s="1"/>
  <c r="K43" i="4"/>
  <c r="F47" i="4"/>
  <c r="K47" i="4" s="1"/>
  <c r="F48" i="4"/>
  <c r="K48" i="4" s="1"/>
  <c r="G47" i="4"/>
  <c r="F46" i="4"/>
  <c r="K46" i="4" s="1"/>
  <c r="K49" i="4"/>
  <c r="F41" i="4"/>
  <c r="K41" i="4" s="1"/>
  <c r="K52" i="4"/>
  <c r="K36" i="4"/>
  <c r="G30" i="4"/>
  <c r="K27" i="4"/>
  <c r="K53" i="4"/>
  <c r="K44" i="4"/>
  <c r="K45" i="4"/>
  <c r="K32" i="4"/>
  <c r="K30" i="4"/>
  <c r="K40" i="4"/>
  <c r="K39" i="4"/>
  <c r="K42" i="4"/>
  <c r="K51" i="4"/>
  <c r="F25" i="4"/>
  <c r="K25" i="4" s="1"/>
  <c r="K28" i="4"/>
  <c r="K33" i="4"/>
  <c r="K38" i="4"/>
  <c r="G32" i="4"/>
  <c r="G31" i="4"/>
  <c r="F24" i="4"/>
  <c r="K24" i="4" s="1"/>
  <c r="G33" i="4"/>
  <c r="K37" i="4"/>
  <c r="K34" i="4"/>
  <c r="K31" i="4"/>
  <c r="K29" i="4"/>
  <c r="H3" i="1"/>
  <c r="G46" i="4" l="1"/>
  <c r="G2" i="4" s="1"/>
  <c r="M2" i="1"/>
  <c r="J2" i="1"/>
  <c r="L2" i="1"/>
  <c r="H2" i="1"/>
  <c r="G3" i="1" l="1"/>
  <c r="L3" i="1" s="1"/>
  <c r="F2" i="4"/>
  <c r="K2" i="4" s="1"/>
</calcChain>
</file>

<file path=xl/sharedStrings.xml><?xml version="1.0" encoding="utf-8"?>
<sst xmlns="http://schemas.openxmlformats.org/spreadsheetml/2006/main" count="595" uniqueCount="140">
  <si>
    <t>AAPL</t>
  </si>
  <si>
    <t>Asset</t>
  </si>
  <si>
    <t>Share</t>
  </si>
  <si>
    <t>Holdings</t>
  </si>
  <si>
    <t>Percent of Holdings</t>
  </si>
  <si>
    <t>Long/Temp</t>
  </si>
  <si>
    <t>SPY</t>
  </si>
  <si>
    <t>Long</t>
  </si>
  <si>
    <t>ADBE</t>
  </si>
  <si>
    <t>Temp</t>
  </si>
  <si>
    <t>AIA</t>
  </si>
  <si>
    <t>ALL</t>
  </si>
  <si>
    <t>AKAM</t>
  </si>
  <si>
    <t>ALXN</t>
  </si>
  <si>
    <t>AMAT</t>
  </si>
  <si>
    <t>AMD</t>
  </si>
  <si>
    <t>AMZN</t>
  </si>
  <si>
    <t>ANTM</t>
  </si>
  <si>
    <t>AVGO</t>
  </si>
  <si>
    <t>BABA</t>
  </si>
  <si>
    <t>BAH</t>
  </si>
  <si>
    <t>BLK</t>
  </si>
  <si>
    <t>CDW</t>
  </si>
  <si>
    <t>CI</t>
  </si>
  <si>
    <t>CNC</t>
  </si>
  <si>
    <t>CTSH</t>
  </si>
  <si>
    <t>DGX</t>
  </si>
  <si>
    <t>FANG</t>
  </si>
  <si>
    <t>FB</t>
  </si>
  <si>
    <t>FFIV</t>
  </si>
  <si>
    <t>FIS</t>
  </si>
  <si>
    <t>FLT</t>
  </si>
  <si>
    <t>IGV</t>
  </si>
  <si>
    <t>GM</t>
  </si>
  <si>
    <t>GOOGL</t>
  </si>
  <si>
    <t>IGM</t>
  </si>
  <si>
    <t>FISV</t>
  </si>
  <si>
    <t>GPN</t>
  </si>
  <si>
    <t>HCA</t>
  </si>
  <si>
    <t>HPE</t>
  </si>
  <si>
    <t>INTC</t>
  </si>
  <si>
    <t>IXN</t>
  </si>
  <si>
    <t>LRCX</t>
  </si>
  <si>
    <t>MSFT</t>
  </si>
  <si>
    <t>MCHP</t>
  </si>
  <si>
    <t>MU</t>
  </si>
  <si>
    <t>NFLX</t>
  </si>
  <si>
    <t>NOC</t>
  </si>
  <si>
    <t>NTAP</t>
  </si>
  <si>
    <t>NVDA</t>
  </si>
  <si>
    <t>ORCL</t>
  </si>
  <si>
    <t>QCOM</t>
  </si>
  <si>
    <t>QRVO</t>
  </si>
  <si>
    <t>RTX</t>
  </si>
  <si>
    <t>TCEHY</t>
  </si>
  <si>
    <t>TSLA</t>
  </si>
  <si>
    <t>VIAC</t>
  </si>
  <si>
    <t>WU</t>
  </si>
  <si>
    <t>ZM</t>
  </si>
  <si>
    <t>ATVI</t>
  </si>
  <si>
    <t>BIIB</t>
  </si>
  <si>
    <t>GILD</t>
  </si>
  <si>
    <t>BMY</t>
  </si>
  <si>
    <t>AZN</t>
  </si>
  <si>
    <t>BNTX</t>
  </si>
  <si>
    <t>LIT</t>
  </si>
  <si>
    <t>MRNA</t>
  </si>
  <si>
    <t>ABBV</t>
  </si>
  <si>
    <t>ADSK</t>
  </si>
  <si>
    <t>DVA</t>
  </si>
  <si>
    <t>HOLX</t>
  </si>
  <si>
    <t>LDOS</t>
  </si>
  <si>
    <t>LH</t>
  </si>
  <si>
    <t>LLY</t>
  </si>
  <si>
    <t>ADI</t>
  </si>
  <si>
    <t>Stock</t>
  </si>
  <si>
    <t>Shares</t>
  </si>
  <si>
    <t>Reason</t>
  </si>
  <si>
    <t>Pbuy</t>
  </si>
  <si>
    <t>Psell</t>
  </si>
  <si>
    <t>Percent</t>
  </si>
  <si>
    <t>PEG</t>
  </si>
  <si>
    <t>Day Bought</t>
  </si>
  <si>
    <t>Day Sold</t>
  </si>
  <si>
    <t>Years Total</t>
  </si>
  <si>
    <t>APY</t>
  </si>
  <si>
    <t>KLA</t>
  </si>
  <si>
    <t>SWKS</t>
  </si>
  <si>
    <t>Total Gain</t>
  </si>
  <si>
    <t>UAA</t>
  </si>
  <si>
    <t>KKR</t>
  </si>
  <si>
    <t>BRK.B</t>
  </si>
  <si>
    <t>F</t>
  </si>
  <si>
    <t>C</t>
  </si>
  <si>
    <t>COP</t>
  </si>
  <si>
    <t>BAC</t>
  </si>
  <si>
    <t>CS</t>
  </si>
  <si>
    <t>PEP</t>
  </si>
  <si>
    <t>BX</t>
  </si>
  <si>
    <t>GS</t>
  </si>
  <si>
    <t>TRI</t>
  </si>
  <si>
    <t>NKE</t>
  </si>
  <si>
    <t>GE</t>
  </si>
  <si>
    <t>PIPR</t>
  </si>
  <si>
    <t>SPGI</t>
  </si>
  <si>
    <t>Bad</t>
  </si>
  <si>
    <t>Dividends</t>
  </si>
  <si>
    <t>Cash</t>
  </si>
  <si>
    <t>Good</t>
  </si>
  <si>
    <t>SWN</t>
  </si>
  <si>
    <t>MUR</t>
  </si>
  <si>
    <t>VLO</t>
  </si>
  <si>
    <t>KODK</t>
  </si>
  <si>
    <t>GEVO</t>
  </si>
  <si>
    <t>PKI</t>
  </si>
  <si>
    <t>MRO</t>
  </si>
  <si>
    <t>PGX</t>
  </si>
  <si>
    <t>TWTR</t>
  </si>
  <si>
    <t>ETH</t>
  </si>
  <si>
    <t>CHK</t>
  </si>
  <si>
    <t>PFE</t>
  </si>
  <si>
    <t>Price</t>
  </si>
  <si>
    <t>Days since</t>
  </si>
  <si>
    <t>ARKQ</t>
  </si>
  <si>
    <t>ARKW</t>
  </si>
  <si>
    <t>TAN</t>
  </si>
  <si>
    <t>BOTZ</t>
  </si>
  <si>
    <t>ICLN</t>
  </si>
  <si>
    <t>Days Since</t>
  </si>
  <si>
    <t>LI</t>
  </si>
  <si>
    <t>NIO</t>
  </si>
  <si>
    <t>RUN</t>
  </si>
  <si>
    <t>NA</t>
  </si>
  <si>
    <t>PLTR</t>
  </si>
  <si>
    <t>BLNK</t>
  </si>
  <si>
    <t>ARKF</t>
  </si>
  <si>
    <t>ARKG</t>
  </si>
  <si>
    <t>TER</t>
  </si>
  <si>
    <t>XPEV</t>
  </si>
  <si>
    <t>ARKK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</si>
</sst>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15" fontId="0" fillId="0" borderId="0" xfId="0" applyNumberFormat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25D63-093F-1C4A-BD34-5142EB110E35}">
  <dimension ref="A1:W78"/>
  <sheetViews>
    <sheetView tabSelected="1" zoomScaleNormal="100" workbookViewId="0">
      <pane xSplit="14" ySplit="2" topLeftCell="O54" activePane="bottomRight" state="frozen"/>
      <selection pane="topRight" activeCell="N1" sqref="N1"/>
      <selection pane="bottomLeft" activeCell="A3" sqref="A3"/>
      <selection pane="bottomRight" activeCell="O43" sqref="O43"/>
    </sheetView>
  </sheetViews>
  <sheetFormatPr baseColWidth="10" defaultRowHeight="16" x14ac:dyDescent="0.2"/>
  <cols>
    <col min="22" max="22" width="12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122</v>
      </c>
      <c r="K1" t="s">
        <v>84</v>
      </c>
      <c r="L1" t="s">
        <v>85</v>
      </c>
      <c r="M1" t="s">
        <v>4</v>
      </c>
      <c r="N1" t="s">
        <v>5</v>
      </c>
      <c r="O1" t="s">
        <v>81</v>
      </c>
    </row>
    <row r="2" spans="1:23" x14ac:dyDescent="0.2">
      <c r="B2">
        <f>SUM(B3:B1000003)</f>
        <v>625.9110119999998</v>
      </c>
      <c r="C2">
        <f>AVERAGE(C3:C100003)</f>
        <v>192.51734387480553</v>
      </c>
      <c r="D2">
        <f>AVERAGE(D3:D78)</f>
        <v>237.18302631578942</v>
      </c>
      <c r="E2">
        <f>SUM(E3:E1000003)</f>
        <v>80274.773639929947</v>
      </c>
      <c r="F2">
        <f>SUM(F3:F1000003)</f>
        <v>204.09841200000008</v>
      </c>
      <c r="G2">
        <f>(D2+F2/B2-C2)/C2*100</f>
        <v>23.370239631932265</v>
      </c>
      <c r="H2">
        <f>SUM(H3:H1000003)</f>
        <v>24838.600853024989</v>
      </c>
      <c r="I2" s="2">
        <f>AVERAGE(I3:I100003)</f>
        <v>44041.447368421053</v>
      </c>
      <c r="J2" s="4">
        <f ca="1">AVERAGE(J3:J100003)</f>
        <v>168.90789473684211</v>
      </c>
      <c r="K2">
        <f ca="1">AVERAGE(K3:K100003)</f>
        <v>0.46694765661587251</v>
      </c>
      <c r="L2">
        <f ca="1">G2/K2</f>
        <v>50.048949386113833</v>
      </c>
      <c r="M2">
        <f>SUM(M3:M1000003)</f>
        <v>100.00000000000004</v>
      </c>
      <c r="O2">
        <f>AVERAGE(O3:O100003)</f>
        <v>1.566909090909091</v>
      </c>
    </row>
    <row r="3" spans="1:23" x14ac:dyDescent="0.2">
      <c r="A3" t="s">
        <v>0</v>
      </c>
      <c r="B3">
        <v>29</v>
      </c>
      <c r="C3">
        <v>65.040000000000006</v>
      </c>
      <c r="D3" s="6">
        <v>128.78</v>
      </c>
      <c r="E3">
        <f>B3*D3</f>
        <v>3734.62</v>
      </c>
      <c r="F3">
        <f>0.57*4+0.63*4+0.73*4+0.77*4+0.82*2-3.11+1.85</f>
        <v>11.180000000000001</v>
      </c>
      <c r="G3">
        <f>(D3+F3/B3-C3)/C3*100</f>
        <v>98.593968698307663</v>
      </c>
      <c r="H3">
        <f>(E3-C3*B3)+F3</f>
        <v>1859.6399999999999</v>
      </c>
      <c r="I3" s="2">
        <v>43777</v>
      </c>
      <c r="J3" s="4">
        <f ca="1">TODAY()-I3</f>
        <v>435</v>
      </c>
      <c r="K3" s="4">
        <f ca="1">(TODAY()-I3)/365.25</f>
        <v>1.1909650924024642</v>
      </c>
      <c r="L3">
        <f ca="1">G3/K3</f>
        <v>82.784935786337627</v>
      </c>
      <c r="M3">
        <f>E3/E2*100</f>
        <v>4.6522958965309877</v>
      </c>
      <c r="N3" t="s">
        <v>7</v>
      </c>
      <c r="O3" s="6">
        <v>2.75</v>
      </c>
      <c r="Q3" s="1">
        <v>44084</v>
      </c>
      <c r="R3">
        <f>44214.14+14355.45</f>
        <v>58569.59</v>
      </c>
    </row>
    <row r="4" spans="1:23" x14ac:dyDescent="0.2">
      <c r="A4" t="s">
        <v>8</v>
      </c>
      <c r="B4">
        <v>1</v>
      </c>
      <c r="C4">
        <v>440</v>
      </c>
      <c r="D4" s="6">
        <v>462.5</v>
      </c>
      <c r="E4">
        <f>B4*D4</f>
        <v>462.5</v>
      </c>
      <c r="F4">
        <v>0</v>
      </c>
      <c r="G4">
        <f>(D4+F4/B4-C4)/C4*100</f>
        <v>5.1136363636363642</v>
      </c>
      <c r="H4">
        <f>(E4-C4*B4)+F4</f>
        <v>22.5</v>
      </c>
      <c r="I4" s="2">
        <v>44054</v>
      </c>
      <c r="J4" s="4">
        <f ca="1">TODAY()-I4</f>
        <v>158</v>
      </c>
      <c r="K4" s="4">
        <f ca="1">(TODAY()-I4)/365.25</f>
        <v>0.432580424366872</v>
      </c>
      <c r="L4">
        <f ca="1">G4/K4</f>
        <v>11.821238492520139</v>
      </c>
      <c r="M4">
        <f>E4/E2*100</f>
        <v>0.57614612789134689</v>
      </c>
      <c r="N4" t="s">
        <v>7</v>
      </c>
      <c r="O4" s="6">
        <v>2.14</v>
      </c>
      <c r="P4">
        <f>Q4-Q3</f>
        <v>5</v>
      </c>
      <c r="Q4" s="1">
        <v>44089</v>
      </c>
      <c r="R4">
        <f>15110.38+44755.95</f>
        <v>59866.329999999994</v>
      </c>
      <c r="S4">
        <v>500</v>
      </c>
      <c r="T4">
        <f>(R4-S4-R3)/R3*100</f>
        <v>1.3603305059844162</v>
      </c>
      <c r="U4">
        <f>(R4-S4-R3)/R3*100</f>
        <v>1.3603305059844162</v>
      </c>
      <c r="V4">
        <f>T4/((P4-P3)/365)</f>
        <v>99.304126936862389</v>
      </c>
      <c r="W4">
        <f>U4/(P4/365)</f>
        <v>99.304126936862389</v>
      </c>
    </row>
    <row r="5" spans="1:23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90.75</v>
      </c>
      <c r="E5">
        <f>B5*D5</f>
        <v>4908.0647384999993</v>
      </c>
      <c r="F5">
        <v>0</v>
      </c>
      <c r="G5">
        <f>(D5+F5/B5-C5)/C5*100</f>
        <v>61.856150418771747</v>
      </c>
      <c r="H5">
        <f>(E5-C5*B5)+F5</f>
        <v>1875.7025293399993</v>
      </c>
      <c r="I5" s="2">
        <v>43602</v>
      </c>
      <c r="J5" s="4">
        <f ca="1">TODAY()-I5</f>
        <v>610</v>
      </c>
      <c r="K5" s="4">
        <f ca="1">(TODAY()-I5)/365.25</f>
        <v>1.6700889801505818</v>
      </c>
      <c r="L5">
        <f ca="1">G5/K5</f>
        <v>37.037637607305541</v>
      </c>
      <c r="M5">
        <f>E5/E2*100</f>
        <v>6.1140810692472014</v>
      </c>
      <c r="N5" t="s">
        <v>7</v>
      </c>
      <c r="O5" s="6">
        <v>1</v>
      </c>
      <c r="P5">
        <f>Q5-Q4+P4</f>
        <v>21</v>
      </c>
      <c r="Q5" s="1">
        <v>44105</v>
      </c>
      <c r="R5">
        <f>45753.09+15799.23</f>
        <v>61552.319999999992</v>
      </c>
      <c r="S5">
        <v>500</v>
      </c>
      <c r="T5">
        <f>(R5-S5-R4)/R4*100</f>
        <v>1.9810634792545294</v>
      </c>
      <c r="U5">
        <f>(R5-SUM(S4:S5)-R3)/R3*100</f>
        <v>3.3852550444693161</v>
      </c>
      <c r="V5">
        <f>T5/((P5-P4)/365)</f>
        <v>45.193010620493951</v>
      </c>
      <c r="W5">
        <f>U5/(P5/365)</f>
        <v>58.838956725300022</v>
      </c>
    </row>
    <row r="6" spans="1:23" x14ac:dyDescent="0.2">
      <c r="A6" t="s">
        <v>16</v>
      </c>
      <c r="B6">
        <v>1</v>
      </c>
      <c r="C6">
        <f>0.8*3222.05+0.14655*3411.8+0.05345*3414.03</f>
        <v>3260.1191935000006</v>
      </c>
      <c r="D6" s="6">
        <v>3123.02</v>
      </c>
      <c r="E6">
        <f>B6*D6</f>
        <v>3123.02</v>
      </c>
      <c r="F6">
        <v>0</v>
      </c>
      <c r="G6">
        <f>(D6+F6/B6-C6)/C6*100</f>
        <v>-4.2053429755988034</v>
      </c>
      <c r="H6">
        <f>(E6-C6*B6)+F6</f>
        <v>-137.09919350000064</v>
      </c>
      <c r="I6" s="1">
        <v>44050</v>
      </c>
      <c r="J6" s="4">
        <f ca="1">TODAY()-I6</f>
        <v>162</v>
      </c>
      <c r="K6" s="4">
        <f ca="1">(TODAY()-I6)/365.25</f>
        <v>0.44353182751540043</v>
      </c>
      <c r="L6">
        <f ca="1">G6/K6</f>
        <v>-9.4814908755398939</v>
      </c>
      <c r="M6">
        <f>E6/E2*100</f>
        <v>3.8904127142210467</v>
      </c>
      <c r="N6" t="s">
        <v>7</v>
      </c>
      <c r="O6" s="6">
        <v>2.37</v>
      </c>
      <c r="P6">
        <f>Q6-Q5+P5</f>
        <v>35</v>
      </c>
      <c r="Q6" s="1">
        <v>44119</v>
      </c>
      <c r="R6">
        <v>64909.9398</v>
      </c>
      <c r="S6">
        <v>500</v>
      </c>
      <c r="T6">
        <f>(R6-S6-R5)/R5*100</f>
        <v>4.6425866644831713</v>
      </c>
      <c r="U6">
        <f>(R6-SUM(S4:S6)-R3)/R3*100</f>
        <v>8.2642712711494202</v>
      </c>
      <c r="V6">
        <f>T6/((P6-P5)/365)</f>
        <v>121.03886660973981</v>
      </c>
      <c r="W6">
        <f>U6/(P6/365)</f>
        <v>86.184543256272534</v>
      </c>
    </row>
    <row r="7" spans="1:23" x14ac:dyDescent="0.2">
      <c r="A7" t="s">
        <v>135</v>
      </c>
      <c r="B7">
        <v>10.140763</v>
      </c>
      <c r="C7">
        <v>49.4</v>
      </c>
      <c r="D7" s="6">
        <v>52.29</v>
      </c>
      <c r="E7">
        <f>B7*D7</f>
        <v>530.26049726999997</v>
      </c>
      <c r="F7">
        <v>2.06</v>
      </c>
      <c r="G7">
        <f>(D7+F7/B7-C7)/C7*100</f>
        <v>6.2614180828269372</v>
      </c>
      <c r="H7">
        <f>(E7-C7*B7)+F7</f>
        <v>31.366805069999995</v>
      </c>
      <c r="I7" s="1">
        <v>44182</v>
      </c>
      <c r="J7" s="4">
        <f ca="1">TODAY()-I7</f>
        <v>30</v>
      </c>
      <c r="K7" s="4">
        <f ca="1">(TODAY()-I7)/365.25</f>
        <v>8.2135523613963035E-2</v>
      </c>
      <c r="L7">
        <f ca="1">G7/K7</f>
        <v>76.232765158417962</v>
      </c>
      <c r="M7">
        <f>E7/E2*100</f>
        <v>0.66055682654237968</v>
      </c>
      <c r="N7" t="s">
        <v>7</v>
      </c>
      <c r="O7" s="6" t="s">
        <v>132</v>
      </c>
      <c r="P7">
        <f>Q7-Q6+P6</f>
        <v>52</v>
      </c>
      <c r="Q7" s="1">
        <v>44136</v>
      </c>
      <c r="R7">
        <v>62103.678399999997</v>
      </c>
      <c r="S7">
        <v>0</v>
      </c>
      <c r="T7">
        <f>(R7-S7-R6)/R6*100</f>
        <v>-4.3233153637896349</v>
      </c>
      <c r="U7">
        <f>(R7-SUM(S4:S7)-R3)/R3*100</f>
        <v>3.4729428701822918</v>
      </c>
      <c r="V7">
        <f>T7/((P7-P6)/365)</f>
        <v>-92.824123987248043</v>
      </c>
      <c r="W7">
        <f>U7/(P7/365)</f>
        <v>24.377387454164165</v>
      </c>
    </row>
    <row r="8" spans="1:23" x14ac:dyDescent="0.2">
      <c r="A8" t="s">
        <v>136</v>
      </c>
      <c r="B8">
        <v>5.3003460000000002</v>
      </c>
      <c r="C8">
        <v>96.03</v>
      </c>
      <c r="D8" s="6">
        <v>109.3</v>
      </c>
      <c r="E8">
        <f>B8*D8</f>
        <v>579.32781780000005</v>
      </c>
      <c r="F8">
        <v>4.9400000000000004</v>
      </c>
      <c r="G8">
        <f>(D8+F8/B8-C8)/C8*100</f>
        <v>14.78914362904262</v>
      </c>
      <c r="H8">
        <f>(E8-C8*B8)+F8</f>
        <v>75.275591420000012</v>
      </c>
      <c r="I8" s="1">
        <v>44183</v>
      </c>
      <c r="J8" s="4">
        <f ca="1">TODAY()-I8</f>
        <v>29</v>
      </c>
      <c r="K8" s="4">
        <f ca="1">(TODAY()-I8)/365.25</f>
        <v>7.939767282683094E-2</v>
      </c>
      <c r="L8">
        <f ca="1">G8/K8</f>
        <v>186.26671415544195</v>
      </c>
      <c r="M8">
        <f>E8/E2*100</f>
        <v>0.72168103568694864</v>
      </c>
      <c r="N8" t="s">
        <v>7</v>
      </c>
      <c r="O8" s="6" t="s">
        <v>132</v>
      </c>
      <c r="P8">
        <f>Q8-Q7+P7</f>
        <v>66</v>
      </c>
      <c r="Q8" s="1">
        <v>44150</v>
      </c>
      <c r="R8">
        <v>66542.297200000001</v>
      </c>
      <c r="S8">
        <f>500-306.673482</f>
        <v>193.32651800000002</v>
      </c>
      <c r="T8">
        <f>(R8-S8-R7)/R7*100</f>
        <v>6.8358145465341744</v>
      </c>
      <c r="U8">
        <f>(R8-SUM(S4:S8)-R3)/R3*100</f>
        <v>10.721230389353934</v>
      </c>
      <c r="V8">
        <f>T8/((P8-P7)/365)</f>
        <v>178.21945067749812</v>
      </c>
      <c r="W8">
        <f>U8/(P8/365)</f>
        <v>59.291652910821</v>
      </c>
    </row>
    <row r="9" spans="1:23" x14ac:dyDescent="0.2">
      <c r="A9" t="s">
        <v>139</v>
      </c>
      <c r="B9">
        <v>2.6455389999999999</v>
      </c>
      <c r="C9">
        <v>126.22</v>
      </c>
      <c r="D9" s="6">
        <v>145.28</v>
      </c>
      <c r="E9">
        <f>B9*D9</f>
        <v>384.34390592</v>
      </c>
      <c r="F9">
        <v>0</v>
      </c>
      <c r="G9">
        <f>(D9+F9/B9-C9)/C9*100</f>
        <v>15.10061796862621</v>
      </c>
      <c r="H9">
        <f>(E9-C9*B9)+F9</f>
        <v>50.423973340000032</v>
      </c>
      <c r="I9" s="1">
        <v>44197</v>
      </c>
      <c r="J9" s="4">
        <f ca="1">TODAY()-I9</f>
        <v>15</v>
      </c>
      <c r="K9" s="4">
        <f ca="1">(TODAY()-I9)/365.25</f>
        <v>4.1067761806981518E-2</v>
      </c>
      <c r="L9">
        <f ca="1">G9/K9</f>
        <v>367.70004753604826</v>
      </c>
      <c r="M9">
        <f>E9/E2*100</f>
        <v>0.47878541226906834</v>
      </c>
      <c r="O9" s="6" t="s">
        <v>132</v>
      </c>
      <c r="Q9" s="1"/>
    </row>
    <row r="10" spans="1:23" x14ac:dyDescent="0.2">
      <c r="A10" t="s">
        <v>123</v>
      </c>
      <c r="B10">
        <v>11.527778</v>
      </c>
      <c r="C10">
        <v>64.09</v>
      </c>
      <c r="D10" s="6">
        <v>88.15</v>
      </c>
      <c r="E10">
        <f>B10*D10</f>
        <v>1016.1736307</v>
      </c>
      <c r="F10">
        <v>7.56</v>
      </c>
      <c r="G10">
        <f>(D10+F10/B10-C10)/C10*100</f>
        <v>38.564217844084261</v>
      </c>
      <c r="H10">
        <f>(E10-C10*B10)+F10</f>
        <v>284.91833867999998</v>
      </c>
      <c r="I10" s="1">
        <v>47398</v>
      </c>
      <c r="J10" s="4">
        <f ca="1">TODAY()-I10</f>
        <v>-3186</v>
      </c>
      <c r="K10" s="4">
        <f ca="1">(TODAY()-I10)/365.25</f>
        <v>-8.7227926078028748</v>
      </c>
      <c r="L10">
        <f ca="1">G10/K10</f>
        <v>-4.4210861793947824</v>
      </c>
      <c r="M10">
        <f>E10/E2*100</f>
        <v>1.2658691947958842</v>
      </c>
      <c r="N10" t="s">
        <v>7</v>
      </c>
      <c r="O10" s="6" t="s">
        <v>132</v>
      </c>
      <c r="P10">
        <f>Q10-Q8+P8</f>
        <v>82</v>
      </c>
      <c r="Q10" s="1">
        <v>44166</v>
      </c>
      <c r="R10">
        <v>72222.100699999995</v>
      </c>
      <c r="S10">
        <v>500</v>
      </c>
      <c r="T10">
        <f>(R10-S10-R8)/R8*100</f>
        <v>7.7842270525039741</v>
      </c>
      <c r="U10">
        <f>(R10-SUM(S4:S10)-R3)/R3*100</f>
        <v>19.565074951011262</v>
      </c>
      <c r="V10">
        <f>T10/((P10-P8)/365)</f>
        <v>177.57767963524691</v>
      </c>
      <c r="W10">
        <f>U10/(P10/365)</f>
        <v>87.088443379501356</v>
      </c>
    </row>
    <row r="11" spans="1:23" x14ac:dyDescent="0.2">
      <c r="A11" t="s">
        <v>124</v>
      </c>
      <c r="B11">
        <v>6</v>
      </c>
      <c r="C11">
        <v>117.84</v>
      </c>
      <c r="D11" s="6">
        <v>159.77000000000001</v>
      </c>
      <c r="E11">
        <f>B11*D11</f>
        <v>958.62000000000012</v>
      </c>
      <c r="F11">
        <v>11.37</v>
      </c>
      <c r="G11">
        <f>(D11+F11/B11-C11)/C11*100</f>
        <v>37.19025797691787</v>
      </c>
      <c r="H11">
        <f>(E11-C11*B11)+F11</f>
        <v>262.95000000000016</v>
      </c>
      <c r="I11" s="1">
        <v>44113</v>
      </c>
      <c r="J11" s="4">
        <f ca="1">TODAY()-I11</f>
        <v>99</v>
      </c>
      <c r="K11" s="4">
        <f ca="1">(TODAY()-I11)/365.25</f>
        <v>0.27104722792607805</v>
      </c>
      <c r="L11">
        <f ca="1">G11/K11</f>
        <v>137.2095123845379</v>
      </c>
      <c r="M11">
        <f>E11/E2*100</f>
        <v>1.1941734078253039</v>
      </c>
      <c r="N11" t="s">
        <v>7</v>
      </c>
      <c r="O11" s="6" t="s">
        <v>132</v>
      </c>
      <c r="P11">
        <f>Q11-Q10+P10</f>
        <v>97</v>
      </c>
      <c r="Q11" s="1">
        <v>44181</v>
      </c>
      <c r="R11">
        <v>74700.077000000005</v>
      </c>
      <c r="S11">
        <v>806.67348200000004</v>
      </c>
      <c r="T11">
        <f>(R11-S11-R10)/R10*100</f>
        <v>2.3141154879201835</v>
      </c>
      <c r="U11">
        <f>(R11-SUM(S4:S11)-R3)/R3*100</f>
        <v>22.418608359730722</v>
      </c>
      <c r="V11">
        <f>T11/((P11-P10)/365)</f>
        <v>56.310143539391134</v>
      </c>
      <c r="W11">
        <f>U11/(P11/365)</f>
        <v>84.358680941254775</v>
      </c>
    </row>
    <row r="12" spans="1:23" x14ac:dyDescent="0.2">
      <c r="A12" t="s">
        <v>19</v>
      </c>
      <c r="B12">
        <v>13.360094999999999</v>
      </c>
      <c r="C12">
        <v>176.97</v>
      </c>
      <c r="D12" s="6">
        <v>246.25</v>
      </c>
      <c r="E12">
        <f>B12*D12</f>
        <v>3289.9233937499998</v>
      </c>
      <c r="F12">
        <v>0</v>
      </c>
      <c r="G12">
        <f>(D12+F12/B12-C12)/C12*100</f>
        <v>39.147878171441484</v>
      </c>
      <c r="H12">
        <f>(E12-C12*B12)+F12</f>
        <v>925.58738159999984</v>
      </c>
      <c r="I12" s="2">
        <v>43365</v>
      </c>
      <c r="J12" s="4">
        <f ca="1">TODAY()-I12</f>
        <v>847</v>
      </c>
      <c r="K12" s="4">
        <f ca="1">(TODAY()-I12)/365.25</f>
        <v>2.3189596167008899</v>
      </c>
      <c r="L12">
        <f ca="1">G12/K12</f>
        <v>16.881655846657615</v>
      </c>
      <c r="M12">
        <f>E12/E2*100</f>
        <v>4.0983278364718299</v>
      </c>
      <c r="N12" t="s">
        <v>7</v>
      </c>
      <c r="O12" s="6">
        <v>1.24</v>
      </c>
      <c r="P12">
        <f>Q12-Q11+P11</f>
        <v>123</v>
      </c>
      <c r="Q12" s="1">
        <v>44207</v>
      </c>
      <c r="R12">
        <v>79718.052299999996</v>
      </c>
      <c r="S12">
        <v>500</v>
      </c>
      <c r="T12">
        <f>(R12-S12-R11)/R11*100</f>
        <v>6.0481534711135447</v>
      </c>
      <c r="U12">
        <f>(R12-SUM(S4:S12)-R3)/R3*100</f>
        <v>30.132466865484293</v>
      </c>
      <c r="V12">
        <f>T12/((P12-P11)/365)</f>
        <v>84.906769882940154</v>
      </c>
      <c r="W12">
        <f>U12/(P12/365)</f>
        <v>89.417482974811108</v>
      </c>
    </row>
    <row r="13" spans="1:23" x14ac:dyDescent="0.2">
      <c r="A13" t="s">
        <v>20</v>
      </c>
      <c r="B13">
        <v>20.232147999999999</v>
      </c>
      <c r="C13">
        <f>(82.74*(20-1.767852)+84.87*2)/B13</f>
        <v>82.95055599237412</v>
      </c>
      <c r="D13" s="6">
        <v>91.46</v>
      </c>
      <c r="E13">
        <f>B13*D13</f>
        <v>1850.4322560799997</v>
      </c>
      <c r="F13">
        <f>6.27+6.82</f>
        <v>13.09</v>
      </c>
      <c r="G13">
        <f>(D13+F13/B13-C13)/C13*100</f>
        <v>11.038424064655821</v>
      </c>
      <c r="H13">
        <f>(E13-C13*B13)+F13</f>
        <v>185.2543305599996</v>
      </c>
      <c r="I13" s="2">
        <v>44050</v>
      </c>
      <c r="J13" s="4">
        <f ca="1">TODAY()-I13</f>
        <v>162</v>
      </c>
      <c r="K13" s="4">
        <f ca="1">(TODAY()-I13)/365.25</f>
        <v>0.44353182751540043</v>
      </c>
      <c r="L13">
        <f ca="1">G13/K13</f>
        <v>24.887557960589742</v>
      </c>
      <c r="M13">
        <f>E13/E2*100</f>
        <v>2.3051229821961967</v>
      </c>
      <c r="N13" t="s">
        <v>7</v>
      </c>
      <c r="O13" s="6">
        <v>2.33</v>
      </c>
      <c r="P13">
        <f>Q13-Q12+P12</f>
        <v>128</v>
      </c>
      <c r="Q13" s="1">
        <v>44212</v>
      </c>
      <c r="R13">
        <v>80274.7736</v>
      </c>
      <c r="S13">
        <v>0</v>
      </c>
      <c r="T13">
        <f>(R13-S13-R12)/R12*100</f>
        <v>0.69836289765951132</v>
      </c>
      <c r="U13">
        <f>(R13-SUM(S4:S13)-R3)/R3*100</f>
        <v>31.082996483328646</v>
      </c>
      <c r="V13">
        <f>T13/((P13-P12)/365)</f>
        <v>50.980491529144331</v>
      </c>
      <c r="W13">
        <f>U13/(P13/365)</f>
        <v>88.635107159491838</v>
      </c>
    </row>
    <row r="14" spans="1:23" x14ac:dyDescent="0.2">
      <c r="A14" t="s">
        <v>21</v>
      </c>
      <c r="B14">
        <v>2.1924000000000001</v>
      </c>
      <c r="C14">
        <v>582.66999999999996</v>
      </c>
      <c r="D14" s="6">
        <v>742.18</v>
      </c>
      <c r="E14">
        <f>B14*D14</f>
        <v>1627.155432</v>
      </c>
      <c r="F14">
        <f>14.52*2.1924/4+7.96</f>
        <v>15.918412</v>
      </c>
      <c r="G14">
        <f>(D14+F14/B14-C14)/C14*100</f>
        <v>28.621814117833338</v>
      </c>
      <c r="H14">
        <f>(E14-C14*B14)+F14</f>
        <v>365.62813600000004</v>
      </c>
      <c r="I14" s="2">
        <v>44050</v>
      </c>
      <c r="J14" s="4">
        <f ca="1">TODAY()-I14</f>
        <v>162</v>
      </c>
      <c r="K14" s="4">
        <f ca="1">(TODAY()-I14)/365.25</f>
        <v>0.44353182751540043</v>
      </c>
      <c r="L14">
        <f ca="1">G14/K14</f>
        <v>64.531590163818677</v>
      </c>
      <c r="M14">
        <f>E14/E2*100</f>
        <v>2.0269822737819929</v>
      </c>
      <c r="N14" t="s">
        <v>7</v>
      </c>
      <c r="O14" s="6">
        <v>1.88</v>
      </c>
      <c r="Q14" s="1"/>
    </row>
    <row r="15" spans="1:23" x14ac:dyDescent="0.2">
      <c r="A15" t="s">
        <v>134</v>
      </c>
      <c r="B15">
        <v>20.965547000000001</v>
      </c>
      <c r="C15">
        <v>42.72</v>
      </c>
      <c r="D15" s="6">
        <v>51.31</v>
      </c>
      <c r="E15">
        <f>B15*D15</f>
        <v>1075.74221657</v>
      </c>
      <c r="F15">
        <v>0</v>
      </c>
      <c r="G15">
        <f>(D15+F15/B15-C15)/C15*100</f>
        <v>20.107677902621731</v>
      </c>
      <c r="H15">
        <f>(E15-C15*B15)+F15</f>
        <v>180.09404872999994</v>
      </c>
      <c r="I15" s="2">
        <v>44177</v>
      </c>
      <c r="J15" s="4">
        <f ca="1">TODAY()-I15</f>
        <v>35</v>
      </c>
      <c r="K15" s="4">
        <f ca="1">(TODAY()-I15)/365.25</f>
        <v>9.5824777549623541E-2</v>
      </c>
      <c r="L15">
        <f ca="1">G15/K15</f>
        <v>209.83798154093108</v>
      </c>
      <c r="M15">
        <f>E15/E2*100</f>
        <v>1.3400750544563462</v>
      </c>
      <c r="N15" t="s">
        <v>7</v>
      </c>
      <c r="O15" s="6" t="s">
        <v>132</v>
      </c>
      <c r="Q15" s="1"/>
    </row>
    <row r="16" spans="1:23" x14ac:dyDescent="0.2">
      <c r="A16" t="s">
        <v>126</v>
      </c>
      <c r="B16">
        <v>20</v>
      </c>
      <c r="C16">
        <v>29.03</v>
      </c>
      <c r="D16" s="6">
        <v>35.26</v>
      </c>
      <c r="E16">
        <f t="shared" ref="E16:E24" si="0">B16*D16</f>
        <v>705.19999999999993</v>
      </c>
      <c r="F16">
        <v>0</v>
      </c>
      <c r="G16">
        <f t="shared" ref="G16:G24" si="1">(D16+F16/B16-C16)/C16*100</f>
        <v>21.460558043403363</v>
      </c>
      <c r="H16">
        <f t="shared" ref="H16:H24" si="2">(E16-C16*B16)+F16</f>
        <v>124.59999999999991</v>
      </c>
      <c r="I16" s="2">
        <v>44113</v>
      </c>
      <c r="J16" s="4">
        <f t="shared" ref="J16:J24" ca="1" si="3">TODAY()-I16</f>
        <v>99</v>
      </c>
      <c r="K16" s="4">
        <f t="shared" ref="K16:K24" ca="1" si="4">(TODAY()-I16)/365.25</f>
        <v>0.27104722792607805</v>
      </c>
      <c r="L16">
        <f t="shared" ref="L16:L24" ca="1" si="5">G16/K16</f>
        <v>79.176452781344224</v>
      </c>
      <c r="M16">
        <f>E16/E2*100</f>
        <v>0.87848270138157347</v>
      </c>
      <c r="N16" t="s">
        <v>7</v>
      </c>
      <c r="O16" s="6" t="s">
        <v>132</v>
      </c>
    </row>
    <row r="17" spans="1:22" x14ac:dyDescent="0.2">
      <c r="A17" t="s">
        <v>28</v>
      </c>
      <c r="B17">
        <v>9</v>
      </c>
      <c r="C17">
        <v>106.99</v>
      </c>
      <c r="D17" s="6">
        <v>247.9</v>
      </c>
      <c r="E17">
        <f t="shared" si="0"/>
        <v>2231.1</v>
      </c>
      <c r="F17">
        <v>0</v>
      </c>
      <c r="G17">
        <f t="shared" si="1"/>
        <v>131.70389756051969</v>
      </c>
      <c r="H17">
        <f t="shared" si="2"/>
        <v>1268.19</v>
      </c>
      <c r="I17" s="2">
        <v>42437</v>
      </c>
      <c r="J17" s="4">
        <f t="shared" ca="1" si="3"/>
        <v>1775</v>
      </c>
      <c r="K17" s="4">
        <f t="shared" ca="1" si="4"/>
        <v>4.85968514715948</v>
      </c>
      <c r="L17">
        <f t="shared" ca="1" si="5"/>
        <v>27.101323145904122</v>
      </c>
      <c r="M17">
        <f>E17/E2*100</f>
        <v>2.7793289209478571</v>
      </c>
      <c r="N17" t="s">
        <v>7</v>
      </c>
      <c r="O17" s="6">
        <v>1.29</v>
      </c>
    </row>
    <row r="18" spans="1:22" x14ac:dyDescent="0.2">
      <c r="A18" t="s">
        <v>34</v>
      </c>
      <c r="B18">
        <v>1</v>
      </c>
      <c r="C18">
        <v>1509.04</v>
      </c>
      <c r="D18" s="6">
        <v>1729.02</v>
      </c>
      <c r="E18">
        <f t="shared" si="0"/>
        <v>1729.02</v>
      </c>
      <c r="F18">
        <v>0</v>
      </c>
      <c r="G18">
        <f t="shared" si="1"/>
        <v>14.577479722207498</v>
      </c>
      <c r="H18">
        <f t="shared" si="2"/>
        <v>219.98000000000002</v>
      </c>
      <c r="I18" s="2">
        <v>44050</v>
      </c>
      <c r="J18" s="4">
        <f t="shared" ca="1" si="3"/>
        <v>162</v>
      </c>
      <c r="K18" s="4">
        <f t="shared" ca="1" si="4"/>
        <v>0.44353182751540043</v>
      </c>
      <c r="L18">
        <f t="shared" ca="1" si="5"/>
        <v>32.866817707014128</v>
      </c>
      <c r="M18">
        <f>E18/E2*100</f>
        <v>2.153877141722587</v>
      </c>
      <c r="N18" t="s">
        <v>7</v>
      </c>
      <c r="O18" s="6">
        <v>1.63</v>
      </c>
    </row>
    <row r="19" spans="1:22" x14ac:dyDescent="0.2">
      <c r="A19" t="s">
        <v>127</v>
      </c>
      <c r="B19">
        <v>40</v>
      </c>
      <c r="C19">
        <f>(30.643775*21.41+9.356226*20.78)/40</f>
        <v>21.262639975749998</v>
      </c>
      <c r="D19" s="6">
        <v>32.299999999999997</v>
      </c>
      <c r="E19">
        <f t="shared" si="0"/>
        <v>1292</v>
      </c>
      <c r="F19">
        <v>1.2</v>
      </c>
      <c r="G19">
        <f t="shared" si="1"/>
        <v>52.050733290279595</v>
      </c>
      <c r="H19">
        <f t="shared" si="2"/>
        <v>442.69440097</v>
      </c>
      <c r="I19" s="2">
        <v>44113</v>
      </c>
      <c r="J19" s="4">
        <f t="shared" ca="1" si="3"/>
        <v>99</v>
      </c>
      <c r="K19" s="4">
        <f t="shared" ca="1" si="4"/>
        <v>0.27104722792607805</v>
      </c>
      <c r="L19">
        <f t="shared" ca="1" si="5"/>
        <v>192.03565994216788</v>
      </c>
      <c r="M19">
        <f>E19/E2*100</f>
        <v>1.6094719940229623</v>
      </c>
      <c r="N19" t="s">
        <v>7</v>
      </c>
      <c r="O19" s="6" t="s">
        <v>132</v>
      </c>
    </row>
    <row r="20" spans="1:22" x14ac:dyDescent="0.2">
      <c r="A20" t="s">
        <v>35</v>
      </c>
      <c r="B20">
        <v>3.3539639999999999</v>
      </c>
      <c r="C20">
        <v>302.01</v>
      </c>
      <c r="D20" s="6">
        <v>347.44</v>
      </c>
      <c r="E20">
        <f t="shared" si="0"/>
        <v>1165.3012521599999</v>
      </c>
      <c r="F20">
        <v>1.28</v>
      </c>
      <c r="G20">
        <f t="shared" si="1"/>
        <v>15.168914263202865</v>
      </c>
      <c r="H20">
        <f t="shared" si="2"/>
        <v>153.65058451999997</v>
      </c>
      <c r="I20" s="1">
        <v>44054</v>
      </c>
      <c r="J20" s="4">
        <f t="shared" ca="1" si="3"/>
        <v>158</v>
      </c>
      <c r="K20" s="4">
        <f t="shared" ca="1" si="4"/>
        <v>0.432580424366872</v>
      </c>
      <c r="L20">
        <f t="shared" ca="1" si="5"/>
        <v>35.06611351034713</v>
      </c>
      <c r="M20">
        <f>E20/E2*100</f>
        <v>1.4516406578571286</v>
      </c>
      <c r="N20" t="s">
        <v>7</v>
      </c>
      <c r="O20" s="6" t="s">
        <v>132</v>
      </c>
      <c r="Q20" t="s">
        <v>6</v>
      </c>
    </row>
    <row r="21" spans="1:22" x14ac:dyDescent="0.2">
      <c r="A21" t="s">
        <v>32</v>
      </c>
      <c r="B21">
        <v>2.3067060000000001</v>
      </c>
      <c r="C21">
        <v>301.49</v>
      </c>
      <c r="D21" s="6">
        <v>349.8</v>
      </c>
      <c r="E21">
        <f t="shared" si="0"/>
        <v>806.88575880000008</v>
      </c>
      <c r="F21">
        <v>0.57999999999999996</v>
      </c>
      <c r="G21">
        <f t="shared" si="1"/>
        <v>16.107148097492747</v>
      </c>
      <c r="H21">
        <f t="shared" si="2"/>
        <v>112.01696685999998</v>
      </c>
      <c r="I21" s="1">
        <v>44065</v>
      </c>
      <c r="J21" s="4">
        <f t="shared" ca="1" si="3"/>
        <v>147</v>
      </c>
      <c r="K21" s="4">
        <f t="shared" ca="1" si="4"/>
        <v>0.40246406570841892</v>
      </c>
      <c r="L21">
        <f t="shared" ca="1" si="5"/>
        <v>40.021332262647789</v>
      </c>
      <c r="M21">
        <f>E21/E2*100</f>
        <v>1.005154822882792</v>
      </c>
      <c r="N21" t="s">
        <v>7</v>
      </c>
      <c r="O21" s="6" t="s">
        <v>132</v>
      </c>
      <c r="Q21" s="1">
        <v>44084</v>
      </c>
      <c r="R21">
        <v>334.28</v>
      </c>
    </row>
    <row r="22" spans="1:22" x14ac:dyDescent="0.2">
      <c r="A22" t="s">
        <v>41</v>
      </c>
      <c r="B22">
        <v>2</v>
      </c>
      <c r="C22">
        <v>257.5</v>
      </c>
      <c r="D22" s="6">
        <v>302.14999999999998</v>
      </c>
      <c r="E22">
        <f t="shared" si="0"/>
        <v>604.29999999999995</v>
      </c>
      <c r="F22">
        <v>1.84</v>
      </c>
      <c r="G22">
        <f t="shared" si="1"/>
        <v>17.697087378640774</v>
      </c>
      <c r="H22">
        <f t="shared" si="2"/>
        <v>91.139999999999958</v>
      </c>
      <c r="I22" s="1">
        <v>44063</v>
      </c>
      <c r="J22" s="4">
        <f t="shared" ca="1" si="3"/>
        <v>149</v>
      </c>
      <c r="K22" s="4">
        <f t="shared" ca="1" si="4"/>
        <v>0.40793976728268311</v>
      </c>
      <c r="L22">
        <f t="shared" ca="1" si="5"/>
        <v>43.381618557372768</v>
      </c>
      <c r="M22">
        <f>E22/E2*100</f>
        <v>0.75278941639943975</v>
      </c>
      <c r="N22" t="s">
        <v>7</v>
      </c>
      <c r="O22" s="6" t="s">
        <v>132</v>
      </c>
      <c r="P22">
        <f>Q22-Q21</f>
        <v>5</v>
      </c>
      <c r="Q22" s="1">
        <v>44089</v>
      </c>
      <c r="R22">
        <v>341.48</v>
      </c>
      <c r="S22">
        <f>(R22-R21)/R21*100</f>
        <v>2.1538829723585158</v>
      </c>
      <c r="T22">
        <f>(R22-R21)/R21*100</f>
        <v>2.1538829723585158</v>
      </c>
      <c r="U22">
        <f>S22/((P22-P21)/365)</f>
        <v>157.23345698217167</v>
      </c>
      <c r="V22">
        <f>T22/(P22/365)</f>
        <v>157.23345698217167</v>
      </c>
    </row>
    <row r="23" spans="1:22" x14ac:dyDescent="0.2">
      <c r="A23" t="s">
        <v>129</v>
      </c>
      <c r="B23">
        <v>10.479749999999999</v>
      </c>
      <c r="C23">
        <v>20.350000000000001</v>
      </c>
      <c r="D23" s="6">
        <v>34.26</v>
      </c>
      <c r="E23">
        <f t="shared" si="0"/>
        <v>359.03623499999998</v>
      </c>
      <c r="F23">
        <v>0</v>
      </c>
      <c r="G23">
        <f t="shared" si="1"/>
        <v>68.353808353808333</v>
      </c>
      <c r="H23">
        <f t="shared" si="2"/>
        <v>145.77332249999998</v>
      </c>
      <c r="I23" s="1">
        <v>44119</v>
      </c>
      <c r="J23" s="4">
        <f t="shared" ca="1" si="3"/>
        <v>93</v>
      </c>
      <c r="K23" s="4">
        <f t="shared" ca="1" si="4"/>
        <v>0.25462012320328542</v>
      </c>
      <c r="L23">
        <f t="shared" ca="1" si="5"/>
        <v>268.45406990568273</v>
      </c>
      <c r="M23">
        <f>E23/E2*100</f>
        <v>0.4472591060928382</v>
      </c>
      <c r="N23" t="s">
        <v>7</v>
      </c>
      <c r="O23" s="6" t="s">
        <v>132</v>
      </c>
      <c r="P23">
        <f>Q23-Q22+P22</f>
        <v>21</v>
      </c>
      <c r="Q23" s="1">
        <v>44105</v>
      </c>
      <c r="R23">
        <v>337.23</v>
      </c>
      <c r="S23">
        <f>(R23-R22)/R22*100</f>
        <v>-1.2445824059974231</v>
      </c>
      <c r="T23">
        <f>((R23-R21)/R21)*100</f>
        <v>0.88249371784134434</v>
      </c>
      <c r="U23">
        <f>S23/((P23-P22)/365)</f>
        <v>-28.392036136816213</v>
      </c>
      <c r="V23">
        <f>T23/(P23/365)</f>
        <v>15.338581286290033</v>
      </c>
    </row>
    <row r="24" spans="1:22" x14ac:dyDescent="0.2">
      <c r="A24" t="s">
        <v>65</v>
      </c>
      <c r="B24">
        <v>16.275039</v>
      </c>
      <c r="C24">
        <v>38.479999999999997</v>
      </c>
      <c r="D24" s="6">
        <v>69.010000000000005</v>
      </c>
      <c r="E24">
        <f t="shared" si="0"/>
        <v>1123.14044139</v>
      </c>
      <c r="F24">
        <v>0</v>
      </c>
      <c r="G24">
        <f t="shared" si="1"/>
        <v>79.339916839916867</v>
      </c>
      <c r="H24">
        <f t="shared" si="2"/>
        <v>496.87694067000007</v>
      </c>
      <c r="I24" s="2">
        <v>44112</v>
      </c>
      <c r="J24" s="4">
        <f t="shared" ca="1" si="3"/>
        <v>100</v>
      </c>
      <c r="K24" s="4">
        <f t="shared" ca="1" si="4"/>
        <v>0.27378507871321012</v>
      </c>
      <c r="L24">
        <f t="shared" ca="1" si="5"/>
        <v>289.78904625779637</v>
      </c>
      <c r="M24">
        <f>E24/E2*100</f>
        <v>1.3991200354270847</v>
      </c>
      <c r="N24" t="s">
        <v>7</v>
      </c>
      <c r="O24" s="6" t="s">
        <v>132</v>
      </c>
      <c r="P24">
        <f>Q24-Q23+P23</f>
        <v>35</v>
      </c>
      <c r="Q24" s="1">
        <v>44119</v>
      </c>
      <c r="R24">
        <v>343.7</v>
      </c>
      <c r="S24">
        <f>(R24-R23)/R23*100</f>
        <v>1.9185718945526702</v>
      </c>
      <c r="T24">
        <f>(R24-R21)/R21*100</f>
        <v>2.8179968888357116</v>
      </c>
      <c r="U24">
        <f>S24/((P24-P23)/365)</f>
        <v>50.01991010798033</v>
      </c>
      <c r="V24">
        <f>T24/(P24/365)</f>
        <v>29.387681840715281</v>
      </c>
    </row>
    <row r="25" spans="1:22" x14ac:dyDescent="0.2">
      <c r="A25" t="s">
        <v>43</v>
      </c>
      <c r="B25">
        <v>5.6489989999999999</v>
      </c>
      <c r="C25">
        <v>209.41</v>
      </c>
      <c r="D25" s="6">
        <v>213.52</v>
      </c>
      <c r="E25">
        <f>B25*D25</f>
        <v>1206.1742664800001</v>
      </c>
      <c r="F25">
        <f>3.16+2.55</f>
        <v>5.71</v>
      </c>
      <c r="G25">
        <f>(D25+F25/B25-C25)/C25*100</f>
        <v>2.445345757283433</v>
      </c>
      <c r="H25">
        <f>(E25-C25*B25)+F25</f>
        <v>28.927385890000288</v>
      </c>
      <c r="I25" s="2">
        <v>44056</v>
      </c>
      <c r="J25" s="4">
        <f ca="1">TODAY()-I25</f>
        <v>156</v>
      </c>
      <c r="K25" s="4">
        <f ca="1">(TODAY()-I25)/365.25</f>
        <v>0.4271047227926078</v>
      </c>
      <c r="L25">
        <f ca="1">G25/K25</f>
        <v>5.7254008836395762</v>
      </c>
      <c r="M25">
        <f>E25/E2*100</f>
        <v>1.5025570447451624</v>
      </c>
      <c r="N25" t="s">
        <v>7</v>
      </c>
      <c r="O25" s="6">
        <v>2.4</v>
      </c>
      <c r="P25">
        <f>Q25-Q24+P24</f>
        <v>66</v>
      </c>
      <c r="Q25" s="1">
        <v>44150</v>
      </c>
      <c r="R25">
        <v>353.21</v>
      </c>
      <c r="S25">
        <f>(R25-R24)/R24*100</f>
        <v>2.7669479196974081</v>
      </c>
      <c r="T25">
        <f>(R25-R21)/R21*100</f>
        <v>5.6629173148258971</v>
      </c>
      <c r="U25">
        <f>S25/((P25-SOLD!P63)/365)</f>
        <v>15.302060464993241</v>
      </c>
      <c r="V25">
        <f>T25/(P25/365)</f>
        <v>31.317648786537156</v>
      </c>
    </row>
    <row r="26" spans="1:22" x14ac:dyDescent="0.2">
      <c r="A26" t="s">
        <v>46</v>
      </c>
      <c r="B26">
        <v>1.014446</v>
      </c>
      <c r="C26">
        <v>105.5</v>
      </c>
      <c r="D26" s="6">
        <v>500</v>
      </c>
      <c r="E26">
        <f>B26*D26</f>
        <v>507.22299999999996</v>
      </c>
      <c r="F26">
        <v>0</v>
      </c>
      <c r="G26">
        <f>(D26+F26/B26-C26)/C26*100</f>
        <v>373.93364928909955</v>
      </c>
      <c r="H26">
        <f>(E26-C26*B26)+F26</f>
        <v>400.19894699999998</v>
      </c>
      <c r="I26" s="2">
        <v>42680</v>
      </c>
      <c r="J26" s="4">
        <f ca="1">TODAY()-I26</f>
        <v>1532</v>
      </c>
      <c r="K26" s="4">
        <f ca="1">(TODAY()-I26)/365.25</f>
        <v>4.1943874058863795</v>
      </c>
      <c r="L26">
        <f ca="1">G26/K26</f>
        <v>89.150956529271284</v>
      </c>
      <c r="M26">
        <f>E26/E2*100</f>
        <v>0.63185852416742183</v>
      </c>
      <c r="N26" t="s">
        <v>7</v>
      </c>
      <c r="O26" s="6">
        <v>1.84</v>
      </c>
      <c r="P26">
        <f>Q26-Q25+P25</f>
        <v>82</v>
      </c>
      <c r="Q26" s="1">
        <v>44166</v>
      </c>
      <c r="R26">
        <v>362.06</v>
      </c>
      <c r="S26">
        <f>(R26-R25)/R25*100</f>
        <v>2.5055915744174917</v>
      </c>
      <c r="T26">
        <f>(R26-R21)/R21*100</f>
        <v>8.310398468349895</v>
      </c>
      <c r="U26">
        <f>S26/((P26-P25)/365)</f>
        <v>57.158807791399028</v>
      </c>
      <c r="V26">
        <f>T26/(P26/365)</f>
        <v>36.991407816435512</v>
      </c>
    </row>
    <row r="27" spans="1:22" x14ac:dyDescent="0.2">
      <c r="A27" t="s">
        <v>130</v>
      </c>
      <c r="B27">
        <v>10</v>
      </c>
      <c r="C27">
        <v>32.450000000000003</v>
      </c>
      <c r="D27" s="6">
        <v>59.84</v>
      </c>
      <c r="E27">
        <f>B27*D27</f>
        <v>598.40000000000009</v>
      </c>
      <c r="F27">
        <v>0</v>
      </c>
      <c r="G27">
        <f>(D27+F27/B27-C27)/C27*100</f>
        <v>84.406779661016941</v>
      </c>
      <c r="H27">
        <f>(E27-C27*B27)+F27</f>
        <v>273.90000000000009</v>
      </c>
      <c r="I27" s="2">
        <v>44119</v>
      </c>
      <c r="J27" s="4">
        <f ca="1">TODAY()-I27</f>
        <v>93</v>
      </c>
      <c r="K27" s="4">
        <f ca="1">(TODAY()-I27)/365.25</f>
        <v>0.25462012320328542</v>
      </c>
      <c r="L27">
        <f ca="1">G27/K27</f>
        <v>331.50082012028429</v>
      </c>
      <c r="M27">
        <f>E27/E2*100</f>
        <v>0.74543966038958276</v>
      </c>
      <c r="N27" t="s">
        <v>7</v>
      </c>
      <c r="O27" s="6" t="s">
        <v>132</v>
      </c>
      <c r="P27">
        <f>Q27-Q26+P26</f>
        <v>97</v>
      </c>
      <c r="Q27" s="3">
        <v>44181</v>
      </c>
      <c r="R27">
        <v>369.69</v>
      </c>
      <c r="S27">
        <f>(R27-R26)/R26*100</f>
        <v>2.1073855162127808</v>
      </c>
      <c r="T27">
        <f>(R27-R21)/R21*100</f>
        <v>10.592916118224252</v>
      </c>
      <c r="U27">
        <f>S27/((P27-P26)/365)</f>
        <v>51.279714227844337</v>
      </c>
      <c r="V27">
        <f>T27/(P27/365)</f>
        <v>39.859942094348987</v>
      </c>
    </row>
    <row r="28" spans="1:22" x14ac:dyDescent="0.2">
      <c r="A28" t="s">
        <v>47</v>
      </c>
      <c r="B28">
        <v>1.910188</v>
      </c>
      <c r="C28">
        <v>335.89</v>
      </c>
      <c r="D28" s="6">
        <v>302.7</v>
      </c>
      <c r="E28">
        <f>B28*D28</f>
        <v>578.21390759999997</v>
      </c>
      <c r="F28">
        <f>2.77+2.12</f>
        <v>4.8900000000000006</v>
      </c>
      <c r="G28">
        <f>(D28+F28/B28-C28)/C28*100</f>
        <v>-9.1190695021541472</v>
      </c>
      <c r="H28">
        <f>(E28-C28*B28)+F28</f>
        <v>-58.509139719999993</v>
      </c>
      <c r="I28" s="1">
        <v>44080</v>
      </c>
      <c r="J28" s="4">
        <v>39</v>
      </c>
      <c r="K28" s="4">
        <f ca="1">(TODAY()-I28)/365.25</f>
        <v>0.3613963039014374</v>
      </c>
      <c r="L28">
        <f ca="1">G28/K28</f>
        <v>-25.232879815619711</v>
      </c>
      <c r="M28">
        <f>E28/E2*100</f>
        <v>0.72029341396035673</v>
      </c>
      <c r="N28" t="s">
        <v>7</v>
      </c>
      <c r="O28" s="6" t="s">
        <v>132</v>
      </c>
      <c r="P28">
        <f>Q28-Q27+P27</f>
        <v>123</v>
      </c>
      <c r="Q28" s="3">
        <v>44207</v>
      </c>
      <c r="R28">
        <v>381.26</v>
      </c>
      <c r="S28">
        <f>(R28-R27)/R27*100</f>
        <v>3.1296491655170531</v>
      </c>
      <c r="T28">
        <f>(R28-R21)/R21*100</f>
        <v>14.054086394639231</v>
      </c>
      <c r="U28">
        <f>S28/((P28-P27)/365)</f>
        <v>43.935459438989398</v>
      </c>
      <c r="V28">
        <f>T28/(P28/365)</f>
        <v>41.705215723929427</v>
      </c>
    </row>
    <row r="29" spans="1:22" x14ac:dyDescent="0.2">
      <c r="A29" t="s">
        <v>49</v>
      </c>
      <c r="B29">
        <v>11</v>
      </c>
      <c r="C29">
        <f>(332.1*1+352.63*5+453.07*5)/B29</f>
        <v>396.41818181818184</v>
      </c>
      <c r="D29" s="6">
        <v>529.12</v>
      </c>
      <c r="E29">
        <f>B29*D29</f>
        <v>5820.32</v>
      </c>
      <c r="F29">
        <f>0.2*(1.15*3+1.4*2)+0.28*2+0.3*4+0.32*7+1.92+1.76</f>
        <v>8.93</v>
      </c>
      <c r="G29">
        <f>(D29+F29/B29-C29)/C29*100</f>
        <v>33.67999816539006</v>
      </c>
      <c r="H29">
        <f>(E29-C29*B29)+F29</f>
        <v>1468.6499999999994</v>
      </c>
      <c r="I29" s="2">
        <v>43893</v>
      </c>
      <c r="J29" s="4">
        <f ca="1">TODAY()-I29</f>
        <v>319</v>
      </c>
      <c r="K29" s="4">
        <f ca="1">(TODAY()-I29)/365.25</f>
        <v>0.87337440109514031</v>
      </c>
      <c r="L29">
        <f ca="1">G29/K29</f>
        <v>38.563069999713854</v>
      </c>
      <c r="M29">
        <f>E29/E2*100</f>
        <v>7.2504969320833821</v>
      </c>
      <c r="N29" t="s">
        <v>7</v>
      </c>
      <c r="O29" s="6">
        <v>2.9</v>
      </c>
      <c r="P29">
        <f>Q29-Q28+P28</f>
        <v>128</v>
      </c>
      <c r="Q29" s="3">
        <v>44212</v>
      </c>
      <c r="R29">
        <v>378.46</v>
      </c>
      <c r="S29">
        <f>(R29-R28)/R28*100</f>
        <v>-0.73440696637465552</v>
      </c>
      <c r="T29">
        <f>(R29-R21)/R21*100</f>
        <v>13.216465238722034</v>
      </c>
      <c r="U29">
        <f>S29/((P29-P28)/365)</f>
        <v>-53.611708545349856</v>
      </c>
      <c r="V29">
        <f>T29/(P29/365)</f>
        <v>37.687576657293299</v>
      </c>
    </row>
    <row r="30" spans="1:22" x14ac:dyDescent="0.2">
      <c r="A30" t="s">
        <v>133</v>
      </c>
      <c r="B30">
        <v>9.0633280000000003</v>
      </c>
      <c r="C30">
        <v>25.84</v>
      </c>
      <c r="D30" s="6">
        <v>26.26</v>
      </c>
      <c r="E30">
        <f>B30*D30</f>
        <v>238.00299328000003</v>
      </c>
      <c r="F30">
        <v>0</v>
      </c>
      <c r="G30">
        <f t="shared" ref="G30:G61" si="6">(D30+F30/B30-C30)/C30*100</f>
        <v>1.6253869969040313</v>
      </c>
      <c r="H30">
        <f>(E30-C30*B30)+F30</f>
        <v>3.8065977600000167</v>
      </c>
      <c r="I30" s="1">
        <v>44175</v>
      </c>
      <c r="J30" s="4">
        <f t="shared" ref="J30:J37" ca="1" si="7">TODAY()-I30</f>
        <v>37</v>
      </c>
      <c r="K30" s="4">
        <f ca="1">(TODAY()-I30)/365.25</f>
        <v>0.10130047912388775</v>
      </c>
      <c r="L30">
        <f t="shared" ref="L30:L61" ca="1" si="8">G30/K30</f>
        <v>16.045205422140473</v>
      </c>
      <c r="M30">
        <f>E30/E2*100</f>
        <v>0.29648541190231842</v>
      </c>
      <c r="N30" t="s">
        <v>7</v>
      </c>
      <c r="O30" s="6" t="s">
        <v>132</v>
      </c>
    </row>
    <row r="31" spans="1:22" x14ac:dyDescent="0.2">
      <c r="A31" t="s">
        <v>131</v>
      </c>
      <c r="B31">
        <v>5.0072279999999996</v>
      </c>
      <c r="C31">
        <v>64.349999999999994</v>
      </c>
      <c r="D31" s="6">
        <v>87.14</v>
      </c>
      <c r="E31">
        <f t="shared" ref="E31:E62" si="9">B31*D31</f>
        <v>436.32984791999996</v>
      </c>
      <c r="F31">
        <v>0</v>
      </c>
      <c r="G31">
        <f t="shared" si="6"/>
        <v>35.415695415695431</v>
      </c>
      <c r="H31">
        <f t="shared" ref="H31:H62" si="10">(E31-C31*B31)+F31</f>
        <v>114.11472612</v>
      </c>
      <c r="I31" s="1">
        <v>44116</v>
      </c>
      <c r="J31" s="4">
        <f t="shared" ca="1" si="7"/>
        <v>96</v>
      </c>
      <c r="K31" s="4">
        <f t="shared" ref="K31:K62" ca="1" si="11">(TODAY()-I31)/365.25</f>
        <v>0.26283367556468173</v>
      </c>
      <c r="L31">
        <f t="shared" ca="1" si="8"/>
        <v>134.74565365190369</v>
      </c>
      <c r="M31">
        <f>E31/E2*100</f>
        <v>0.54354541051357452</v>
      </c>
      <c r="N31" t="s">
        <v>7</v>
      </c>
      <c r="O31" s="6" t="s">
        <v>132</v>
      </c>
    </row>
    <row r="32" spans="1:22" x14ac:dyDescent="0.2">
      <c r="A32" t="s">
        <v>53</v>
      </c>
      <c r="B32">
        <v>5</v>
      </c>
      <c r="C32">
        <v>60.99</v>
      </c>
      <c r="D32" s="6">
        <v>70.31</v>
      </c>
      <c r="E32">
        <f t="shared" si="9"/>
        <v>351.55</v>
      </c>
      <c r="F32">
        <v>2.38</v>
      </c>
      <c r="G32">
        <f t="shared" si="6"/>
        <v>16.061649450729625</v>
      </c>
      <c r="H32">
        <f t="shared" si="10"/>
        <v>48.980000000000025</v>
      </c>
      <c r="I32" s="1">
        <v>44063</v>
      </c>
      <c r="J32" s="4">
        <f t="shared" ca="1" si="7"/>
        <v>149</v>
      </c>
      <c r="K32" s="4">
        <f t="shared" ca="1" si="11"/>
        <v>0.40793976728268311</v>
      </c>
      <c r="L32">
        <f t="shared" ca="1" si="8"/>
        <v>39.372600415295274</v>
      </c>
      <c r="M32">
        <f>E32/E2*100</f>
        <v>0.43793334326530375</v>
      </c>
      <c r="N32" t="s">
        <v>7</v>
      </c>
      <c r="O32" s="6">
        <v>1.64</v>
      </c>
    </row>
    <row r="33" spans="1:16" x14ac:dyDescent="0.2">
      <c r="A33" t="s">
        <v>6</v>
      </c>
      <c r="B33">
        <v>8</v>
      </c>
      <c r="C33">
        <v>256.76</v>
      </c>
      <c r="D33" s="6">
        <v>378.46</v>
      </c>
      <c r="E33">
        <f t="shared" si="9"/>
        <v>3027.68</v>
      </c>
      <c r="F33">
        <v>0</v>
      </c>
      <c r="G33">
        <f t="shared" si="6"/>
        <v>47.398348652438074</v>
      </c>
      <c r="H33">
        <f t="shared" si="10"/>
        <v>973.59999999999991</v>
      </c>
      <c r="I33" s="3">
        <v>43028</v>
      </c>
      <c r="J33" s="4">
        <f t="shared" ca="1" si="7"/>
        <v>1184</v>
      </c>
      <c r="K33" s="4">
        <f t="shared" ca="1" si="11"/>
        <v>3.2416153319644079</v>
      </c>
      <c r="L33">
        <f t="shared" ca="1" si="8"/>
        <v>14.621830105830242</v>
      </c>
      <c r="M33">
        <f>E33/E2*100</f>
        <v>3.7716456399871845</v>
      </c>
      <c r="N33" t="s">
        <v>7</v>
      </c>
      <c r="O33" s="6" t="s">
        <v>132</v>
      </c>
      <c r="P33" s="2"/>
    </row>
    <row r="34" spans="1:16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115.23</v>
      </c>
      <c r="E34">
        <f t="shared" si="9"/>
        <v>1152.3</v>
      </c>
      <c r="F34">
        <v>0.92</v>
      </c>
      <c r="G34">
        <f t="shared" si="6"/>
        <v>53.653051588651678</v>
      </c>
      <c r="H34">
        <f t="shared" si="10"/>
        <v>402.68495492499989</v>
      </c>
      <c r="I34" s="3">
        <v>44113</v>
      </c>
      <c r="J34" s="4">
        <f t="shared" ca="1" si="7"/>
        <v>99</v>
      </c>
      <c r="K34" s="4">
        <f t="shared" ca="1" si="11"/>
        <v>0.27104722792607805</v>
      </c>
      <c r="L34">
        <f t="shared" ca="1" si="8"/>
        <v>197.94724336116187</v>
      </c>
      <c r="M34">
        <f>E34/E2*100</f>
        <v>1.4354447203658356</v>
      </c>
      <c r="N34" t="s">
        <v>7</v>
      </c>
      <c r="O34" s="6" t="s">
        <v>132</v>
      </c>
    </row>
    <row r="35" spans="1:16" x14ac:dyDescent="0.2">
      <c r="A35" t="s">
        <v>54</v>
      </c>
      <c r="B35">
        <v>15.031708</v>
      </c>
      <c r="C35">
        <v>70.94</v>
      </c>
      <c r="D35" s="6">
        <v>82.6</v>
      </c>
      <c r="E35">
        <f t="shared" si="9"/>
        <v>1241.6190807999999</v>
      </c>
      <c r="F35">
        <v>0</v>
      </c>
      <c r="G35">
        <f t="shared" si="6"/>
        <v>16.4364251480124</v>
      </c>
      <c r="H35">
        <f t="shared" si="10"/>
        <v>175.2697152799999</v>
      </c>
      <c r="I35" s="2">
        <v>44067</v>
      </c>
      <c r="J35" s="4">
        <f t="shared" ca="1" si="7"/>
        <v>145</v>
      </c>
      <c r="K35" s="4">
        <f t="shared" ca="1" si="11"/>
        <v>0.39698836413415467</v>
      </c>
      <c r="L35">
        <f t="shared" ca="1" si="8"/>
        <v>41.402788174562275</v>
      </c>
      <c r="M35">
        <f>E35/E2*100</f>
        <v>1.5467114069598558</v>
      </c>
      <c r="N35" t="s">
        <v>7</v>
      </c>
      <c r="O35" s="6" t="s">
        <v>132</v>
      </c>
    </row>
    <row r="36" spans="1:16" x14ac:dyDescent="0.2">
      <c r="A36" t="s">
        <v>55</v>
      </c>
      <c r="B36">
        <v>12.794714000000001</v>
      </c>
      <c r="C36">
        <v>312.77</v>
      </c>
      <c r="D36" s="6">
        <v>852</v>
      </c>
      <c r="E36">
        <f t="shared" si="9"/>
        <v>10901.096328000001</v>
      </c>
      <c r="F36">
        <v>0</v>
      </c>
      <c r="G36">
        <f t="shared" si="6"/>
        <v>172.40464238897596</v>
      </c>
      <c r="H36">
        <f t="shared" si="10"/>
        <v>6899.2936302200014</v>
      </c>
      <c r="I36" s="2">
        <v>44056</v>
      </c>
      <c r="J36" s="4">
        <f t="shared" ca="1" si="7"/>
        <v>156</v>
      </c>
      <c r="K36" s="4">
        <f t="shared" ca="1" si="11"/>
        <v>0.4271047227926078</v>
      </c>
      <c r="L36">
        <f t="shared" ca="1" si="8"/>
        <v>403.65894636265045</v>
      </c>
      <c r="M36">
        <f>E36/E2*100</f>
        <v>13.579728517076283</v>
      </c>
      <c r="N36" t="s">
        <v>7</v>
      </c>
      <c r="O36" s="6">
        <v>6.42</v>
      </c>
    </row>
    <row r="37" spans="1:16" x14ac:dyDescent="0.2">
      <c r="A37" t="s">
        <v>138</v>
      </c>
      <c r="B37">
        <v>6.4440739999999996</v>
      </c>
      <c r="C37">
        <v>40.43</v>
      </c>
      <c r="D37" s="6">
        <v>49.33</v>
      </c>
      <c r="E37">
        <f t="shared" si="9"/>
        <v>317.88617041999998</v>
      </c>
      <c r="F37">
        <v>0</v>
      </c>
      <c r="G37">
        <f t="shared" si="6"/>
        <v>22.013356418501111</v>
      </c>
      <c r="H37">
        <f t="shared" si="10"/>
        <v>57.352258600000027</v>
      </c>
      <c r="I37" s="2">
        <v>44150</v>
      </c>
      <c r="J37" s="4">
        <f t="shared" ca="1" si="7"/>
        <v>62</v>
      </c>
      <c r="K37" s="4">
        <f t="shared" ca="1" si="11"/>
        <v>0.16974674880219029</v>
      </c>
      <c r="L37">
        <f t="shared" ca="1" si="8"/>
        <v>129.6835230944763</v>
      </c>
      <c r="M37">
        <f>E37/E2*100</f>
        <v>0.39599759177879307</v>
      </c>
      <c r="N37" t="s">
        <v>7</v>
      </c>
      <c r="O37" s="6" t="s">
        <v>132</v>
      </c>
    </row>
    <row r="38" spans="1:16" x14ac:dyDescent="0.2">
      <c r="A38" t="s">
        <v>58</v>
      </c>
      <c r="B38">
        <v>0.86847600000000003</v>
      </c>
      <c r="C38">
        <v>414.72</v>
      </c>
      <c r="D38" s="6">
        <v>397.71</v>
      </c>
      <c r="E38">
        <f t="shared" si="9"/>
        <v>345.40158995999997</v>
      </c>
      <c r="F38">
        <v>0</v>
      </c>
      <c r="G38">
        <f t="shared" si="6"/>
        <v>-4.1015625000000107</v>
      </c>
      <c r="H38">
        <f t="shared" si="10"/>
        <v>-14.772776760000056</v>
      </c>
      <c r="I38" s="2">
        <v>44140</v>
      </c>
      <c r="J38" s="4">
        <v>40</v>
      </c>
      <c r="K38" s="4">
        <f t="shared" ca="1" si="11"/>
        <v>0.1971252566735113</v>
      </c>
      <c r="L38">
        <f t="shared" ca="1" si="8"/>
        <v>-20.806884765625053</v>
      </c>
      <c r="M38">
        <f>E38/E2*100</f>
        <v>0.43027413756317556</v>
      </c>
      <c r="N38" t="s">
        <v>7</v>
      </c>
      <c r="O38" s="6">
        <v>5.32</v>
      </c>
    </row>
    <row r="39" spans="1:16" x14ac:dyDescent="0.2">
      <c r="A39" t="s">
        <v>67</v>
      </c>
      <c r="B39">
        <v>2.2797040000000002</v>
      </c>
      <c r="C39">
        <v>87.73</v>
      </c>
      <c r="D39" s="6">
        <v>111.2</v>
      </c>
      <c r="E39">
        <f t="shared" si="9"/>
        <v>253.50308480000004</v>
      </c>
      <c r="F39">
        <v>2.69</v>
      </c>
      <c r="G39">
        <f t="shared" si="6"/>
        <v>28.097546736005423</v>
      </c>
      <c r="H39">
        <f t="shared" si="10"/>
        <v>56.194652880000007</v>
      </c>
      <c r="I39" s="1">
        <v>44105</v>
      </c>
      <c r="J39" s="4">
        <f t="shared" ref="J39:J78" ca="1" si="12">TODAY()-I39</f>
        <v>107</v>
      </c>
      <c r="K39" s="4">
        <f t="shared" ca="1" si="11"/>
        <v>0.29295003422313481</v>
      </c>
      <c r="L39">
        <f t="shared" ca="1" si="8"/>
        <v>95.912420049775534</v>
      </c>
      <c r="M39">
        <f>E39/E2*100</f>
        <v>0.31579420695358223</v>
      </c>
      <c r="N39" t="s">
        <v>9</v>
      </c>
      <c r="O39" s="6">
        <v>1.54</v>
      </c>
    </row>
    <row r="40" spans="1:16" x14ac:dyDescent="0.2">
      <c r="A40" t="s">
        <v>12</v>
      </c>
      <c r="B40">
        <v>4.6266299999999996</v>
      </c>
      <c r="C40">
        <v>108.07</v>
      </c>
      <c r="D40" s="6">
        <v>103.34</v>
      </c>
      <c r="E40">
        <f t="shared" si="9"/>
        <v>478.11594419999994</v>
      </c>
      <c r="F40">
        <v>0</v>
      </c>
      <c r="G40">
        <f t="shared" si="6"/>
        <v>-4.3767928194688537</v>
      </c>
      <c r="H40">
        <f t="shared" si="10"/>
        <v>-21.883959899999979</v>
      </c>
      <c r="I40" s="1">
        <v>44084</v>
      </c>
      <c r="J40" s="4">
        <f t="shared" ca="1" si="12"/>
        <v>128</v>
      </c>
      <c r="K40" s="4">
        <f t="shared" ca="1" si="11"/>
        <v>0.35044490075290896</v>
      </c>
      <c r="L40">
        <f t="shared" ca="1" si="8"/>
        <v>-12.489246697742178</v>
      </c>
      <c r="M40">
        <f>E40/E2*100</f>
        <v>0.59559924310042212</v>
      </c>
      <c r="N40" t="s">
        <v>9</v>
      </c>
      <c r="O40" s="6">
        <v>1.58</v>
      </c>
    </row>
    <row r="41" spans="1:16" x14ac:dyDescent="0.2">
      <c r="A41" t="s">
        <v>11</v>
      </c>
      <c r="B41">
        <v>1.773528</v>
      </c>
      <c r="C41">
        <v>93.46</v>
      </c>
      <c r="D41" s="6">
        <v>108.7</v>
      </c>
      <c r="E41">
        <f t="shared" si="9"/>
        <v>192.78249360000001</v>
      </c>
      <c r="F41">
        <v>0</v>
      </c>
      <c r="G41">
        <f t="shared" si="6"/>
        <v>16.306441258292327</v>
      </c>
      <c r="H41">
        <f t="shared" si="10"/>
        <v>27.028566720000015</v>
      </c>
      <c r="I41" s="1">
        <v>44084</v>
      </c>
      <c r="J41" s="4">
        <f t="shared" ca="1" si="12"/>
        <v>128</v>
      </c>
      <c r="K41" s="4">
        <f t="shared" ca="1" si="11"/>
        <v>0.35044490075290896</v>
      </c>
      <c r="L41">
        <f t="shared" ca="1" si="8"/>
        <v>46.530684918681821</v>
      </c>
      <c r="M41">
        <f>E41/E2*100</f>
        <v>0.24015326964946676</v>
      </c>
      <c r="N41" t="s">
        <v>9</v>
      </c>
      <c r="O41" s="6">
        <v>1.1299999999999999</v>
      </c>
    </row>
    <row r="42" spans="1:16" x14ac:dyDescent="0.2">
      <c r="A42" t="s">
        <v>13</v>
      </c>
      <c r="B42">
        <v>1.8553729999999999</v>
      </c>
      <c r="C42">
        <v>107.8</v>
      </c>
      <c r="D42" s="6">
        <v>156.5</v>
      </c>
      <c r="E42">
        <f t="shared" si="9"/>
        <v>290.36587450000002</v>
      </c>
      <c r="F42">
        <v>0</v>
      </c>
      <c r="G42">
        <f t="shared" si="6"/>
        <v>45.176252319109466</v>
      </c>
      <c r="H42">
        <f t="shared" si="10"/>
        <v>90.356665100000043</v>
      </c>
      <c r="I42" s="1">
        <v>44084</v>
      </c>
      <c r="J42" s="4">
        <f t="shared" ca="1" si="12"/>
        <v>128</v>
      </c>
      <c r="K42" s="4">
        <f t="shared" ca="1" si="11"/>
        <v>0.35044490075290896</v>
      </c>
      <c r="L42">
        <f t="shared" ca="1" si="8"/>
        <v>128.91114187152135</v>
      </c>
      <c r="M42">
        <f>E42/E2*100</f>
        <v>0.36171497138369685</v>
      </c>
      <c r="N42" t="s">
        <v>9</v>
      </c>
      <c r="O42" s="6">
        <v>0.69</v>
      </c>
    </row>
    <row r="43" spans="1:16" x14ac:dyDescent="0.2">
      <c r="A43" t="s">
        <v>14</v>
      </c>
      <c r="B43">
        <v>12.977095</v>
      </c>
      <c r="C43">
        <v>55.72</v>
      </c>
      <c r="D43" s="6">
        <v>105.16</v>
      </c>
      <c r="E43">
        <f t="shared" si="9"/>
        <v>1364.6713101999999</v>
      </c>
      <c r="F43">
        <v>2.85</v>
      </c>
      <c r="G43">
        <f t="shared" si="6"/>
        <v>89.123506315070983</v>
      </c>
      <c r="H43">
        <f t="shared" si="10"/>
        <v>644.43757679999987</v>
      </c>
      <c r="I43" s="1">
        <v>44084</v>
      </c>
      <c r="J43" s="4">
        <f t="shared" ca="1" si="12"/>
        <v>128</v>
      </c>
      <c r="K43" s="4">
        <f t="shared" ca="1" si="11"/>
        <v>0.35044490075290896</v>
      </c>
      <c r="L43">
        <f t="shared" ca="1" si="8"/>
        <v>254.31531782484123</v>
      </c>
      <c r="M43">
        <f>E43/E2*100</f>
        <v>1.7000001972240886</v>
      </c>
      <c r="N43" t="s">
        <v>9</v>
      </c>
      <c r="O43" s="6">
        <v>2.06</v>
      </c>
    </row>
    <row r="44" spans="1:16" x14ac:dyDescent="0.2">
      <c r="A44" t="s">
        <v>17</v>
      </c>
      <c r="B44">
        <v>0.97524</v>
      </c>
      <c r="C44">
        <v>264.25</v>
      </c>
      <c r="D44" s="6">
        <v>322.52</v>
      </c>
      <c r="E44">
        <f t="shared" si="9"/>
        <v>314.5344048</v>
      </c>
      <c r="F44">
        <v>0.93</v>
      </c>
      <c r="G44">
        <f t="shared" si="6"/>
        <v>22.411962693936676</v>
      </c>
      <c r="H44">
        <f t="shared" si="10"/>
        <v>57.757234799999985</v>
      </c>
      <c r="I44" s="1">
        <v>44084</v>
      </c>
      <c r="J44" s="4">
        <f t="shared" ca="1" si="12"/>
        <v>128</v>
      </c>
      <c r="K44" s="4">
        <f t="shared" ca="1" si="11"/>
        <v>0.35044490075290896</v>
      </c>
      <c r="L44">
        <f t="shared" ca="1" si="8"/>
        <v>63.952885734065397</v>
      </c>
      <c r="M44">
        <f>E44/E2*100</f>
        <v>0.39182222576027992</v>
      </c>
      <c r="N44" t="s">
        <v>9</v>
      </c>
      <c r="O44" s="6">
        <v>0.92</v>
      </c>
    </row>
    <row r="45" spans="1:16" x14ac:dyDescent="0.2">
      <c r="A45" t="s">
        <v>18</v>
      </c>
      <c r="B45">
        <v>1.383141</v>
      </c>
      <c r="C45">
        <v>361.5</v>
      </c>
      <c r="D45" s="6">
        <v>448.18</v>
      </c>
      <c r="E45">
        <f t="shared" si="9"/>
        <v>619.89613338000004</v>
      </c>
      <c r="F45">
        <v>4.5</v>
      </c>
      <c r="G45">
        <f t="shared" si="6"/>
        <v>24.877860137576512</v>
      </c>
      <c r="H45">
        <f t="shared" si="10"/>
        <v>124.39066188000004</v>
      </c>
      <c r="I45" s="1">
        <v>44084</v>
      </c>
      <c r="J45" s="4">
        <f t="shared" ca="1" si="12"/>
        <v>128</v>
      </c>
      <c r="K45" s="4">
        <f t="shared" ca="1" si="11"/>
        <v>0.35044490075290896</v>
      </c>
      <c r="L45">
        <f t="shared" ca="1" si="8"/>
        <v>70.989362619139229</v>
      </c>
      <c r="M45">
        <f>E45/E2*100</f>
        <v>0.77221785284692956</v>
      </c>
      <c r="N45" t="s">
        <v>9</v>
      </c>
      <c r="O45" s="6">
        <v>1.32</v>
      </c>
    </row>
    <row r="46" spans="1:16" x14ac:dyDescent="0.2">
      <c r="A46" t="s">
        <v>60</v>
      </c>
      <c r="B46">
        <v>0.532883</v>
      </c>
      <c r="C46">
        <v>281.49</v>
      </c>
      <c r="D46" s="6">
        <v>280</v>
      </c>
      <c r="E46">
        <f t="shared" si="9"/>
        <v>149.20724000000001</v>
      </c>
      <c r="F46">
        <v>0</v>
      </c>
      <c r="G46">
        <f t="shared" si="6"/>
        <v>-0.52932608618423715</v>
      </c>
      <c r="H46">
        <f t="shared" si="10"/>
        <v>-0.79399566999998683</v>
      </c>
      <c r="I46" s="1">
        <v>44089</v>
      </c>
      <c r="J46" s="4">
        <f t="shared" ca="1" si="12"/>
        <v>123</v>
      </c>
      <c r="K46" s="4">
        <f t="shared" ca="1" si="11"/>
        <v>0.33675564681724846</v>
      </c>
      <c r="L46">
        <f t="shared" ca="1" si="8"/>
        <v>-1.5718402681202652</v>
      </c>
      <c r="M46">
        <f>E46/E2*100</f>
        <v>0.18587064557698357</v>
      </c>
      <c r="N46" t="s">
        <v>9</v>
      </c>
      <c r="O46" s="6">
        <v>1.04</v>
      </c>
    </row>
    <row r="47" spans="1:16" x14ac:dyDescent="0.2">
      <c r="A47" t="s">
        <v>62</v>
      </c>
      <c r="B47">
        <v>1.67743</v>
      </c>
      <c r="C47">
        <v>59.62</v>
      </c>
      <c r="D47" s="6">
        <v>66.02</v>
      </c>
      <c r="E47">
        <f t="shared" si="9"/>
        <v>110.74392859999999</v>
      </c>
      <c r="F47">
        <v>0.75</v>
      </c>
      <c r="G47">
        <f t="shared" si="6"/>
        <v>11.484589981835585</v>
      </c>
      <c r="H47">
        <f t="shared" si="10"/>
        <v>11.485551999999998</v>
      </c>
      <c r="I47" s="1">
        <v>44089</v>
      </c>
      <c r="J47" s="4">
        <f t="shared" ca="1" si="12"/>
        <v>123</v>
      </c>
      <c r="K47" s="4">
        <f t="shared" ca="1" si="11"/>
        <v>0.33675564681724846</v>
      </c>
      <c r="L47">
        <f t="shared" ca="1" si="8"/>
        <v>34.103630007036159</v>
      </c>
      <c r="M47">
        <f>E47/E2*100</f>
        <v>0.13795607708187196</v>
      </c>
      <c r="N47" t="s">
        <v>9</v>
      </c>
      <c r="O47" s="6">
        <v>1</v>
      </c>
    </row>
    <row r="48" spans="1:16" x14ac:dyDescent="0.2">
      <c r="A48" t="s">
        <v>93</v>
      </c>
      <c r="B48">
        <v>5</v>
      </c>
      <c r="C48">
        <v>46.5</v>
      </c>
      <c r="D48" s="6">
        <v>67.37</v>
      </c>
      <c r="E48">
        <f t="shared" si="9"/>
        <v>336.85</v>
      </c>
      <c r="F48">
        <v>0</v>
      </c>
      <c r="G48">
        <f t="shared" si="6"/>
        <v>44.881720430107535</v>
      </c>
      <c r="H48">
        <f t="shared" si="10"/>
        <v>104.35000000000002</v>
      </c>
      <c r="I48" s="1">
        <v>44151</v>
      </c>
      <c r="J48" s="4">
        <f t="shared" ca="1" si="12"/>
        <v>61</v>
      </c>
      <c r="K48" s="4">
        <f t="shared" ca="1" si="11"/>
        <v>0.16700889801505817</v>
      </c>
      <c r="L48">
        <f t="shared" ca="1" si="8"/>
        <v>268.73849814912751</v>
      </c>
      <c r="M48">
        <f>E48/E2*100</f>
        <v>0.41962123930854101</v>
      </c>
      <c r="N48" t="s">
        <v>9</v>
      </c>
      <c r="O48" s="6">
        <v>1.25</v>
      </c>
    </row>
    <row r="49" spans="1:15" x14ac:dyDescent="0.2">
      <c r="A49" t="s">
        <v>22</v>
      </c>
      <c r="B49">
        <v>4.5094200000000004</v>
      </c>
      <c r="C49">
        <v>110.88</v>
      </c>
      <c r="D49" s="6">
        <v>134.21</v>
      </c>
      <c r="E49">
        <f t="shared" si="9"/>
        <v>605.20925820000014</v>
      </c>
      <c r="F49">
        <v>1.8</v>
      </c>
      <c r="G49">
        <f t="shared" si="6"/>
        <v>21.400761558281818</v>
      </c>
      <c r="H49">
        <f t="shared" si="10"/>
        <v>107.00476860000013</v>
      </c>
      <c r="I49" s="1">
        <v>44084</v>
      </c>
      <c r="J49" s="4">
        <f t="shared" ca="1" si="12"/>
        <v>128</v>
      </c>
      <c r="K49" s="4">
        <f t="shared" ca="1" si="11"/>
        <v>0.35044490075290896</v>
      </c>
      <c r="L49">
        <f t="shared" ca="1" si="8"/>
        <v>61.067407493456514</v>
      </c>
      <c r="M49">
        <f>E49/E2*100</f>
        <v>0.7539220987587556</v>
      </c>
      <c r="N49" t="s">
        <v>9</v>
      </c>
      <c r="O49" s="6">
        <v>1.54</v>
      </c>
    </row>
    <row r="50" spans="1:15" x14ac:dyDescent="0.2">
      <c r="A50" t="s">
        <v>23</v>
      </c>
      <c r="B50">
        <v>2.0046900000000001</v>
      </c>
      <c r="C50">
        <v>172.81</v>
      </c>
      <c r="D50" s="6">
        <v>220.06</v>
      </c>
      <c r="E50">
        <f t="shared" si="9"/>
        <v>441.15208140000004</v>
      </c>
      <c r="F50">
        <v>0</v>
      </c>
      <c r="G50">
        <f t="shared" si="6"/>
        <v>27.34216769862855</v>
      </c>
      <c r="H50">
        <f t="shared" si="10"/>
        <v>94.721602500000017</v>
      </c>
      <c r="I50" s="1">
        <v>44084</v>
      </c>
      <c r="J50" s="4">
        <f t="shared" ca="1" si="12"/>
        <v>128</v>
      </c>
      <c r="K50" s="4">
        <f t="shared" ca="1" si="11"/>
        <v>0.35044490075290896</v>
      </c>
      <c r="L50">
        <f t="shared" ca="1" si="8"/>
        <v>78.021302749406857</v>
      </c>
      <c r="M50">
        <f>E50/E2*100</f>
        <v>0.54955256975095845</v>
      </c>
      <c r="N50" t="s">
        <v>9</v>
      </c>
      <c r="O50" s="6">
        <v>0.95</v>
      </c>
    </row>
    <row r="51" spans="1:15" x14ac:dyDescent="0.2">
      <c r="A51" t="s">
        <v>24</v>
      </c>
      <c r="B51">
        <v>8.7938770000000002</v>
      </c>
      <c r="C51">
        <v>56.86</v>
      </c>
      <c r="D51" s="6">
        <v>64.12</v>
      </c>
      <c r="E51">
        <f t="shared" si="9"/>
        <v>563.86339324000005</v>
      </c>
      <c r="F51">
        <v>0</v>
      </c>
      <c r="G51">
        <f t="shared" si="6"/>
        <v>12.768202602884287</v>
      </c>
      <c r="H51">
        <f t="shared" si="10"/>
        <v>63.843547020000074</v>
      </c>
      <c r="I51" s="1">
        <v>44084</v>
      </c>
      <c r="J51" s="4">
        <f t="shared" ca="1" si="12"/>
        <v>128</v>
      </c>
      <c r="K51" s="4">
        <f t="shared" ca="1" si="11"/>
        <v>0.35044490075290896</v>
      </c>
      <c r="L51">
        <f t="shared" ca="1" si="8"/>
        <v>36.434265630495986</v>
      </c>
      <c r="M51">
        <f>E51/E2*100</f>
        <v>0.70241667172951761</v>
      </c>
      <c r="N51" t="s">
        <v>9</v>
      </c>
      <c r="O51" s="6">
        <v>1.02</v>
      </c>
    </row>
    <row r="52" spans="1:15" x14ac:dyDescent="0.2">
      <c r="A52" t="s">
        <v>25</v>
      </c>
      <c r="B52">
        <v>3.7509939999999999</v>
      </c>
      <c r="C52">
        <v>66.650000000000006</v>
      </c>
      <c r="D52" s="6">
        <v>79.63</v>
      </c>
      <c r="E52">
        <f t="shared" si="9"/>
        <v>298.69165221999998</v>
      </c>
      <c r="F52">
        <v>0.83</v>
      </c>
      <c r="G52">
        <f t="shared" si="6"/>
        <v>19.806863737121187</v>
      </c>
      <c r="H52">
        <f t="shared" si="10"/>
        <v>49.51790211999996</v>
      </c>
      <c r="I52" s="1">
        <v>44084</v>
      </c>
      <c r="J52" s="4">
        <f t="shared" ca="1" si="12"/>
        <v>128</v>
      </c>
      <c r="K52" s="4">
        <f t="shared" ca="1" si="11"/>
        <v>0.35044490075290896</v>
      </c>
      <c r="L52">
        <f t="shared" ca="1" si="8"/>
        <v>56.519195156121199</v>
      </c>
      <c r="M52">
        <f>E52/E2*100</f>
        <v>0.3720865705081553</v>
      </c>
      <c r="N52" t="s">
        <v>9</v>
      </c>
      <c r="O52" s="6">
        <v>1.83</v>
      </c>
    </row>
    <row r="53" spans="1:15" x14ac:dyDescent="0.2">
      <c r="A53" t="s">
        <v>26</v>
      </c>
      <c r="B53">
        <v>2.8274509999999999</v>
      </c>
      <c r="C53">
        <v>110.66</v>
      </c>
      <c r="D53" s="6">
        <v>124.67</v>
      </c>
      <c r="E53">
        <f t="shared" si="9"/>
        <v>352.49831617000001</v>
      </c>
      <c r="F53">
        <v>1.58</v>
      </c>
      <c r="G53">
        <f t="shared" si="6"/>
        <v>13.165377921859802</v>
      </c>
      <c r="H53">
        <f t="shared" si="10"/>
        <v>41.192588510000022</v>
      </c>
      <c r="I53" s="1">
        <v>44084</v>
      </c>
      <c r="J53" s="4">
        <f t="shared" ca="1" si="12"/>
        <v>128</v>
      </c>
      <c r="K53" s="4">
        <f t="shared" ca="1" si="11"/>
        <v>0.35044490075290896</v>
      </c>
      <c r="L53">
        <f t="shared" ca="1" si="8"/>
        <v>37.567611609056975</v>
      </c>
      <c r="M53">
        <f>E53/E2*100</f>
        <v>0.43911468097203299</v>
      </c>
      <c r="N53" t="s">
        <v>9</v>
      </c>
      <c r="O53" s="6">
        <v>0.44</v>
      </c>
    </row>
    <row r="54" spans="1:15" x14ac:dyDescent="0.2">
      <c r="A54" t="s">
        <v>69</v>
      </c>
      <c r="B54">
        <v>3.033128</v>
      </c>
      <c r="C54">
        <v>82.42</v>
      </c>
      <c r="D54" s="6">
        <v>119.19</v>
      </c>
      <c r="E54">
        <f t="shared" si="9"/>
        <v>361.51852631999998</v>
      </c>
      <c r="F54">
        <v>0</v>
      </c>
      <c r="G54">
        <f t="shared" si="6"/>
        <v>44.612958019898073</v>
      </c>
      <c r="H54">
        <f t="shared" si="10"/>
        <v>111.52811655999997</v>
      </c>
      <c r="I54" s="1">
        <v>44105</v>
      </c>
      <c r="J54" s="4">
        <f t="shared" ca="1" si="12"/>
        <v>107</v>
      </c>
      <c r="K54" s="4">
        <f t="shared" ca="1" si="11"/>
        <v>0.29295003422313481</v>
      </c>
      <c r="L54">
        <f t="shared" ca="1" si="8"/>
        <v>152.28862539035302</v>
      </c>
      <c r="M54">
        <f>E54/E2*100</f>
        <v>0.4503513494059545</v>
      </c>
      <c r="N54" t="s">
        <v>9</v>
      </c>
      <c r="O54" s="6">
        <v>0.79</v>
      </c>
    </row>
    <row r="55" spans="1:15" x14ac:dyDescent="0.2">
      <c r="A55" t="s">
        <v>27</v>
      </c>
      <c r="B55">
        <v>8.0308740000000007</v>
      </c>
      <c r="C55">
        <v>31.13</v>
      </c>
      <c r="D55" s="6">
        <v>61.07</v>
      </c>
      <c r="E55">
        <f t="shared" si="9"/>
        <v>490.44547518000007</v>
      </c>
      <c r="F55">
        <v>3.01</v>
      </c>
      <c r="G55">
        <f t="shared" si="6"/>
        <v>97.381315578028961</v>
      </c>
      <c r="H55">
        <f t="shared" si="10"/>
        <v>243.45436756000004</v>
      </c>
      <c r="I55" s="1">
        <v>44084</v>
      </c>
      <c r="J55" s="4">
        <f t="shared" ca="1" si="12"/>
        <v>128</v>
      </c>
      <c r="K55" s="4">
        <f t="shared" ca="1" si="11"/>
        <v>0.35044490075290896</v>
      </c>
      <c r="L55">
        <f t="shared" ca="1" si="8"/>
        <v>277.87910558496156</v>
      </c>
      <c r="M55">
        <f>E55/E2*100</f>
        <v>0.61095840317143502</v>
      </c>
      <c r="N55" t="s">
        <v>9</v>
      </c>
      <c r="O55" s="6">
        <v>0.56999999999999995</v>
      </c>
    </row>
    <row r="56" spans="1:15" x14ac:dyDescent="0.2">
      <c r="A56" t="s">
        <v>29</v>
      </c>
      <c r="B56">
        <v>2.0623649999999998</v>
      </c>
      <c r="C56">
        <v>121.22</v>
      </c>
      <c r="D56" s="6">
        <v>192.57</v>
      </c>
      <c r="E56">
        <f t="shared" si="9"/>
        <v>397.14962804999993</v>
      </c>
      <c r="F56">
        <v>0</v>
      </c>
      <c r="G56">
        <f t="shared" si="6"/>
        <v>58.859924104933171</v>
      </c>
      <c r="H56">
        <f t="shared" si="10"/>
        <v>147.14974274999997</v>
      </c>
      <c r="I56" s="1">
        <v>44084</v>
      </c>
      <c r="J56" s="4">
        <f t="shared" ca="1" si="12"/>
        <v>128</v>
      </c>
      <c r="K56" s="4">
        <f t="shared" ca="1" si="11"/>
        <v>0.35044490075290896</v>
      </c>
      <c r="L56">
        <f t="shared" ca="1" si="8"/>
        <v>167.95771311974096</v>
      </c>
      <c r="M56">
        <f>E56/E2*100</f>
        <v>0.49473777382593748</v>
      </c>
      <c r="N56" t="s">
        <v>9</v>
      </c>
      <c r="O56" s="6">
        <v>1.64</v>
      </c>
    </row>
    <row r="57" spans="1:15" x14ac:dyDescent="0.2">
      <c r="A57" t="s">
        <v>30</v>
      </c>
      <c r="B57">
        <v>3.369955</v>
      </c>
      <c r="C57">
        <v>148.37</v>
      </c>
      <c r="D57" s="6">
        <v>128.56</v>
      </c>
      <c r="E57">
        <f t="shared" si="9"/>
        <v>433.24141480000003</v>
      </c>
      <c r="F57">
        <v>1.18</v>
      </c>
      <c r="G57">
        <f t="shared" si="6"/>
        <v>-13.115755851191865</v>
      </c>
      <c r="H57">
        <f t="shared" si="10"/>
        <v>-65.578808549999962</v>
      </c>
      <c r="I57" s="1">
        <v>44084</v>
      </c>
      <c r="J57" s="4">
        <f t="shared" ca="1" si="12"/>
        <v>128</v>
      </c>
      <c r="K57" s="4">
        <f t="shared" ca="1" si="11"/>
        <v>0.35044490075290896</v>
      </c>
      <c r="L57">
        <f t="shared" ca="1" si="8"/>
        <v>-37.426014255061162</v>
      </c>
      <c r="M57">
        <f>E57/E2*100</f>
        <v>0.53969808341446246</v>
      </c>
      <c r="N57" t="s">
        <v>9</v>
      </c>
      <c r="O57" s="6">
        <v>1.31</v>
      </c>
    </row>
    <row r="58" spans="1:15" x14ac:dyDescent="0.2">
      <c r="A58" t="s">
        <v>36</v>
      </c>
      <c r="B58">
        <v>5.1414609999999996</v>
      </c>
      <c r="C58">
        <v>97.25</v>
      </c>
      <c r="D58" s="6">
        <v>106.56</v>
      </c>
      <c r="E58">
        <f t="shared" si="9"/>
        <v>547.87408415999994</v>
      </c>
      <c r="F58">
        <v>0</v>
      </c>
      <c r="G58">
        <f t="shared" si="6"/>
        <v>9.5732647814910052</v>
      </c>
      <c r="H58">
        <f t="shared" si="10"/>
        <v>47.867001909999999</v>
      </c>
      <c r="I58" s="1">
        <v>44084</v>
      </c>
      <c r="J58" s="4">
        <f t="shared" ca="1" si="12"/>
        <v>128</v>
      </c>
      <c r="K58" s="4">
        <f t="shared" ca="1" si="11"/>
        <v>0.35044490075290896</v>
      </c>
      <c r="L58">
        <f t="shared" ca="1" si="8"/>
        <v>27.317460636246796</v>
      </c>
      <c r="M58">
        <f>E58/E2*100</f>
        <v>0.68249844791524727</v>
      </c>
      <c r="N58" t="s">
        <v>9</v>
      </c>
      <c r="O58" s="6">
        <v>1.31</v>
      </c>
    </row>
    <row r="59" spans="1:15" x14ac:dyDescent="0.2">
      <c r="A59" t="s">
        <v>61</v>
      </c>
      <c r="B59">
        <f>3.756681+0.174776</f>
        <v>3.931457</v>
      </c>
      <c r="C59">
        <f>(3.756681*66.55+0.174776*64.43)/B59</f>
        <v>66.455753739644095</v>
      </c>
      <c r="D59" s="6">
        <v>62.3</v>
      </c>
      <c r="E59">
        <f t="shared" si="9"/>
        <v>244.92977109999998</v>
      </c>
      <c r="F59">
        <v>2.67</v>
      </c>
      <c r="G59">
        <f t="shared" si="6"/>
        <v>-5.2314750989337115</v>
      </c>
      <c r="H59">
        <f t="shared" si="10"/>
        <v>-13.668167129999988</v>
      </c>
      <c r="I59" s="1">
        <v>44084</v>
      </c>
      <c r="J59" s="4">
        <f t="shared" ca="1" si="12"/>
        <v>128</v>
      </c>
      <c r="K59" s="4">
        <f t="shared" ca="1" si="11"/>
        <v>0.35044490075290896</v>
      </c>
      <c r="L59">
        <f t="shared" ca="1" si="8"/>
        <v>-14.928095936605766</v>
      </c>
      <c r="M59">
        <f>E59/E2*100</f>
        <v>0.30511424697206252</v>
      </c>
      <c r="N59" t="s">
        <v>9</v>
      </c>
      <c r="O59" s="6">
        <v>0.69</v>
      </c>
    </row>
    <row r="60" spans="1:15" x14ac:dyDescent="0.2">
      <c r="A60" t="s">
        <v>33</v>
      </c>
      <c r="B60">
        <v>10</v>
      </c>
      <c r="C60">
        <v>30.74</v>
      </c>
      <c r="D60" s="6">
        <v>51.3</v>
      </c>
      <c r="E60">
        <f t="shared" si="9"/>
        <v>513</v>
      </c>
      <c r="F60">
        <f>3.8*17</f>
        <v>64.599999999999994</v>
      </c>
      <c r="G60">
        <f t="shared" si="6"/>
        <v>87.898503578399485</v>
      </c>
      <c r="H60">
        <f t="shared" si="10"/>
        <v>270.20000000000005</v>
      </c>
      <c r="I60" s="2">
        <v>42437</v>
      </c>
      <c r="J60" s="4">
        <f t="shared" ca="1" si="12"/>
        <v>1775</v>
      </c>
      <c r="K60" s="4">
        <f t="shared" ca="1" si="11"/>
        <v>4.85968514715948</v>
      </c>
      <c r="L60">
        <f t="shared" ca="1" si="8"/>
        <v>18.087283623667837</v>
      </c>
      <c r="M60">
        <f>E60/E2*100</f>
        <v>0.63905505645029392</v>
      </c>
      <c r="N60" t="s">
        <v>9</v>
      </c>
      <c r="O60" s="6">
        <v>0.87</v>
      </c>
    </row>
    <row r="61" spans="1:15" x14ac:dyDescent="0.2">
      <c r="A61" t="s">
        <v>37</v>
      </c>
      <c r="B61">
        <v>2.9366859999999999</v>
      </c>
      <c r="C61">
        <v>170.26</v>
      </c>
      <c r="D61" s="6">
        <v>192.96</v>
      </c>
      <c r="E61">
        <f t="shared" si="9"/>
        <v>566.66293055999995</v>
      </c>
      <c r="F61">
        <v>0.56999999999999995</v>
      </c>
      <c r="G61">
        <f t="shared" si="6"/>
        <v>13.446550181208639</v>
      </c>
      <c r="H61">
        <f t="shared" si="10"/>
        <v>67.232772199999999</v>
      </c>
      <c r="I61" s="1">
        <v>44084</v>
      </c>
      <c r="J61" s="4">
        <f t="shared" ca="1" si="12"/>
        <v>128</v>
      </c>
      <c r="K61" s="4">
        <f t="shared" ca="1" si="11"/>
        <v>0.35044490075290896</v>
      </c>
      <c r="L61">
        <f t="shared" ca="1" si="8"/>
        <v>38.369941044425431</v>
      </c>
      <c r="M61">
        <f>E61/E2*100</f>
        <v>0.70590411516044793</v>
      </c>
      <c r="N61" t="s">
        <v>9</v>
      </c>
      <c r="O61" s="6">
        <v>1.67</v>
      </c>
    </row>
    <row r="62" spans="1:15" x14ac:dyDescent="0.2">
      <c r="A62" t="s">
        <v>38</v>
      </c>
      <c r="B62">
        <v>2.9477410000000002</v>
      </c>
      <c r="C62">
        <v>135.69999999999999</v>
      </c>
      <c r="D62" s="6">
        <v>167.28</v>
      </c>
      <c r="E62">
        <f t="shared" si="9"/>
        <v>493.09811448000005</v>
      </c>
      <c r="F62">
        <v>0</v>
      </c>
      <c r="G62">
        <f t="shared" ref="G62:G78" si="13">(D62+F62/B62-C62)/C62*100</f>
        <v>23.271923360353732</v>
      </c>
      <c r="H62">
        <f t="shared" si="10"/>
        <v>93.089660780000088</v>
      </c>
      <c r="I62" s="1">
        <v>44084</v>
      </c>
      <c r="J62" s="4">
        <f t="shared" ca="1" si="12"/>
        <v>128</v>
      </c>
      <c r="K62" s="4">
        <f t="shared" ca="1" si="11"/>
        <v>0.35044490075290896</v>
      </c>
      <c r="L62">
        <f t="shared" ref="L62:L78" ca="1" si="14">G62/K62</f>
        <v>66.406796932571879</v>
      </c>
      <c r="M62">
        <f>E62/E2*100</f>
        <v>0.61426285260146185</v>
      </c>
      <c r="N62" t="s">
        <v>9</v>
      </c>
      <c r="O62" s="6">
        <v>1.27</v>
      </c>
    </row>
    <row r="63" spans="1:15" x14ac:dyDescent="0.2">
      <c r="A63" t="s">
        <v>70</v>
      </c>
      <c r="B63">
        <v>6.9906100000000002</v>
      </c>
      <c r="C63">
        <v>70.22</v>
      </c>
      <c r="D63" s="6">
        <v>76.56</v>
      </c>
      <c r="E63">
        <f t="shared" ref="E63:E78" si="15">B63*D63</f>
        <v>535.20110160000002</v>
      </c>
      <c r="F63">
        <v>0</v>
      </c>
      <c r="G63">
        <f t="shared" si="13"/>
        <v>9.0287667331244705</v>
      </c>
      <c r="H63">
        <f t="shared" ref="H63:H78" si="16">(E63-C63*B63)+F63</f>
        <v>44.320467399999984</v>
      </c>
      <c r="I63" s="1">
        <v>44140</v>
      </c>
      <c r="J63" s="4">
        <f t="shared" ca="1" si="12"/>
        <v>72</v>
      </c>
      <c r="K63" s="4">
        <f t="shared" ref="K63:K78" ca="1" si="17">(TODAY()-I63)/365.25</f>
        <v>0.1971252566735113</v>
      </c>
      <c r="L63">
        <f t="shared" ca="1" si="14"/>
        <v>45.802181239912677</v>
      </c>
      <c r="M63">
        <f>E63/E2*100</f>
        <v>0.66671144287572615</v>
      </c>
      <c r="N63" t="s">
        <v>9</v>
      </c>
      <c r="O63" s="6">
        <v>0.61</v>
      </c>
    </row>
    <row r="64" spans="1:15" x14ac:dyDescent="0.2">
      <c r="A64" t="s">
        <v>39</v>
      </c>
      <c r="B64">
        <v>62.878343000000001</v>
      </c>
      <c r="C64">
        <v>9.84</v>
      </c>
      <c r="D64" s="6">
        <v>12.65</v>
      </c>
      <c r="E64">
        <f t="shared" si="15"/>
        <v>795.41103895000003</v>
      </c>
      <c r="F64">
        <v>0</v>
      </c>
      <c r="G64">
        <f t="shared" si="13"/>
        <v>28.556910569105696</v>
      </c>
      <c r="H64">
        <f t="shared" si="16"/>
        <v>176.68814383000006</v>
      </c>
      <c r="I64" s="1">
        <v>44099</v>
      </c>
      <c r="J64" s="4">
        <f t="shared" ca="1" si="12"/>
        <v>113</v>
      </c>
      <c r="K64" s="4">
        <f t="shared" ca="1" si="17"/>
        <v>0.30937713894592744</v>
      </c>
      <c r="L64">
        <f t="shared" ca="1" si="14"/>
        <v>92.304527304122615</v>
      </c>
      <c r="M64">
        <f>E64/E2*100</f>
        <v>0.99086051929313701</v>
      </c>
      <c r="N64" t="s">
        <v>9</v>
      </c>
      <c r="O64" s="6">
        <v>0.68</v>
      </c>
    </row>
    <row r="65" spans="1:15" x14ac:dyDescent="0.2">
      <c r="A65" t="s">
        <v>40</v>
      </c>
      <c r="B65">
        <v>10.088991</v>
      </c>
      <c r="C65">
        <v>49.56</v>
      </c>
      <c r="D65" s="6">
        <v>58.85</v>
      </c>
      <c r="E65">
        <f t="shared" si="15"/>
        <v>593.73712035000005</v>
      </c>
      <c r="F65">
        <v>3.33</v>
      </c>
      <c r="G65">
        <f t="shared" si="13"/>
        <v>19.410941764895469</v>
      </c>
      <c r="H65">
        <f t="shared" si="16"/>
        <v>97.056726390000009</v>
      </c>
      <c r="I65" s="1">
        <v>44084</v>
      </c>
      <c r="J65" s="4">
        <f t="shared" ca="1" si="12"/>
        <v>128</v>
      </c>
      <c r="K65" s="4">
        <f t="shared" ca="1" si="17"/>
        <v>0.35044490075290896</v>
      </c>
      <c r="L65">
        <f t="shared" ca="1" si="14"/>
        <v>55.389425622094301</v>
      </c>
      <c r="M65">
        <f>E65/E2*100</f>
        <v>0.73963101162164568</v>
      </c>
      <c r="N65" t="s">
        <v>9</v>
      </c>
      <c r="O65" s="6">
        <v>1.65</v>
      </c>
    </row>
    <row r="66" spans="1:15" x14ac:dyDescent="0.2">
      <c r="A66" t="s">
        <v>71</v>
      </c>
      <c r="B66">
        <v>4.4642910000000002</v>
      </c>
      <c r="C66">
        <v>89.6</v>
      </c>
      <c r="D66" s="6">
        <v>105.92</v>
      </c>
      <c r="E66">
        <f t="shared" si="15"/>
        <v>472.85770272000002</v>
      </c>
      <c r="F66">
        <v>1.52</v>
      </c>
      <c r="G66">
        <f t="shared" si="13"/>
        <v>18.594285264366256</v>
      </c>
      <c r="H66">
        <f t="shared" si="16"/>
        <v>74.377229119999996</v>
      </c>
      <c r="I66" s="1">
        <v>44105</v>
      </c>
      <c r="J66" s="4">
        <f t="shared" ca="1" si="12"/>
        <v>107</v>
      </c>
      <c r="K66" s="4">
        <f t="shared" ca="1" si="17"/>
        <v>0.29295003422313481</v>
      </c>
      <c r="L66">
        <f t="shared" ca="1" si="14"/>
        <v>63.472548530932485</v>
      </c>
      <c r="M66">
        <f>E66/E2*100</f>
        <v>0.58904893938535263</v>
      </c>
      <c r="N66" t="s">
        <v>9</v>
      </c>
      <c r="O66" s="6">
        <v>1.55</v>
      </c>
    </row>
    <row r="67" spans="1:15" x14ac:dyDescent="0.2">
      <c r="A67" t="s">
        <v>72</v>
      </c>
      <c r="B67">
        <v>1.0626009999999999</v>
      </c>
      <c r="C67">
        <v>188.22</v>
      </c>
      <c r="D67" s="6">
        <v>219.88</v>
      </c>
      <c r="E67">
        <f t="shared" si="15"/>
        <v>233.64470787999997</v>
      </c>
      <c r="F67">
        <v>0</v>
      </c>
      <c r="G67">
        <f t="shared" si="13"/>
        <v>16.820741685261925</v>
      </c>
      <c r="H67">
        <f t="shared" si="16"/>
        <v>33.64194766</v>
      </c>
      <c r="I67" s="1">
        <v>44105</v>
      </c>
      <c r="J67" s="4">
        <f t="shared" ca="1" si="12"/>
        <v>107</v>
      </c>
      <c r="K67" s="4">
        <f t="shared" ca="1" si="17"/>
        <v>0.29295003422313481</v>
      </c>
      <c r="L67">
        <f t="shared" ca="1" si="14"/>
        <v>57.418466360204846</v>
      </c>
      <c r="M67">
        <f>E67/E2*100</f>
        <v>0.29105620269700938</v>
      </c>
      <c r="N67" t="s">
        <v>9</v>
      </c>
      <c r="O67" s="6">
        <v>1.17</v>
      </c>
    </row>
    <row r="68" spans="1:15" x14ac:dyDescent="0.2">
      <c r="A68" t="s">
        <v>73</v>
      </c>
      <c r="B68">
        <v>1.715436</v>
      </c>
      <c r="C68">
        <v>145.74</v>
      </c>
      <c r="D68" s="6">
        <v>186.8</v>
      </c>
      <c r="E68">
        <f t="shared" si="15"/>
        <v>320.44344480000001</v>
      </c>
      <c r="F68">
        <v>1.27</v>
      </c>
      <c r="G68">
        <f t="shared" si="13"/>
        <v>28.681444056193595</v>
      </c>
      <c r="H68">
        <f t="shared" si="16"/>
        <v>71.705802160000005</v>
      </c>
      <c r="I68" s="1">
        <v>44105</v>
      </c>
      <c r="J68" s="4">
        <f t="shared" ca="1" si="12"/>
        <v>107</v>
      </c>
      <c r="K68" s="4">
        <f t="shared" ca="1" si="17"/>
        <v>0.29295003422313481</v>
      </c>
      <c r="L68">
        <f t="shared" ca="1" si="14"/>
        <v>97.905583565651511</v>
      </c>
      <c r="M68">
        <f>E68/E2*100</f>
        <v>0.39918324309120984</v>
      </c>
      <c r="N68" t="s">
        <v>9</v>
      </c>
      <c r="O68" s="6">
        <v>1.61</v>
      </c>
    </row>
    <row r="69" spans="1:15" x14ac:dyDescent="0.2">
      <c r="A69" t="s">
        <v>42</v>
      </c>
      <c r="B69">
        <v>2.6588280000000002</v>
      </c>
      <c r="C69">
        <v>301.47000000000003</v>
      </c>
      <c r="D69" s="6">
        <v>552.98</v>
      </c>
      <c r="E69">
        <f t="shared" si="15"/>
        <v>1470.2787074400001</v>
      </c>
      <c r="F69">
        <v>3.46</v>
      </c>
      <c r="G69">
        <f t="shared" si="13"/>
        <v>83.859530051268521</v>
      </c>
      <c r="H69">
        <f t="shared" si="16"/>
        <v>672.18183027999999</v>
      </c>
      <c r="I69" s="1">
        <v>44084</v>
      </c>
      <c r="J69" s="4">
        <f t="shared" ca="1" si="12"/>
        <v>128</v>
      </c>
      <c r="K69" s="4">
        <f t="shared" ca="1" si="17"/>
        <v>0.35044490075290896</v>
      </c>
      <c r="L69">
        <f t="shared" ca="1" si="14"/>
        <v>239.29447930645179</v>
      </c>
      <c r="M69">
        <f>E69/E2*100</f>
        <v>1.831557587486812</v>
      </c>
      <c r="N69" t="s">
        <v>9</v>
      </c>
      <c r="O69" s="6">
        <v>1.48</v>
      </c>
    </row>
    <row r="70" spans="1:15" x14ac:dyDescent="0.2">
      <c r="A70" t="s">
        <v>44</v>
      </c>
      <c r="B70">
        <v>4.8933299999999997</v>
      </c>
      <c r="C70">
        <v>102.18</v>
      </c>
      <c r="D70" s="6">
        <v>152.34</v>
      </c>
      <c r="E70">
        <f t="shared" si="15"/>
        <v>745.44989220000002</v>
      </c>
      <c r="F70">
        <v>1.8</v>
      </c>
      <c r="G70">
        <f t="shared" si="13"/>
        <v>49.449841125485975</v>
      </c>
      <c r="H70">
        <f t="shared" si="16"/>
        <v>247.24943280000002</v>
      </c>
      <c r="I70" s="1">
        <v>44084</v>
      </c>
      <c r="J70" s="4">
        <f t="shared" ca="1" si="12"/>
        <v>128</v>
      </c>
      <c r="K70" s="4">
        <f t="shared" ca="1" si="17"/>
        <v>0.35044490075290896</v>
      </c>
      <c r="L70">
        <f t="shared" ca="1" si="14"/>
        <v>141.10589430534182</v>
      </c>
      <c r="M70">
        <f>E70/E2*100</f>
        <v>0.92862285173632841</v>
      </c>
      <c r="N70" t="s">
        <v>9</v>
      </c>
      <c r="O70" s="6">
        <v>1.57</v>
      </c>
    </row>
    <row r="71" spans="1:15" x14ac:dyDescent="0.2">
      <c r="A71" t="s">
        <v>45</v>
      </c>
      <c r="B71">
        <v>11.232438</v>
      </c>
      <c r="C71">
        <v>45.44</v>
      </c>
      <c r="D71" s="6">
        <v>80.92</v>
      </c>
      <c r="E71">
        <f t="shared" si="15"/>
        <v>908.92888296000001</v>
      </c>
      <c r="F71">
        <v>0</v>
      </c>
      <c r="G71">
        <f t="shared" si="13"/>
        <v>78.080985915492974</v>
      </c>
      <c r="H71">
        <f t="shared" si="16"/>
        <v>398.52690024000003</v>
      </c>
      <c r="I71" s="1">
        <v>44084</v>
      </c>
      <c r="J71" s="4">
        <f t="shared" ca="1" si="12"/>
        <v>128</v>
      </c>
      <c r="K71" s="4">
        <f t="shared" ca="1" si="17"/>
        <v>0.35044490075290896</v>
      </c>
      <c r="L71">
        <f t="shared" ca="1" si="14"/>
        <v>222.80531332526414</v>
      </c>
      <c r="M71">
        <f>E71/E2*100</f>
        <v>1.1322721220454297</v>
      </c>
      <c r="N71" t="s">
        <v>9</v>
      </c>
      <c r="O71" s="6">
        <v>1.65</v>
      </c>
    </row>
    <row r="72" spans="1:15" x14ac:dyDescent="0.2">
      <c r="A72" t="s">
        <v>48</v>
      </c>
      <c r="B72">
        <v>10.958327000000001</v>
      </c>
      <c r="C72">
        <v>45.63</v>
      </c>
      <c r="D72" s="6">
        <v>65.39</v>
      </c>
      <c r="E72">
        <f t="shared" si="15"/>
        <v>716.56500253000002</v>
      </c>
      <c r="F72">
        <v>5.26</v>
      </c>
      <c r="G72">
        <f t="shared" si="13"/>
        <v>44.356783426286654</v>
      </c>
      <c r="H72">
        <f t="shared" si="16"/>
        <v>221.79654151999995</v>
      </c>
      <c r="I72" s="1">
        <v>44084</v>
      </c>
      <c r="J72" s="4">
        <f t="shared" ca="1" si="12"/>
        <v>128</v>
      </c>
      <c r="K72" s="4">
        <f t="shared" ca="1" si="17"/>
        <v>0.35044490075290896</v>
      </c>
      <c r="L72">
        <f t="shared" ca="1" si="14"/>
        <v>126.57277458165001</v>
      </c>
      <c r="M72">
        <f>E72/E2*100</f>
        <v>0.89264032776240587</v>
      </c>
      <c r="N72" t="s">
        <v>9</v>
      </c>
      <c r="O72" s="6">
        <v>1.39</v>
      </c>
    </row>
    <row r="73" spans="1:15" x14ac:dyDescent="0.2">
      <c r="A73" t="s">
        <v>50</v>
      </c>
      <c r="B73">
        <v>8.6535130000000002</v>
      </c>
      <c r="C73">
        <v>57.78</v>
      </c>
      <c r="D73" s="6">
        <v>61.6</v>
      </c>
      <c r="E73">
        <f t="shared" si="15"/>
        <v>533.05640080000001</v>
      </c>
      <c r="F73">
        <v>2.08</v>
      </c>
      <c r="G73">
        <f t="shared" si="13"/>
        <v>7.0272841970691644</v>
      </c>
      <c r="H73">
        <f t="shared" si="16"/>
        <v>35.136419659999959</v>
      </c>
      <c r="I73" s="1">
        <v>44084</v>
      </c>
      <c r="J73" s="4">
        <f t="shared" ca="1" si="12"/>
        <v>128</v>
      </c>
      <c r="K73" s="4">
        <f t="shared" ca="1" si="17"/>
        <v>0.35044490075290896</v>
      </c>
      <c r="L73">
        <f t="shared" ca="1" si="14"/>
        <v>20.05246525765244</v>
      </c>
      <c r="M73">
        <f>E73/E2*100</f>
        <v>0.66403974328349802</v>
      </c>
      <c r="N73" t="s">
        <v>9</v>
      </c>
      <c r="O73" s="6">
        <v>1.58</v>
      </c>
    </row>
    <row r="74" spans="1:15" x14ac:dyDescent="0.2">
      <c r="A74" t="s">
        <v>114</v>
      </c>
      <c r="B74">
        <v>1.194124</v>
      </c>
      <c r="C74">
        <v>125.62</v>
      </c>
      <c r="D74" s="6">
        <v>147.46</v>
      </c>
      <c r="E74">
        <f t="shared" si="15"/>
        <v>176.08552503999999</v>
      </c>
      <c r="F74">
        <v>0.08</v>
      </c>
      <c r="G74">
        <f t="shared" si="13"/>
        <v>17.439097848643939</v>
      </c>
      <c r="H74">
        <f t="shared" si="16"/>
        <v>26.159668159999981</v>
      </c>
      <c r="I74" s="1">
        <v>44105</v>
      </c>
      <c r="J74" s="4">
        <f t="shared" ca="1" si="12"/>
        <v>107</v>
      </c>
      <c r="K74" s="4">
        <f t="shared" ca="1" si="17"/>
        <v>0.29295003422313481</v>
      </c>
      <c r="L74">
        <f t="shared" ca="1" si="14"/>
        <v>59.529256908571959</v>
      </c>
      <c r="M74">
        <f>E74/E2*100</f>
        <v>0.21935349930705039</v>
      </c>
      <c r="N74" t="s">
        <v>9</v>
      </c>
      <c r="O74" s="6">
        <v>0.97</v>
      </c>
    </row>
    <row r="75" spans="1:15" x14ac:dyDescent="0.2">
      <c r="A75" t="s">
        <v>51</v>
      </c>
      <c r="B75">
        <v>2.199379</v>
      </c>
      <c r="C75">
        <v>113.67</v>
      </c>
      <c r="D75" s="6">
        <v>160.77000000000001</v>
      </c>
      <c r="E75">
        <f t="shared" si="15"/>
        <v>353.59416183000002</v>
      </c>
      <c r="F75">
        <v>1.43</v>
      </c>
      <c r="G75">
        <f t="shared" si="13"/>
        <v>42.007727218332015</v>
      </c>
      <c r="H75">
        <f t="shared" si="16"/>
        <v>105.02075090000002</v>
      </c>
      <c r="I75" s="1">
        <v>44084</v>
      </c>
      <c r="J75" s="4">
        <f t="shared" ca="1" si="12"/>
        <v>128</v>
      </c>
      <c r="K75" s="4">
        <f t="shared" ca="1" si="17"/>
        <v>0.35044490075290896</v>
      </c>
      <c r="L75">
        <f t="shared" ca="1" si="14"/>
        <v>119.86970598824819</v>
      </c>
      <c r="M75">
        <f>E75/E2*100</f>
        <v>0.44047979931533143</v>
      </c>
      <c r="N75" t="s">
        <v>9</v>
      </c>
      <c r="O75" s="6">
        <v>1.1100000000000001</v>
      </c>
    </row>
    <row r="76" spans="1:15" x14ac:dyDescent="0.2">
      <c r="A76" t="s">
        <v>52</v>
      </c>
      <c r="B76">
        <v>4.0690470000000003</v>
      </c>
      <c r="C76">
        <v>122.88</v>
      </c>
      <c r="D76" s="6">
        <v>184.33</v>
      </c>
      <c r="E76">
        <f t="shared" si="15"/>
        <v>750.04743351000013</v>
      </c>
      <c r="F76">
        <v>0</v>
      </c>
      <c r="G76">
        <f t="shared" si="13"/>
        <v>50.00813802083335</v>
      </c>
      <c r="H76">
        <f t="shared" si="16"/>
        <v>250.04293815000011</v>
      </c>
      <c r="I76" s="1">
        <v>44084</v>
      </c>
      <c r="J76" s="4">
        <f t="shared" ca="1" si="12"/>
        <v>128</v>
      </c>
      <c r="K76" s="4">
        <f t="shared" ca="1" si="17"/>
        <v>0.35044490075290896</v>
      </c>
      <c r="L76">
        <f t="shared" ca="1" si="14"/>
        <v>142.69900321960455</v>
      </c>
      <c r="M76">
        <f>E76/E2*100</f>
        <v>0.9343501071386574</v>
      </c>
      <c r="N76" t="s">
        <v>9</v>
      </c>
      <c r="O76" s="6">
        <v>1.3</v>
      </c>
    </row>
    <row r="77" spans="1:15" x14ac:dyDescent="0.2">
      <c r="A77" t="s">
        <v>137</v>
      </c>
      <c r="B77">
        <v>4.2016929999999997</v>
      </c>
      <c r="C77">
        <v>119</v>
      </c>
      <c r="D77" s="6">
        <v>138</v>
      </c>
      <c r="E77">
        <f t="shared" si="15"/>
        <v>579.83363399999996</v>
      </c>
      <c r="F77">
        <v>0</v>
      </c>
      <c r="G77">
        <f t="shared" si="13"/>
        <v>15.966386554621847</v>
      </c>
      <c r="H77">
        <f t="shared" si="16"/>
        <v>79.832167000000027</v>
      </c>
      <c r="I77" s="1">
        <v>44187</v>
      </c>
      <c r="J77" s="4">
        <f t="shared" ca="1" si="12"/>
        <v>25</v>
      </c>
      <c r="K77" s="4">
        <f t="shared" ca="1" si="17"/>
        <v>6.8446269678302529E-2</v>
      </c>
      <c r="L77">
        <f t="shared" ca="1" si="14"/>
        <v>233.26890756302521</v>
      </c>
      <c r="M77">
        <f>E77/E2*100</f>
        <v>0.72231114173030997</v>
      </c>
      <c r="N77" t="s">
        <v>9</v>
      </c>
      <c r="O77" s="6">
        <v>1.1599999999999999</v>
      </c>
    </row>
    <row r="78" spans="1:15" x14ac:dyDescent="0.2">
      <c r="A78" t="s">
        <v>56</v>
      </c>
      <c r="B78">
        <v>8.5823440000000009</v>
      </c>
      <c r="C78">
        <v>29.13</v>
      </c>
      <c r="D78" s="6">
        <v>45.59</v>
      </c>
      <c r="E78">
        <f t="shared" si="15"/>
        <v>391.26906296000004</v>
      </c>
      <c r="F78">
        <v>2.06</v>
      </c>
      <c r="G78">
        <f t="shared" si="13"/>
        <v>57.329308843465434</v>
      </c>
      <c r="H78">
        <f t="shared" si="16"/>
        <v>143.32538224000004</v>
      </c>
      <c r="I78" s="1">
        <v>44084</v>
      </c>
      <c r="J78" s="4">
        <f t="shared" ca="1" si="12"/>
        <v>128</v>
      </c>
      <c r="K78" s="4">
        <f t="shared" ca="1" si="17"/>
        <v>0.35044490075290896</v>
      </c>
      <c r="L78">
        <f t="shared" ca="1" si="14"/>
        <v>163.59007855527929</v>
      </c>
      <c r="M78">
        <f>E78/E2*100</f>
        <v>0.48741222829855058</v>
      </c>
      <c r="N78" t="s">
        <v>9</v>
      </c>
      <c r="O78" s="6">
        <v>1.1200000000000001</v>
      </c>
    </row>
  </sheetData>
  <sortState xmlns:xlrd2="http://schemas.microsoft.com/office/spreadsheetml/2017/richdata2" ref="A3:N80">
    <sortCondition ref="N3:N8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BA8D-8C2B-194A-9CEA-5E949F6B8226}">
  <dimension ref="A1:X38"/>
  <sheetViews>
    <sheetView workbookViewId="0">
      <pane xSplit="14" ySplit="2" topLeftCell="O3" activePane="bottomRight" state="frozen"/>
      <selection pane="topRight" activeCell="N1" sqref="N1"/>
      <selection pane="bottomLeft" activeCell="A3" sqref="A3"/>
      <selection pane="bottomRight" activeCell="L15" sqref="L15"/>
    </sheetView>
  </sheetViews>
  <sheetFormatPr baseColWidth="10" defaultRowHeight="16" x14ac:dyDescent="0.2"/>
  <sheetData>
    <row r="1" spans="1:24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4" x14ac:dyDescent="0.2">
      <c r="B2">
        <f>SUM(B3:B99993)</f>
        <v>383.64659399999999</v>
      </c>
      <c r="C2">
        <f>AVERAGE(C3:C99993)</f>
        <v>281.88312168737724</v>
      </c>
      <c r="D2">
        <f>AVERAGE(D3:D99993)</f>
        <v>341.73333333333335</v>
      </c>
      <c r="E2">
        <f>SUM(E3:E999993)</f>
        <v>60278.364760400007</v>
      </c>
      <c r="F2">
        <f>SUM(F3:F999993)</f>
        <v>93.84841200000001</v>
      </c>
      <c r="G2">
        <f t="shared" ref="G2" si="0">(D2+F2/B2-C2)/C2*100</f>
        <v>21.319060653584152</v>
      </c>
      <c r="H2">
        <f>SUM(H3:H99993)</f>
        <v>19810.660456074995</v>
      </c>
      <c r="I2" s="2">
        <f>AVERAGE(I3:I99993)</f>
        <v>44029.444444444445</v>
      </c>
      <c r="J2" s="4">
        <f ca="1">AVERAGE(J3:J99993)</f>
        <v>179.08333333333334</v>
      </c>
      <c r="K2">
        <f ca="1">AVERAGE(K3:K9993)</f>
        <v>0.49980987147311595</v>
      </c>
      <c r="L2">
        <f t="shared" ref="L2" ca="1" si="1">G2/K2</f>
        <v>42.654340921177415</v>
      </c>
      <c r="M2">
        <f>SUM(M3:M99993)</f>
        <v>100</v>
      </c>
    </row>
    <row r="3" spans="1:24" x14ac:dyDescent="0.2">
      <c r="A3" t="s">
        <v>0</v>
      </c>
      <c r="B3">
        <v>29</v>
      </c>
      <c r="C3">
        <v>65.040000000000006</v>
      </c>
      <c r="D3" s="6">
        <v>128.78</v>
      </c>
      <c r="E3">
        <f>B3*D3</f>
        <v>3734.62</v>
      </c>
      <c r="F3">
        <f>0.57*4+0.63*4+0.73*4+0.77*4+0.82*2-3.11+1.85</f>
        <v>11.180000000000001</v>
      </c>
      <c r="G3">
        <f>(D3+F3/B3-C3)/C3*100</f>
        <v>98.593968698307663</v>
      </c>
      <c r="H3">
        <f>(E3-C3*B3)+F3</f>
        <v>1859.6399999999999</v>
      </c>
      <c r="I3" s="2">
        <v>43777</v>
      </c>
      <c r="J3" s="4">
        <f ca="1">TODAY()-I3</f>
        <v>435</v>
      </c>
      <c r="K3" s="4">
        <f ca="1">(TODAY()-I3)/365.25</f>
        <v>1.1909650924024642</v>
      </c>
      <c r="L3">
        <f ca="1">G3/K3</f>
        <v>82.784935786337627</v>
      </c>
      <c r="M3">
        <f>E3/E2*100</f>
        <v>6.1956226165801134</v>
      </c>
      <c r="N3" t="s">
        <v>7</v>
      </c>
      <c r="O3" s="6">
        <v>2.85</v>
      </c>
    </row>
    <row r="4" spans="1:24" x14ac:dyDescent="0.2">
      <c r="A4" t="s">
        <v>8</v>
      </c>
      <c r="B4">
        <v>1</v>
      </c>
      <c r="C4">
        <v>440</v>
      </c>
      <c r="D4" s="6">
        <v>462.5</v>
      </c>
      <c r="E4">
        <f>B4*D4</f>
        <v>462.5</v>
      </c>
      <c r="F4">
        <v>0</v>
      </c>
      <c r="G4">
        <f>(D4+F4/B4-C4)/C4*100</f>
        <v>5.1136363636363642</v>
      </c>
      <c r="H4">
        <f>(E4-C4*B4)+F4</f>
        <v>22.5</v>
      </c>
      <c r="I4" s="2">
        <v>44054</v>
      </c>
      <c r="J4" s="4">
        <f ca="1">TODAY()-I4</f>
        <v>158</v>
      </c>
      <c r="K4" s="4">
        <f ca="1">(TODAY()-I4)/365.25</f>
        <v>0.432580424366872</v>
      </c>
      <c r="L4">
        <f ca="1">G4/K4</f>
        <v>11.821238492520139</v>
      </c>
      <c r="M4">
        <f>E4/E2*100</f>
        <v>0.76727363431039908</v>
      </c>
      <c r="N4" t="s">
        <v>7</v>
      </c>
      <c r="O4" s="6">
        <v>2.27</v>
      </c>
    </row>
    <row r="5" spans="1:24" x14ac:dyDescent="0.2">
      <c r="A5" t="s">
        <v>15</v>
      </c>
      <c r="B5">
        <v>54.083357999999997</v>
      </c>
      <c r="C5">
        <f>(12*2.34+5*14.11+5*52.64+10*86.67+10*80.9+7*84.56+1.081549*92.46+0.036672*79.35+3.965137*75.66)/B5</f>
        <v>56.068304951774635</v>
      </c>
      <c r="D5" s="6">
        <v>90.75</v>
      </c>
      <c r="E5">
        <f>B5*D5</f>
        <v>4908.0647384999993</v>
      </c>
      <c r="F5">
        <v>0</v>
      </c>
      <c r="G5">
        <f>(D5+F5/B5-C5)/C5*100</f>
        <v>61.856150418771747</v>
      </c>
      <c r="H5">
        <f>(E5-C5*B5)+F5</f>
        <v>1875.7025293399993</v>
      </c>
      <c r="I5" s="2">
        <v>43602</v>
      </c>
      <c r="J5" s="4">
        <f ca="1">TODAY()-I5</f>
        <v>610</v>
      </c>
      <c r="K5" s="4">
        <f ca="1">(TODAY()-I5)/365.25</f>
        <v>1.6700889801505818</v>
      </c>
      <c r="L5">
        <f ca="1">G5/K5</f>
        <v>37.037637607305541</v>
      </c>
      <c r="M5">
        <f>E5/E2*100</f>
        <v>8.1423322580315958</v>
      </c>
      <c r="N5" t="s">
        <v>7</v>
      </c>
      <c r="O5" s="6">
        <v>2.75</v>
      </c>
    </row>
    <row r="6" spans="1:24" x14ac:dyDescent="0.2">
      <c r="A6" t="s">
        <v>16</v>
      </c>
      <c r="B6">
        <v>1</v>
      </c>
      <c r="C6">
        <f>0.8*3222.05+0.14655*3411.8+0.05345*3414.03</f>
        <v>3260.1191935000006</v>
      </c>
      <c r="D6" s="6">
        <v>3123.02</v>
      </c>
      <c r="E6">
        <f>B6*D6</f>
        <v>3123.02</v>
      </c>
      <c r="F6">
        <v>0</v>
      </c>
      <c r="G6">
        <f>(D6+F6/B6-C6)/C6*100</f>
        <v>-4.2053429755988034</v>
      </c>
      <c r="H6">
        <f>(E6-C6*B6)+F6</f>
        <v>-137.09919350000064</v>
      </c>
      <c r="I6" s="1">
        <v>44050</v>
      </c>
      <c r="J6" s="4">
        <f ca="1">TODAY()-I6</f>
        <v>162</v>
      </c>
      <c r="K6" s="4">
        <f ca="1">(TODAY()-I6)/365.25</f>
        <v>0.44353182751540043</v>
      </c>
      <c r="L6">
        <f ca="1">G6/K6</f>
        <v>-9.4814908755398939</v>
      </c>
      <c r="M6">
        <f>E6/E2*100</f>
        <v>5.1809965522682431</v>
      </c>
      <c r="N6" t="s">
        <v>7</v>
      </c>
      <c r="O6" s="6">
        <v>2.14</v>
      </c>
    </row>
    <row r="7" spans="1:24" x14ac:dyDescent="0.2">
      <c r="A7" t="s">
        <v>135</v>
      </c>
      <c r="B7">
        <v>10.140763</v>
      </c>
      <c r="C7">
        <v>49.4</v>
      </c>
      <c r="D7" s="6">
        <v>52.29</v>
      </c>
      <c r="E7">
        <f>B7*D7</f>
        <v>530.26049726999997</v>
      </c>
      <c r="F7">
        <v>2.06</v>
      </c>
      <c r="G7">
        <f>(D7+F7/B7-C7)/C7*100</f>
        <v>6.2614180828269372</v>
      </c>
      <c r="H7">
        <f>(E7-C7*B7)+F7</f>
        <v>31.366805069999995</v>
      </c>
      <c r="I7" s="1">
        <v>44182</v>
      </c>
      <c r="J7" s="4">
        <f ca="1">TODAY()-I7</f>
        <v>30</v>
      </c>
      <c r="K7" s="4">
        <f ca="1">(TODAY()-I7)/365.25</f>
        <v>8.2135523613963035E-2</v>
      </c>
      <c r="L7">
        <f ca="1">G7/K7</f>
        <v>76.232765158417962</v>
      </c>
      <c r="M7">
        <f>E7/E2*100</f>
        <v>0.87968626783046977</v>
      </c>
      <c r="N7" t="s">
        <v>7</v>
      </c>
      <c r="O7" s="6">
        <v>1</v>
      </c>
    </row>
    <row r="8" spans="1:24" x14ac:dyDescent="0.2">
      <c r="A8" t="s">
        <v>136</v>
      </c>
      <c r="B8">
        <v>5.3003460000000002</v>
      </c>
      <c r="C8">
        <v>96.03</v>
      </c>
      <c r="D8" s="6">
        <v>109.3</v>
      </c>
      <c r="E8">
        <f>B8*D8</f>
        <v>579.32781780000005</v>
      </c>
      <c r="F8">
        <v>4.9400000000000004</v>
      </c>
      <c r="G8">
        <f>(D8+F8/B8-C8)/C8*100</f>
        <v>14.78914362904262</v>
      </c>
      <c r="H8">
        <f>(E8-C8*B8)+F8</f>
        <v>75.275591420000012</v>
      </c>
      <c r="I8" s="1">
        <v>44183</v>
      </c>
      <c r="J8" s="4">
        <f ca="1">TODAY()-I8</f>
        <v>29</v>
      </c>
      <c r="K8" s="4">
        <f ca="1">(TODAY()-I8)/365.25</f>
        <v>7.939767282683094E-2</v>
      </c>
      <c r="L8">
        <f ca="1">G8/K8</f>
        <v>186.26671415544195</v>
      </c>
      <c r="M8">
        <f>E8/E2*100</f>
        <v>0.96108748155787838</v>
      </c>
      <c r="N8" t="s">
        <v>7</v>
      </c>
      <c r="O8" s="6">
        <v>2.37</v>
      </c>
    </row>
    <row r="9" spans="1:24" x14ac:dyDescent="0.2">
      <c r="A9" t="s">
        <v>139</v>
      </c>
      <c r="B9">
        <v>2.6455389999999999</v>
      </c>
      <c r="C9">
        <v>126.22</v>
      </c>
      <c r="D9" s="6">
        <v>145.28</v>
      </c>
      <c r="E9">
        <f>B9*D9</f>
        <v>384.34390592</v>
      </c>
      <c r="F9">
        <v>0</v>
      </c>
      <c r="G9">
        <f>(D9+F9/B9-C9)/C9*100</f>
        <v>15.10061796862621</v>
      </c>
      <c r="H9">
        <f>(E9-C9*B9)+F9</f>
        <v>50.423973340000032</v>
      </c>
      <c r="I9" s="1">
        <v>44197</v>
      </c>
      <c r="J9" s="4">
        <f ca="1">TODAY()-I9</f>
        <v>15</v>
      </c>
      <c r="K9" s="4">
        <f ca="1">(TODAY()-I9)/365.25</f>
        <v>4.1067761806981518E-2</v>
      </c>
      <c r="L9">
        <f ca="1">G9/K9</f>
        <v>367.70004753604826</v>
      </c>
      <c r="M9">
        <f>E9/E2*100</f>
        <v>0.63761501734117298</v>
      </c>
      <c r="O9" s="6" t="s">
        <v>132</v>
      </c>
    </row>
    <row r="10" spans="1:24" x14ac:dyDescent="0.2">
      <c r="A10" t="s">
        <v>123</v>
      </c>
      <c r="B10">
        <v>11.527778</v>
      </c>
      <c r="C10">
        <v>64.09</v>
      </c>
      <c r="D10" s="6">
        <v>88.15</v>
      </c>
      <c r="E10">
        <f>B10*D10</f>
        <v>1016.1736307</v>
      </c>
      <c r="F10">
        <v>7.56</v>
      </c>
      <c r="G10">
        <f>(D10+F10/B10-C10)/C10*100</f>
        <v>38.564217844084261</v>
      </c>
      <c r="H10">
        <f>(E10-C10*B10)+F10</f>
        <v>284.91833867999998</v>
      </c>
      <c r="I10" s="1">
        <v>47398</v>
      </c>
      <c r="J10" s="4">
        <f ca="1">TODAY()-I10</f>
        <v>-3186</v>
      </c>
      <c r="K10" s="4">
        <f ca="1">(TODAY()-I10)/365.25</f>
        <v>-8.7227926078028748</v>
      </c>
      <c r="L10">
        <f ca="1">G10/K10</f>
        <v>-4.4210861793947824</v>
      </c>
      <c r="M10">
        <f>E10/E2*100</f>
        <v>1.6858015885785564</v>
      </c>
      <c r="N10" t="s">
        <v>7</v>
      </c>
      <c r="O10" s="6" t="s">
        <v>132</v>
      </c>
    </row>
    <row r="11" spans="1:24" x14ac:dyDescent="0.2">
      <c r="A11" t="s">
        <v>124</v>
      </c>
      <c r="B11">
        <v>6</v>
      </c>
      <c r="C11">
        <v>117.84</v>
      </c>
      <c r="D11" s="6">
        <v>159.77000000000001</v>
      </c>
      <c r="E11">
        <f>B11*D11</f>
        <v>958.62000000000012</v>
      </c>
      <c r="F11">
        <v>11.37</v>
      </c>
      <c r="G11">
        <f>(D11+F11/B11-C11)/C11*100</f>
        <v>37.19025797691787</v>
      </c>
      <c r="H11">
        <f>(E11-C11*B11)+F11</f>
        <v>262.95000000000016</v>
      </c>
      <c r="I11" s="1">
        <v>44113</v>
      </c>
      <c r="J11" s="4">
        <f ca="1">TODAY()-I11</f>
        <v>99</v>
      </c>
      <c r="K11" s="4">
        <f ca="1">(TODAY()-I11)/365.25</f>
        <v>0.27104722792607805</v>
      </c>
      <c r="L11">
        <f ca="1">G11/K11</f>
        <v>137.2095123845379</v>
      </c>
      <c r="M11">
        <f>E11/E2*100</f>
        <v>1.5903218406975888</v>
      </c>
      <c r="N11" t="s">
        <v>7</v>
      </c>
      <c r="O11" s="6" t="s">
        <v>132</v>
      </c>
    </row>
    <row r="12" spans="1:24" x14ac:dyDescent="0.2">
      <c r="A12" t="s">
        <v>19</v>
      </c>
      <c r="B12">
        <v>13.360094999999999</v>
      </c>
      <c r="C12">
        <v>176.97</v>
      </c>
      <c r="D12" s="6">
        <v>246.25</v>
      </c>
      <c r="E12">
        <f>B12*D12</f>
        <v>3289.9233937499998</v>
      </c>
      <c r="F12">
        <v>0</v>
      </c>
      <c r="G12">
        <f>(D12+F12/B12-C12)/C12*100</f>
        <v>39.147878171441484</v>
      </c>
      <c r="H12">
        <f>(E12-C12*B12)+F12</f>
        <v>925.58738159999984</v>
      </c>
      <c r="I12" s="2">
        <v>43365</v>
      </c>
      <c r="J12" s="4">
        <f ca="1">TODAY()-I12</f>
        <v>847</v>
      </c>
      <c r="K12" s="4">
        <f ca="1">(TODAY()-I12)/365.25</f>
        <v>2.3189596167008899</v>
      </c>
      <c r="L12">
        <f ca="1">G12/K12</f>
        <v>16.881655846657615</v>
      </c>
      <c r="M12">
        <f>E12/E2*100</f>
        <v>5.4578842787575441</v>
      </c>
      <c r="N12" t="s">
        <v>7</v>
      </c>
      <c r="O12" s="6" t="s">
        <v>132</v>
      </c>
    </row>
    <row r="13" spans="1:24" x14ac:dyDescent="0.2">
      <c r="A13" t="s">
        <v>20</v>
      </c>
      <c r="B13">
        <v>20.232147999999999</v>
      </c>
      <c r="C13">
        <f>(82.74*(20-1.767852)+84.87*2)/B13</f>
        <v>82.95055599237412</v>
      </c>
      <c r="D13" s="6">
        <v>91.46</v>
      </c>
      <c r="E13">
        <f>B13*D13</f>
        <v>1850.4322560799997</v>
      </c>
      <c r="F13">
        <f>6.27+6.82</f>
        <v>13.09</v>
      </c>
      <c r="G13">
        <f>(D13+F13/B13-C13)/C13*100</f>
        <v>11.038424064655821</v>
      </c>
      <c r="H13">
        <f>(E13-C13*B13)+F13</f>
        <v>185.2543305599996</v>
      </c>
      <c r="I13" s="2">
        <v>44050</v>
      </c>
      <c r="J13" s="4">
        <f ca="1">TODAY()-I13</f>
        <v>162</v>
      </c>
      <c r="K13" s="4">
        <f ca="1">(TODAY()-I13)/365.25</f>
        <v>0.44353182751540043</v>
      </c>
      <c r="L13">
        <f ca="1">G13/K13</f>
        <v>24.887557960589742</v>
      </c>
      <c r="M13">
        <f>E13/E2*100</f>
        <v>3.0698116371193347</v>
      </c>
      <c r="N13" t="s">
        <v>7</v>
      </c>
      <c r="O13" s="6" t="s">
        <v>132</v>
      </c>
      <c r="R13" s="1">
        <v>44084</v>
      </c>
      <c r="S13">
        <v>44214.14</v>
      </c>
    </row>
    <row r="14" spans="1:24" x14ac:dyDescent="0.2">
      <c r="A14" t="s">
        <v>21</v>
      </c>
      <c r="B14">
        <v>2.1924000000000001</v>
      </c>
      <c r="C14">
        <v>582.66999999999996</v>
      </c>
      <c r="D14" s="6">
        <v>742.18</v>
      </c>
      <c r="E14">
        <f>B14*D14</f>
        <v>1627.155432</v>
      </c>
      <c r="F14">
        <f>14.52*2.1924/4+7.96</f>
        <v>15.918412</v>
      </c>
      <c r="G14">
        <f>(D14+F14/B14-C14)/C14*100</f>
        <v>28.621814117833338</v>
      </c>
      <c r="H14">
        <f>(E14-C14*B14)+F14</f>
        <v>365.62813600000004</v>
      </c>
      <c r="I14" s="2">
        <v>44050</v>
      </c>
      <c r="J14" s="4">
        <f ca="1">TODAY()-I14</f>
        <v>162</v>
      </c>
      <c r="K14" s="4">
        <f ca="1">(TODAY()-I14)/365.25</f>
        <v>0.44353182751540043</v>
      </c>
      <c r="L14">
        <f ca="1">G14/K14</f>
        <v>64.531590163818677</v>
      </c>
      <c r="M14">
        <f>E14/E2*100</f>
        <v>2.6994020797806431</v>
      </c>
      <c r="N14" t="s">
        <v>7</v>
      </c>
      <c r="O14" s="6">
        <v>1.24</v>
      </c>
      <c r="Q14">
        <f t="shared" ref="Q14:Q22" si="2">R14-R13+Q13</f>
        <v>5</v>
      </c>
      <c r="R14" s="1">
        <v>44089</v>
      </c>
      <c r="S14">
        <v>44755.95</v>
      </c>
      <c r="T14">
        <v>0</v>
      </c>
      <c r="U14">
        <f t="shared" ref="U14:U22" si="3">(S14-T14-S13)/S13*100</f>
        <v>1.2254224553502513</v>
      </c>
      <c r="V14">
        <f>(S14-T14-S13)/S13*100</f>
        <v>1.2254224553502513</v>
      </c>
      <c r="W14">
        <f t="shared" ref="W14:W22" si="4">U14/((Q14-Q13)/365)</f>
        <v>89.455839240568352</v>
      </c>
      <c r="X14">
        <f t="shared" ref="X14:X22" si="5">V14/(Q14/365)</f>
        <v>89.455839240568352</v>
      </c>
    </row>
    <row r="15" spans="1:24" x14ac:dyDescent="0.2">
      <c r="A15" t="s">
        <v>134</v>
      </c>
      <c r="B15">
        <v>20.965547000000001</v>
      </c>
      <c r="C15">
        <v>42.72</v>
      </c>
      <c r="D15" s="6">
        <v>51.31</v>
      </c>
      <c r="E15">
        <f>B15*D15</f>
        <v>1075.74221657</v>
      </c>
      <c r="F15">
        <v>0</v>
      </c>
      <c r="G15">
        <f>(D15+F15/B15-C15)/C15*100</f>
        <v>20.107677902621731</v>
      </c>
      <c r="H15">
        <f>(E15-C15*B15)+F15</f>
        <v>180.09404872999994</v>
      </c>
      <c r="I15" s="2">
        <v>44177</v>
      </c>
      <c r="J15" s="4">
        <f ca="1">TODAY()-I15</f>
        <v>35</v>
      </c>
      <c r="K15" s="4">
        <f ca="1">(TODAY()-I15)/365.25</f>
        <v>9.5824777549623541E-2</v>
      </c>
      <c r="L15">
        <f ca="1">G15/K15</f>
        <v>209.83798154093108</v>
      </c>
      <c r="M15">
        <f>E15/E2*100</f>
        <v>1.7846240866784613</v>
      </c>
      <c r="N15" t="s">
        <v>7</v>
      </c>
      <c r="O15" s="6">
        <v>2.33</v>
      </c>
      <c r="Q15">
        <f t="shared" si="2"/>
        <v>21</v>
      </c>
      <c r="R15" s="1">
        <v>44105</v>
      </c>
      <c r="S15">
        <v>45753.09</v>
      </c>
      <c r="T15">
        <v>0</v>
      </c>
      <c r="U15">
        <f t="shared" si="3"/>
        <v>2.2279495798882594</v>
      </c>
      <c r="V15">
        <f>(S15-SUM(T14:T15)-S13)/S13*100</f>
        <v>3.4806738296843434</v>
      </c>
      <c r="W15">
        <f t="shared" si="4"/>
        <v>50.82509979120092</v>
      </c>
      <c r="X15">
        <f t="shared" si="5"/>
        <v>60.497426087370734</v>
      </c>
    </row>
    <row r="16" spans="1:24" x14ac:dyDescent="0.2">
      <c r="A16" t="s">
        <v>126</v>
      </c>
      <c r="B16">
        <v>20</v>
      </c>
      <c r="C16">
        <v>29.03</v>
      </c>
      <c r="D16" s="6">
        <v>35.26</v>
      </c>
      <c r="E16">
        <f t="shared" ref="E16:E24" si="6">B16*D16</f>
        <v>705.19999999999993</v>
      </c>
      <c r="F16">
        <v>0</v>
      </c>
      <c r="G16">
        <f t="shared" ref="G16:G24" si="7">(D16+F16/B16-C16)/C16*100</f>
        <v>21.460558043403363</v>
      </c>
      <c r="H16">
        <f t="shared" ref="H16:H24" si="8">(E16-C16*B16)+F16</f>
        <v>124.59999999999991</v>
      </c>
      <c r="I16" s="2">
        <v>44113</v>
      </c>
      <c r="J16" s="4">
        <f t="shared" ref="J16:J24" ca="1" si="9">TODAY()-I16</f>
        <v>99</v>
      </c>
      <c r="K16" s="4">
        <f t="shared" ref="K16:K24" ca="1" si="10">(TODAY()-I16)/365.25</f>
        <v>0.27104722792607805</v>
      </c>
      <c r="L16">
        <f t="shared" ref="L16:L24" ca="1" si="11">G16/K16</f>
        <v>79.176452781344224</v>
      </c>
      <c r="M16">
        <f>E16/E2*100</f>
        <v>1.1699056581960936</v>
      </c>
      <c r="N16" t="s">
        <v>7</v>
      </c>
      <c r="O16" s="6">
        <v>1.88</v>
      </c>
      <c r="Q16">
        <f t="shared" si="2"/>
        <v>35</v>
      </c>
      <c r="R16" s="1">
        <v>44119</v>
      </c>
      <c r="S16">
        <v>49218.784699999997</v>
      </c>
      <c r="T16">
        <f>500+537.117037</f>
        <v>1037.117037</v>
      </c>
      <c r="U16">
        <f t="shared" si="3"/>
        <v>5.3080079684235626</v>
      </c>
      <c r="V16">
        <f>(S16-SUM(T14:T16)-S13)/S13*100</f>
        <v>8.9734362423423839</v>
      </c>
      <c r="W16">
        <f t="shared" si="4"/>
        <v>138.38735060532858</v>
      </c>
      <c r="X16">
        <f t="shared" si="5"/>
        <v>93.580120812999155</v>
      </c>
    </row>
    <row r="17" spans="1:24" x14ac:dyDescent="0.2">
      <c r="A17" t="s">
        <v>28</v>
      </c>
      <c r="B17">
        <v>9</v>
      </c>
      <c r="C17">
        <v>106.99</v>
      </c>
      <c r="D17" s="6">
        <v>247.9</v>
      </c>
      <c r="E17">
        <f t="shared" si="6"/>
        <v>2231.1</v>
      </c>
      <c r="F17">
        <v>0</v>
      </c>
      <c r="G17">
        <f t="shared" si="7"/>
        <v>131.70389756051969</v>
      </c>
      <c r="H17">
        <f t="shared" si="8"/>
        <v>1268.19</v>
      </c>
      <c r="I17" s="2">
        <v>42437</v>
      </c>
      <c r="J17" s="4">
        <f t="shared" ca="1" si="9"/>
        <v>1775</v>
      </c>
      <c r="K17" s="4">
        <f t="shared" ca="1" si="10"/>
        <v>4.85968514715948</v>
      </c>
      <c r="L17">
        <f t="shared" ca="1" si="11"/>
        <v>27.101323145904122</v>
      </c>
      <c r="M17">
        <f>E17/E2*100</f>
        <v>3.7013280119133651</v>
      </c>
      <c r="N17" t="s">
        <v>7</v>
      </c>
      <c r="O17" s="6" t="s">
        <v>132</v>
      </c>
      <c r="Q17">
        <f t="shared" si="2"/>
        <v>52</v>
      </c>
      <c r="R17" s="1">
        <v>44136</v>
      </c>
      <c r="S17">
        <v>47280.840799999998</v>
      </c>
      <c r="T17">
        <v>0</v>
      </c>
      <c r="U17">
        <f t="shared" si="3"/>
        <v>-3.9374070526369551</v>
      </c>
      <c r="V17">
        <f>(S17-SUM(T14:T17)-S13)/S13*100</f>
        <v>4.5903499717511238</v>
      </c>
      <c r="W17">
        <f t="shared" si="4"/>
        <v>-84.538445541911088</v>
      </c>
      <c r="X17">
        <f t="shared" si="5"/>
        <v>32.220725763253078</v>
      </c>
    </row>
    <row r="18" spans="1:24" x14ac:dyDescent="0.2">
      <c r="A18" t="s">
        <v>34</v>
      </c>
      <c r="B18">
        <v>1</v>
      </c>
      <c r="C18">
        <v>1509.04</v>
      </c>
      <c r="D18" s="6">
        <v>1729.02</v>
      </c>
      <c r="E18">
        <f t="shared" si="6"/>
        <v>1729.02</v>
      </c>
      <c r="F18">
        <v>0</v>
      </c>
      <c r="G18">
        <f t="shared" si="7"/>
        <v>14.577479722207498</v>
      </c>
      <c r="H18">
        <f t="shared" si="8"/>
        <v>219.98000000000002</v>
      </c>
      <c r="I18" s="2">
        <v>44050</v>
      </c>
      <c r="J18" s="4">
        <f t="shared" ca="1" si="9"/>
        <v>162</v>
      </c>
      <c r="K18" s="4">
        <f t="shared" ca="1" si="10"/>
        <v>0.44353182751540043</v>
      </c>
      <c r="L18">
        <f t="shared" ca="1" si="11"/>
        <v>32.866817707014128</v>
      </c>
      <c r="M18">
        <f>E18/E2*100</f>
        <v>2.8683923442061969</v>
      </c>
      <c r="N18" t="s">
        <v>7</v>
      </c>
      <c r="O18" s="6" t="s">
        <v>132</v>
      </c>
      <c r="Q18">
        <f t="shared" si="2"/>
        <v>66</v>
      </c>
      <c r="R18" s="1">
        <v>44150</v>
      </c>
      <c r="S18">
        <v>49526.529900000001</v>
      </c>
      <c r="T18">
        <f>500-209.3</f>
        <v>290.7</v>
      </c>
      <c r="U18">
        <f t="shared" si="3"/>
        <v>4.1348441925339161</v>
      </c>
      <c r="V18">
        <f>(S18-SUM(T14:T18)-S13)/S13*100</f>
        <v>9.0119877102664478</v>
      </c>
      <c r="W18">
        <f t="shared" si="4"/>
        <v>107.80129501963424</v>
      </c>
      <c r="X18">
        <f t="shared" si="5"/>
        <v>49.839022943140201</v>
      </c>
    </row>
    <row r="19" spans="1:24" x14ac:dyDescent="0.2">
      <c r="A19" t="s">
        <v>127</v>
      </c>
      <c r="B19">
        <v>40</v>
      </c>
      <c r="C19">
        <f>(30.643775*21.41+9.356226*20.78)/40</f>
        <v>21.262639975749998</v>
      </c>
      <c r="D19" s="6">
        <v>32.299999999999997</v>
      </c>
      <c r="E19">
        <f t="shared" si="6"/>
        <v>1292</v>
      </c>
      <c r="F19">
        <v>1.2</v>
      </c>
      <c r="G19">
        <f t="shared" si="7"/>
        <v>52.050733290279595</v>
      </c>
      <c r="H19">
        <f t="shared" si="8"/>
        <v>442.69440097</v>
      </c>
      <c r="I19" s="2">
        <v>44113</v>
      </c>
      <c r="J19" s="4">
        <f t="shared" ca="1" si="9"/>
        <v>99</v>
      </c>
      <c r="K19" s="4">
        <f t="shared" ca="1" si="10"/>
        <v>0.27104722792607805</v>
      </c>
      <c r="L19">
        <f t="shared" ca="1" si="11"/>
        <v>192.03565994216788</v>
      </c>
      <c r="M19">
        <f>E19/E2*100</f>
        <v>2.1433892660087257</v>
      </c>
      <c r="N19" t="s">
        <v>7</v>
      </c>
      <c r="O19" s="6">
        <v>1.29</v>
      </c>
      <c r="Q19">
        <f t="shared" si="2"/>
        <v>82</v>
      </c>
      <c r="R19" s="1">
        <v>44166</v>
      </c>
      <c r="S19">
        <v>54102.575900000003</v>
      </c>
      <c r="T19">
        <v>500</v>
      </c>
      <c r="U19">
        <f t="shared" si="3"/>
        <v>8.2300254191642885</v>
      </c>
      <c r="V19">
        <f>(S19-SUM(T14:T19)-S13)/S13*100</f>
        <v>18.230862034181833</v>
      </c>
      <c r="W19">
        <f t="shared" si="4"/>
        <v>187.74745487468533</v>
      </c>
      <c r="X19">
        <f t="shared" si="5"/>
        <v>81.149568810687427</v>
      </c>
    </row>
    <row r="20" spans="1:24" x14ac:dyDescent="0.2">
      <c r="A20" t="s">
        <v>35</v>
      </c>
      <c r="B20">
        <v>3.3539639999999999</v>
      </c>
      <c r="C20">
        <v>302.01</v>
      </c>
      <c r="D20" s="6">
        <v>347.44</v>
      </c>
      <c r="E20">
        <f t="shared" si="6"/>
        <v>1165.3012521599999</v>
      </c>
      <c r="F20">
        <v>1.28</v>
      </c>
      <c r="G20">
        <f t="shared" si="7"/>
        <v>15.168914263202865</v>
      </c>
      <c r="H20">
        <f t="shared" si="8"/>
        <v>153.65058451999997</v>
      </c>
      <c r="I20" s="1">
        <v>44054</v>
      </c>
      <c r="J20" s="4">
        <f t="shared" ca="1" si="9"/>
        <v>158</v>
      </c>
      <c r="K20" s="4">
        <f t="shared" ca="1" si="10"/>
        <v>0.432580424366872</v>
      </c>
      <c r="L20">
        <f t="shared" ca="1" si="11"/>
        <v>35.06611351034713</v>
      </c>
      <c r="M20">
        <f>E20/E2*100</f>
        <v>1.9331998417540797</v>
      </c>
      <c r="N20" t="s">
        <v>7</v>
      </c>
      <c r="O20" s="6">
        <v>1.63</v>
      </c>
      <c r="Q20">
        <f t="shared" si="2"/>
        <v>97</v>
      </c>
      <c r="R20" s="1">
        <v>44181</v>
      </c>
      <c r="S20">
        <v>56307.912600000003</v>
      </c>
      <c r="T20">
        <v>806.67348200000004</v>
      </c>
      <c r="U20">
        <f t="shared" si="3"/>
        <v>2.5852063321073802</v>
      </c>
      <c r="V20">
        <f>(S20-SUM(T14:T20)-S13)/S13*100</f>
        <v>21.394246458259744</v>
      </c>
      <c r="W20">
        <f t="shared" si="4"/>
        <v>62.906687414612918</v>
      </c>
      <c r="X20">
        <f t="shared" si="5"/>
        <v>80.504123270771188</v>
      </c>
    </row>
    <row r="21" spans="1:24" x14ac:dyDescent="0.2">
      <c r="A21" t="s">
        <v>32</v>
      </c>
      <c r="B21">
        <v>2.3067060000000001</v>
      </c>
      <c r="C21">
        <v>301.49</v>
      </c>
      <c r="D21" s="6">
        <v>349.8</v>
      </c>
      <c r="E21">
        <f t="shared" si="6"/>
        <v>806.88575880000008</v>
      </c>
      <c r="F21">
        <v>0.57999999999999996</v>
      </c>
      <c r="G21">
        <f t="shared" si="7"/>
        <v>16.107148097492747</v>
      </c>
      <c r="H21">
        <f t="shared" si="8"/>
        <v>112.01696685999998</v>
      </c>
      <c r="I21" s="1">
        <v>44065</v>
      </c>
      <c r="J21" s="4">
        <f t="shared" ca="1" si="9"/>
        <v>147</v>
      </c>
      <c r="K21" s="4">
        <f t="shared" ca="1" si="10"/>
        <v>0.40246406570841892</v>
      </c>
      <c r="L21">
        <f t="shared" ca="1" si="11"/>
        <v>40.021332262647789</v>
      </c>
      <c r="M21">
        <f>E21/E2*100</f>
        <v>1.3385992835195246</v>
      </c>
      <c r="N21" t="s">
        <v>7</v>
      </c>
      <c r="O21" s="6" t="s">
        <v>132</v>
      </c>
      <c r="Q21">
        <f t="shared" si="2"/>
        <v>123</v>
      </c>
      <c r="R21" s="1">
        <v>44207</v>
      </c>
      <c r="S21">
        <v>60339.054700000001</v>
      </c>
      <c r="T21">
        <v>150</v>
      </c>
      <c r="U21">
        <f t="shared" si="3"/>
        <v>6.8927117358635615</v>
      </c>
      <c r="V21">
        <f>(S21-SUM(T14:T21)-S13)/S13*100</f>
        <v>30.172302754277258</v>
      </c>
      <c r="W21">
        <f t="shared" si="4"/>
        <v>96.763068599623082</v>
      </c>
      <c r="X21">
        <f t="shared" si="5"/>
        <v>89.535695165131699</v>
      </c>
    </row>
    <row r="22" spans="1:24" x14ac:dyDescent="0.2">
      <c r="A22" t="s">
        <v>41</v>
      </c>
      <c r="B22">
        <v>2</v>
      </c>
      <c r="C22">
        <v>257.5</v>
      </c>
      <c r="D22" s="6">
        <v>302.14999999999998</v>
      </c>
      <c r="E22">
        <f t="shared" si="6"/>
        <v>604.29999999999995</v>
      </c>
      <c r="F22">
        <v>1.84</v>
      </c>
      <c r="G22">
        <f t="shared" si="7"/>
        <v>17.697087378640774</v>
      </c>
      <c r="H22">
        <f t="shared" si="8"/>
        <v>91.139999999999958</v>
      </c>
      <c r="I22" s="1">
        <v>44063</v>
      </c>
      <c r="J22" s="4">
        <f t="shared" ca="1" si="9"/>
        <v>149</v>
      </c>
      <c r="K22" s="4">
        <f t="shared" ca="1" si="10"/>
        <v>0.40793976728268311</v>
      </c>
      <c r="L22">
        <f t="shared" ca="1" si="11"/>
        <v>43.381618557372768</v>
      </c>
      <c r="M22">
        <f>E22/E2*100</f>
        <v>1.0025155831649171</v>
      </c>
      <c r="N22" t="s">
        <v>7</v>
      </c>
      <c r="O22" s="6" t="s">
        <v>132</v>
      </c>
      <c r="Q22">
        <f t="shared" si="2"/>
        <v>128</v>
      </c>
      <c r="R22" s="1">
        <v>44212</v>
      </c>
      <c r="S22">
        <v>60278.364800000003</v>
      </c>
      <c r="T22">
        <v>0</v>
      </c>
      <c r="U22">
        <f t="shared" si="3"/>
        <v>-0.10058145640786378</v>
      </c>
      <c r="V22">
        <f>(S22-SUM(T14:T22)-S13)/S13*100</f>
        <v>30.035039200129198</v>
      </c>
      <c r="W22">
        <f t="shared" si="4"/>
        <v>-7.3424463177740567</v>
      </c>
      <c r="X22">
        <f t="shared" si="5"/>
        <v>85.646791469118412</v>
      </c>
    </row>
    <row r="23" spans="1:24" x14ac:dyDescent="0.2">
      <c r="A23" t="s">
        <v>129</v>
      </c>
      <c r="B23">
        <v>10.479749999999999</v>
      </c>
      <c r="C23">
        <v>20.350000000000001</v>
      </c>
      <c r="D23" s="6">
        <v>34.26</v>
      </c>
      <c r="E23">
        <f t="shared" si="6"/>
        <v>359.03623499999998</v>
      </c>
      <c r="F23">
        <v>0</v>
      </c>
      <c r="G23">
        <f t="shared" si="7"/>
        <v>68.353808353808333</v>
      </c>
      <c r="H23">
        <f t="shared" si="8"/>
        <v>145.77332249999998</v>
      </c>
      <c r="I23" s="1">
        <v>44119</v>
      </c>
      <c r="J23" s="4">
        <f t="shared" ca="1" si="9"/>
        <v>93</v>
      </c>
      <c r="K23" s="4">
        <f t="shared" ca="1" si="10"/>
        <v>0.25462012320328542</v>
      </c>
      <c r="L23">
        <f t="shared" ca="1" si="11"/>
        <v>268.45406990568273</v>
      </c>
      <c r="M23">
        <f>E23/E2*100</f>
        <v>0.59563035000556219</v>
      </c>
      <c r="N23" t="s">
        <v>7</v>
      </c>
      <c r="O23" s="6" t="s">
        <v>132</v>
      </c>
    </row>
    <row r="24" spans="1:24" x14ac:dyDescent="0.2">
      <c r="A24" t="s">
        <v>65</v>
      </c>
      <c r="B24">
        <v>16.275039</v>
      </c>
      <c r="C24">
        <v>38.479999999999997</v>
      </c>
      <c r="D24" s="6">
        <v>69.010000000000005</v>
      </c>
      <c r="E24">
        <f t="shared" si="6"/>
        <v>1123.14044139</v>
      </c>
      <c r="F24">
        <v>0</v>
      </c>
      <c r="G24">
        <f t="shared" si="7"/>
        <v>79.339916839916867</v>
      </c>
      <c r="H24">
        <f t="shared" si="8"/>
        <v>496.87694067000007</v>
      </c>
      <c r="I24" s="2">
        <v>44112</v>
      </c>
      <c r="J24" s="4">
        <f t="shared" ca="1" si="9"/>
        <v>100</v>
      </c>
      <c r="K24" s="4">
        <f t="shared" ca="1" si="10"/>
        <v>0.27378507871321012</v>
      </c>
      <c r="L24">
        <f t="shared" ca="1" si="11"/>
        <v>289.78904625779637</v>
      </c>
      <c r="M24">
        <f>E24/E2*100</f>
        <v>1.8632563206622508</v>
      </c>
      <c r="N24" t="s">
        <v>7</v>
      </c>
      <c r="O24" s="6" t="s">
        <v>132</v>
      </c>
    </row>
    <row r="25" spans="1:24" x14ac:dyDescent="0.2">
      <c r="A25" t="s">
        <v>43</v>
      </c>
      <c r="B25">
        <v>5.6489989999999999</v>
      </c>
      <c r="C25">
        <v>209.41</v>
      </c>
      <c r="D25" s="6">
        <v>213.52</v>
      </c>
      <c r="E25">
        <f>B25*D25</f>
        <v>1206.1742664800001</v>
      </c>
      <c r="F25">
        <f>3.16+2.55</f>
        <v>5.71</v>
      </c>
      <c r="G25">
        <f>(D25+F25/B25-C25)/C25*100</f>
        <v>2.445345757283433</v>
      </c>
      <c r="H25">
        <f>(E25-C25*B25)+F25</f>
        <v>28.927385890000288</v>
      </c>
      <c r="I25" s="2">
        <v>44056</v>
      </c>
      <c r="J25" s="4">
        <f ca="1">TODAY()-I25</f>
        <v>156</v>
      </c>
      <c r="K25" s="4">
        <f ca="1">(TODAY()-I25)/365.25</f>
        <v>0.4271047227926078</v>
      </c>
      <c r="L25">
        <f ca="1">G25/K25</f>
        <v>5.7254008836395762</v>
      </c>
      <c r="M25">
        <f>E25/E2*100</f>
        <v>2.0010069471433285</v>
      </c>
      <c r="N25" t="s">
        <v>7</v>
      </c>
      <c r="O25" s="6" t="s">
        <v>132</v>
      </c>
    </row>
    <row r="26" spans="1:24" x14ac:dyDescent="0.2">
      <c r="A26" t="s">
        <v>46</v>
      </c>
      <c r="B26">
        <v>1.014446</v>
      </c>
      <c r="C26">
        <v>105.5</v>
      </c>
      <c r="D26" s="6">
        <v>500</v>
      </c>
      <c r="E26">
        <f>B26*D26</f>
        <v>507.22299999999996</v>
      </c>
      <c r="F26">
        <v>0</v>
      </c>
      <c r="G26">
        <f>(D26+F26/B26-C26)/C26*100</f>
        <v>373.93364928909955</v>
      </c>
      <c r="H26">
        <f>(E26-C26*B26)+F26</f>
        <v>400.19894699999998</v>
      </c>
      <c r="I26" s="2">
        <v>42680</v>
      </c>
      <c r="J26" s="4">
        <f ca="1">TODAY()-I26</f>
        <v>1532</v>
      </c>
      <c r="K26" s="4">
        <f ca="1">(TODAY()-I26)/365.25</f>
        <v>4.1943874058863795</v>
      </c>
      <c r="L26">
        <f ca="1">G26/K26</f>
        <v>89.150956529271284</v>
      </c>
      <c r="M26">
        <f>E26/E2*100</f>
        <v>0.84146775052069944</v>
      </c>
      <c r="N26" t="s">
        <v>7</v>
      </c>
      <c r="O26" s="6" t="s">
        <v>132</v>
      </c>
    </row>
    <row r="27" spans="1:24" x14ac:dyDescent="0.2">
      <c r="A27" t="s">
        <v>130</v>
      </c>
      <c r="B27">
        <v>10</v>
      </c>
      <c r="C27">
        <v>32.450000000000003</v>
      </c>
      <c r="D27" s="6">
        <v>59.84</v>
      </c>
      <c r="E27">
        <f>B27*D27</f>
        <v>598.40000000000009</v>
      </c>
      <c r="F27">
        <v>0</v>
      </c>
      <c r="G27">
        <f>(D27+F27/B27-C27)/C27*100</f>
        <v>84.406779661016941</v>
      </c>
      <c r="H27">
        <f>(E27-C27*B27)+F27</f>
        <v>273.90000000000009</v>
      </c>
      <c r="I27" s="2">
        <v>44119</v>
      </c>
      <c r="J27" s="4">
        <f ca="1">TODAY()-I27</f>
        <v>93</v>
      </c>
      <c r="K27" s="4">
        <f ca="1">(TODAY()-I27)/365.25</f>
        <v>0.25462012320328542</v>
      </c>
      <c r="L27">
        <f ca="1">G27/K27</f>
        <v>331.50082012028429</v>
      </c>
      <c r="M27">
        <f>E27/E2*100</f>
        <v>0.99272766004614676</v>
      </c>
      <c r="N27" t="s">
        <v>7</v>
      </c>
      <c r="O27" s="6">
        <v>2.4</v>
      </c>
    </row>
    <row r="28" spans="1:24" x14ac:dyDescent="0.2">
      <c r="A28" t="s">
        <v>47</v>
      </c>
      <c r="B28">
        <v>1.910188</v>
      </c>
      <c r="C28">
        <v>335.89</v>
      </c>
      <c r="D28" s="6">
        <v>302.7</v>
      </c>
      <c r="E28">
        <f>B28*D28</f>
        <v>578.21390759999997</v>
      </c>
      <c r="F28">
        <f>2.77+2.12</f>
        <v>4.8900000000000006</v>
      </c>
      <c r="G28">
        <f>(D28+F28/B28-C28)/C28*100</f>
        <v>-9.1190695021541472</v>
      </c>
      <c r="H28">
        <f>(E28-C28*B28)+F28</f>
        <v>-58.509139719999993</v>
      </c>
      <c r="I28" s="1">
        <v>44080</v>
      </c>
      <c r="J28" s="4">
        <v>39</v>
      </c>
      <c r="K28" s="4">
        <f ca="1">(TODAY()-I28)/365.25</f>
        <v>0.3613963039014374</v>
      </c>
      <c r="L28">
        <f ca="1">G28/K28</f>
        <v>-25.232879815619711</v>
      </c>
      <c r="M28">
        <f>E28/E2*100</f>
        <v>0.95923953793096051</v>
      </c>
      <c r="N28" t="s">
        <v>7</v>
      </c>
      <c r="O28" s="6">
        <v>1.84</v>
      </c>
    </row>
    <row r="29" spans="1:24" x14ac:dyDescent="0.2">
      <c r="A29" t="s">
        <v>49</v>
      </c>
      <c r="B29">
        <v>11</v>
      </c>
      <c r="C29">
        <f>(332.1*1+352.63*5+453.07*5)/B29</f>
        <v>396.41818181818184</v>
      </c>
      <c r="D29" s="6">
        <v>529.12</v>
      </c>
      <c r="E29">
        <f>B29*D29</f>
        <v>5820.32</v>
      </c>
      <c r="F29">
        <f>0.2*(1.15*3+1.4*2)+0.28*2+0.3*4+0.32*7+1.92+1.76</f>
        <v>8.93</v>
      </c>
      <c r="G29">
        <f>(D29+F29/B29-C29)/C29*100</f>
        <v>33.67999816539006</v>
      </c>
      <c r="H29">
        <f>(E29-C29*B29)+F29</f>
        <v>1468.6499999999994</v>
      </c>
      <c r="I29" s="2">
        <v>43893</v>
      </c>
      <c r="J29" s="4">
        <f ca="1">TODAY()-I29</f>
        <v>319</v>
      </c>
      <c r="K29" s="4">
        <f ca="1">(TODAY()-I29)/365.25</f>
        <v>0.87337440109514031</v>
      </c>
      <c r="L29">
        <f ca="1">G29/K29</f>
        <v>38.563069999713854</v>
      </c>
      <c r="M29">
        <f>E29/E2*100</f>
        <v>9.6557363875664901</v>
      </c>
      <c r="N29" t="s">
        <v>7</v>
      </c>
      <c r="O29" s="6" t="s">
        <v>132</v>
      </c>
    </row>
    <row r="30" spans="1:24" x14ac:dyDescent="0.2">
      <c r="A30" t="s">
        <v>133</v>
      </c>
      <c r="B30">
        <v>9.0633280000000003</v>
      </c>
      <c r="C30">
        <v>25.84</v>
      </c>
      <c r="D30" s="6">
        <v>26.26</v>
      </c>
      <c r="E30">
        <f>B30*D30</f>
        <v>238.00299328000003</v>
      </c>
      <c r="F30">
        <v>0</v>
      </c>
      <c r="G30">
        <f t="shared" ref="G30:G38" si="12">(D30+F30/B30-C30)/C30*100</f>
        <v>1.6253869969040313</v>
      </c>
      <c r="H30">
        <f>(E30-C30*B30)+F30</f>
        <v>3.8065977600000167</v>
      </c>
      <c r="I30" s="1">
        <v>44175</v>
      </c>
      <c r="J30" s="4">
        <f t="shared" ref="J30:J37" ca="1" si="13">TODAY()-I30</f>
        <v>37</v>
      </c>
      <c r="K30" s="4">
        <f ca="1">(TODAY()-I30)/365.25</f>
        <v>0.10130047912388775</v>
      </c>
      <c r="L30">
        <f t="shared" ref="L30:L38" ca="1" si="14">G30/K30</f>
        <v>16.045205422140473</v>
      </c>
      <c r="M30">
        <f>E30/E2*100</f>
        <v>0.39483983055286287</v>
      </c>
      <c r="N30" t="s">
        <v>7</v>
      </c>
      <c r="O30" s="6" t="s">
        <v>132</v>
      </c>
    </row>
    <row r="31" spans="1:24" x14ac:dyDescent="0.2">
      <c r="A31" t="s">
        <v>131</v>
      </c>
      <c r="B31">
        <v>5.0072279999999996</v>
      </c>
      <c r="C31">
        <v>64.349999999999994</v>
      </c>
      <c r="D31" s="6">
        <v>87.14</v>
      </c>
      <c r="E31">
        <f t="shared" ref="E31:E38" si="15">B31*D31</f>
        <v>436.32984791999996</v>
      </c>
      <c r="F31">
        <v>0</v>
      </c>
      <c r="G31">
        <f t="shared" si="12"/>
        <v>35.415695415695431</v>
      </c>
      <c r="H31">
        <f t="shared" ref="H31:H38" si="16">(E31-C31*B31)+F31</f>
        <v>114.11472612</v>
      </c>
      <c r="I31" s="1">
        <v>44116</v>
      </c>
      <c r="J31" s="4">
        <f t="shared" ca="1" si="13"/>
        <v>96</v>
      </c>
      <c r="K31" s="4">
        <f t="shared" ref="K31:K38" ca="1" si="17">(TODAY()-I31)/365.25</f>
        <v>0.26283367556468173</v>
      </c>
      <c r="L31">
        <f t="shared" ca="1" si="14"/>
        <v>134.74565365190369</v>
      </c>
      <c r="M31">
        <f>E31/E2*100</f>
        <v>0.72385813658742071</v>
      </c>
      <c r="N31" t="s">
        <v>7</v>
      </c>
      <c r="O31" s="6">
        <v>2.9</v>
      </c>
    </row>
    <row r="32" spans="1:24" x14ac:dyDescent="0.2">
      <c r="A32" t="s">
        <v>53</v>
      </c>
      <c r="B32">
        <v>5</v>
      </c>
      <c r="C32">
        <v>60.99</v>
      </c>
      <c r="D32" s="6">
        <v>70.31</v>
      </c>
      <c r="E32">
        <f t="shared" si="15"/>
        <v>351.55</v>
      </c>
      <c r="F32">
        <v>2.38</v>
      </c>
      <c r="G32">
        <f t="shared" si="12"/>
        <v>16.061649450729625</v>
      </c>
      <c r="H32">
        <f t="shared" si="16"/>
        <v>48.980000000000025</v>
      </c>
      <c r="I32" s="1">
        <v>44063</v>
      </c>
      <c r="J32" s="4">
        <f t="shared" ca="1" si="13"/>
        <v>149</v>
      </c>
      <c r="K32" s="4">
        <f t="shared" ca="1" si="17"/>
        <v>0.40793976728268311</v>
      </c>
      <c r="L32">
        <f t="shared" ca="1" si="14"/>
        <v>39.372600415295274</v>
      </c>
      <c r="M32">
        <f>E32/E2*100</f>
        <v>0.58321091057690988</v>
      </c>
      <c r="N32" t="s">
        <v>7</v>
      </c>
      <c r="O32" s="6" t="s">
        <v>132</v>
      </c>
    </row>
    <row r="33" spans="1:15" x14ac:dyDescent="0.2">
      <c r="A33" t="s">
        <v>6</v>
      </c>
      <c r="B33">
        <v>8</v>
      </c>
      <c r="C33">
        <v>256.76</v>
      </c>
      <c r="D33" s="6">
        <v>378.46</v>
      </c>
      <c r="E33">
        <f t="shared" si="15"/>
        <v>3027.68</v>
      </c>
      <c r="F33">
        <v>0</v>
      </c>
      <c r="G33">
        <f t="shared" si="12"/>
        <v>47.398348652438074</v>
      </c>
      <c r="H33">
        <f t="shared" si="16"/>
        <v>973.59999999999991</v>
      </c>
      <c r="I33" s="3">
        <v>43028</v>
      </c>
      <c r="J33" s="4">
        <f t="shared" ca="1" si="13"/>
        <v>1184</v>
      </c>
      <c r="K33" s="4">
        <f t="shared" ca="1" si="17"/>
        <v>3.2416153319644079</v>
      </c>
      <c r="L33">
        <f t="shared" ca="1" si="14"/>
        <v>14.621830105830242</v>
      </c>
      <c r="M33">
        <f>E33/E2*100</f>
        <v>5.0228303505489924</v>
      </c>
      <c r="N33" t="s">
        <v>7</v>
      </c>
      <c r="O33" s="6" t="s">
        <v>132</v>
      </c>
    </row>
    <row r="34" spans="1:15" x14ac:dyDescent="0.2">
      <c r="A34" t="s">
        <v>125</v>
      </c>
      <c r="B34">
        <f>7.197639+2.802361</f>
        <v>10</v>
      </c>
      <c r="C34">
        <f>(7.1997639*75.95+72.67*2.803261)/10</f>
        <v>75.053504507500008</v>
      </c>
      <c r="D34" s="6">
        <v>115.23</v>
      </c>
      <c r="E34">
        <f t="shared" si="15"/>
        <v>1152.3</v>
      </c>
      <c r="F34">
        <v>0.92</v>
      </c>
      <c r="G34">
        <f t="shared" si="12"/>
        <v>53.653051588651678</v>
      </c>
      <c r="H34">
        <f t="shared" si="16"/>
        <v>402.68495492499989</v>
      </c>
      <c r="I34" s="3">
        <v>44113</v>
      </c>
      <c r="J34" s="4">
        <f t="shared" ca="1" si="13"/>
        <v>99</v>
      </c>
      <c r="K34" s="4">
        <f t="shared" ca="1" si="17"/>
        <v>0.27104722792607805</v>
      </c>
      <c r="L34">
        <f t="shared" ca="1" si="14"/>
        <v>197.94724336116187</v>
      </c>
      <c r="M34">
        <f>E34/E2*100</f>
        <v>1.9116311541964817</v>
      </c>
      <c r="N34" t="s">
        <v>7</v>
      </c>
      <c r="O34" s="6">
        <v>1.64</v>
      </c>
    </row>
    <row r="35" spans="1:15" x14ac:dyDescent="0.2">
      <c r="A35" t="s">
        <v>54</v>
      </c>
      <c r="B35">
        <v>15.031708</v>
      </c>
      <c r="C35">
        <v>70.94</v>
      </c>
      <c r="D35" s="6">
        <v>82.6</v>
      </c>
      <c r="E35">
        <f t="shared" si="15"/>
        <v>1241.6190807999999</v>
      </c>
      <c r="F35">
        <v>0</v>
      </c>
      <c r="G35">
        <f t="shared" si="12"/>
        <v>16.4364251480124</v>
      </c>
      <c r="H35">
        <f t="shared" si="16"/>
        <v>175.2697152799999</v>
      </c>
      <c r="I35" s="2">
        <v>44067</v>
      </c>
      <c r="J35" s="4">
        <f t="shared" ca="1" si="13"/>
        <v>145</v>
      </c>
      <c r="K35" s="4">
        <f t="shared" ca="1" si="17"/>
        <v>0.39698836413415467</v>
      </c>
      <c r="L35">
        <f t="shared" ca="1" si="14"/>
        <v>41.402788174562275</v>
      </c>
      <c r="M35">
        <f>E35/E2*100</f>
        <v>2.0598088314693035</v>
      </c>
      <c r="N35" t="s">
        <v>7</v>
      </c>
      <c r="O35" s="6" t="s">
        <v>132</v>
      </c>
    </row>
    <row r="36" spans="1:15" x14ac:dyDescent="0.2">
      <c r="A36" t="s">
        <v>55</v>
      </c>
      <c r="B36">
        <v>12.794714000000001</v>
      </c>
      <c r="C36">
        <v>312.77</v>
      </c>
      <c r="D36" s="6">
        <v>852</v>
      </c>
      <c r="E36">
        <f t="shared" si="15"/>
        <v>10901.096328000001</v>
      </c>
      <c r="F36">
        <v>0</v>
      </c>
      <c r="G36">
        <f t="shared" si="12"/>
        <v>172.40464238897596</v>
      </c>
      <c r="H36">
        <f t="shared" si="16"/>
        <v>6899.2936302200014</v>
      </c>
      <c r="I36" s="2">
        <v>44056</v>
      </c>
      <c r="J36" s="4">
        <f t="shared" ca="1" si="13"/>
        <v>156</v>
      </c>
      <c r="K36" s="4">
        <f t="shared" ca="1" si="17"/>
        <v>0.4271047227926078</v>
      </c>
      <c r="L36">
        <f t="shared" ca="1" si="14"/>
        <v>403.65894636265045</v>
      </c>
      <c r="M36">
        <f>E36/E2*100</f>
        <v>18.08459199470769</v>
      </c>
      <c r="N36" t="s">
        <v>7</v>
      </c>
      <c r="O36" s="6" t="s">
        <v>132</v>
      </c>
    </row>
    <row r="37" spans="1:15" x14ac:dyDescent="0.2">
      <c r="A37" t="s">
        <v>138</v>
      </c>
      <c r="B37">
        <v>6.4440739999999996</v>
      </c>
      <c r="C37">
        <v>40.43</v>
      </c>
      <c r="D37" s="6">
        <v>49.33</v>
      </c>
      <c r="E37">
        <f t="shared" si="15"/>
        <v>317.88617041999998</v>
      </c>
      <c r="F37">
        <v>0</v>
      </c>
      <c r="G37">
        <f t="shared" si="12"/>
        <v>22.013356418501111</v>
      </c>
      <c r="H37">
        <f t="shared" si="16"/>
        <v>57.352258600000027</v>
      </c>
      <c r="I37" s="2">
        <v>44150</v>
      </c>
      <c r="J37" s="4">
        <f t="shared" ca="1" si="13"/>
        <v>62</v>
      </c>
      <c r="K37" s="4">
        <f t="shared" ca="1" si="17"/>
        <v>0.16974674880219029</v>
      </c>
      <c r="L37">
        <f t="shared" ca="1" si="14"/>
        <v>129.6835230944763</v>
      </c>
      <c r="M37">
        <f>E37/E2*100</f>
        <v>0.52736362654090441</v>
      </c>
      <c r="N37" t="s">
        <v>7</v>
      </c>
      <c r="O37" s="6" t="s">
        <v>132</v>
      </c>
    </row>
    <row r="38" spans="1:15" x14ac:dyDescent="0.2">
      <c r="A38" t="s">
        <v>58</v>
      </c>
      <c r="B38">
        <v>0.86847600000000003</v>
      </c>
      <c r="C38">
        <v>414.72</v>
      </c>
      <c r="D38" s="6">
        <v>397.71</v>
      </c>
      <c r="E38">
        <f t="shared" si="15"/>
        <v>345.40158995999997</v>
      </c>
      <c r="F38">
        <v>0</v>
      </c>
      <c r="G38">
        <f t="shared" si="12"/>
        <v>-4.1015625000000107</v>
      </c>
      <c r="H38">
        <f t="shared" si="16"/>
        <v>-14.772776760000056</v>
      </c>
      <c r="I38" s="2">
        <v>44140</v>
      </c>
      <c r="J38" s="4">
        <v>40</v>
      </c>
      <c r="K38" s="4">
        <f t="shared" ca="1" si="17"/>
        <v>0.1971252566735113</v>
      </c>
      <c r="L38">
        <f t="shared" ca="1" si="14"/>
        <v>-20.806884765625053</v>
      </c>
      <c r="M38">
        <f>E38/E2*100</f>
        <v>0.57301088264907984</v>
      </c>
      <c r="N38" t="s">
        <v>7</v>
      </c>
      <c r="O38" s="6">
        <v>6.42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3B215-2C75-5141-A602-49EC58D75790}">
  <dimension ref="A1:W57"/>
  <sheetViews>
    <sheetView workbookViewId="0">
      <pane xSplit="13" ySplit="2" topLeftCell="Q3" activePane="bottomRight" state="frozen"/>
      <selection pane="topRight" activeCell="N1" sqref="N1"/>
      <selection pane="bottomLeft" activeCell="A3" sqref="A3"/>
      <selection pane="bottomRight" activeCell="L19" sqref="L19"/>
    </sheetView>
  </sheetViews>
  <sheetFormatPr baseColWidth="10" defaultRowHeight="16" x14ac:dyDescent="0.2"/>
  <cols>
    <col min="8" max="8" width="11.1640625" bestFit="1" customWidth="1"/>
  </cols>
  <sheetData>
    <row r="1" spans="1:23" x14ac:dyDescent="0.2">
      <c r="A1" t="s">
        <v>1</v>
      </c>
      <c r="B1" t="s">
        <v>2</v>
      </c>
      <c r="C1" t="s">
        <v>78</v>
      </c>
      <c r="D1" t="s">
        <v>121</v>
      </c>
      <c r="E1" t="s">
        <v>3</v>
      </c>
      <c r="F1" t="s">
        <v>106</v>
      </c>
      <c r="G1" t="s">
        <v>80</v>
      </c>
      <c r="H1" t="s">
        <v>88</v>
      </c>
      <c r="I1" t="s">
        <v>82</v>
      </c>
      <c r="J1" t="s">
        <v>128</v>
      </c>
      <c r="K1" t="s">
        <v>84</v>
      </c>
      <c r="L1" t="s">
        <v>85</v>
      </c>
      <c r="M1" t="s">
        <v>4</v>
      </c>
      <c r="N1" t="s">
        <v>5</v>
      </c>
    </row>
    <row r="2" spans="1:23" x14ac:dyDescent="0.2">
      <c r="B2">
        <f>SUM(B3:B499998)</f>
        <v>242.26441800000001</v>
      </c>
      <c r="C2">
        <f>AVERAGE(C3:C499998)</f>
        <v>112.0881438434911</v>
      </c>
      <c r="D2">
        <f>AVERAGE(D3:D49991)</f>
        <v>143.08775000000006</v>
      </c>
      <c r="E2">
        <f>SUM(E3:E49991)</f>
        <v>19996.408879529998</v>
      </c>
      <c r="F2">
        <f>SUM(F3:F499991)</f>
        <v>110.24999999999997</v>
      </c>
      <c r="G2">
        <f>AVERAGE(G3:G49991)</f>
        <v>31.381312910342295</v>
      </c>
      <c r="H2">
        <f>SUM(H3:H499991)</f>
        <v>5027.9403969499999</v>
      </c>
      <c r="I2" s="1">
        <f>AVERAGE(I3:I49991)</f>
        <v>44052.25</v>
      </c>
      <c r="J2" s="4">
        <f ca="1">AVERAGE(J3:J499991)</f>
        <v>159.75</v>
      </c>
      <c r="K2">
        <f ca="1">AVERAGE(K3:K499991)</f>
        <v>0.43737166324435306</v>
      </c>
      <c r="L2">
        <f t="shared" ref="L2:L42" ca="1" si="0">G2/K2</f>
        <v>71.749762381862453</v>
      </c>
      <c r="M2">
        <f>SUM(M3:M42)</f>
        <v>100</v>
      </c>
    </row>
    <row r="3" spans="1:23" x14ac:dyDescent="0.2">
      <c r="A3" t="s">
        <v>67</v>
      </c>
      <c r="B3">
        <v>2.2797040000000002</v>
      </c>
      <c r="C3">
        <v>87.73</v>
      </c>
      <c r="D3" s="6">
        <v>111.2</v>
      </c>
      <c r="E3">
        <f t="shared" ref="E3:E42" si="1">B3*D3</f>
        <v>253.50308480000004</v>
      </c>
      <c r="F3">
        <v>2.69</v>
      </c>
      <c r="G3">
        <f t="shared" ref="G3:G42" si="2">(D3+F3/B3-C3)/C3*100</f>
        <v>28.097546736005423</v>
      </c>
      <c r="H3">
        <f t="shared" ref="H3:H42" si="3">(E3-C3*B3)+F3</f>
        <v>56.194652880000007</v>
      </c>
      <c r="I3" s="1">
        <v>44105</v>
      </c>
      <c r="J3" s="4">
        <f t="shared" ref="J3:J42" ca="1" si="4">TODAY()-I3</f>
        <v>107</v>
      </c>
      <c r="K3" s="4">
        <f t="shared" ref="K3:K42" ca="1" si="5">(TODAY()-I3)/365.25</f>
        <v>0.29295003422313481</v>
      </c>
      <c r="L3">
        <f t="shared" ca="1" si="0"/>
        <v>95.912420049775534</v>
      </c>
      <c r="M3">
        <f>E3/E2*100</f>
        <v>1.2677430549017583</v>
      </c>
      <c r="N3" t="s">
        <v>9</v>
      </c>
      <c r="O3" s="7">
        <v>1.64</v>
      </c>
    </row>
    <row r="4" spans="1:23" x14ac:dyDescent="0.2">
      <c r="A4" t="s">
        <v>12</v>
      </c>
      <c r="B4">
        <v>4.6266299999999996</v>
      </c>
      <c r="C4">
        <v>108.07</v>
      </c>
      <c r="D4" s="6">
        <v>103.34</v>
      </c>
      <c r="E4">
        <f t="shared" si="1"/>
        <v>478.11594419999994</v>
      </c>
      <c r="F4">
        <v>0</v>
      </c>
      <c r="G4">
        <f t="shared" si="2"/>
        <v>-4.3767928194688537</v>
      </c>
      <c r="H4">
        <f t="shared" si="3"/>
        <v>-21.883959899999979</v>
      </c>
      <c r="I4" s="1">
        <v>44084</v>
      </c>
      <c r="J4" s="4">
        <f t="shared" ca="1" si="4"/>
        <v>128</v>
      </c>
      <c r="K4" s="4">
        <f t="shared" ca="1" si="5"/>
        <v>0.35044490075290896</v>
      </c>
      <c r="L4">
        <f t="shared" ca="1" si="0"/>
        <v>-12.489246697742178</v>
      </c>
      <c r="M4">
        <f>E4/E2*100</f>
        <v>2.3910090410755682</v>
      </c>
      <c r="N4" t="s">
        <v>9</v>
      </c>
      <c r="O4" s="7">
        <v>1.86</v>
      </c>
    </row>
    <row r="5" spans="1:23" x14ac:dyDescent="0.2">
      <c r="A5" t="s">
        <v>11</v>
      </c>
      <c r="B5">
        <v>1.773528</v>
      </c>
      <c r="C5">
        <v>93.46</v>
      </c>
      <c r="D5" s="6">
        <v>108.7</v>
      </c>
      <c r="E5">
        <f t="shared" si="1"/>
        <v>192.78249360000001</v>
      </c>
      <c r="F5">
        <v>0</v>
      </c>
      <c r="G5">
        <f t="shared" si="2"/>
        <v>16.306441258292327</v>
      </c>
      <c r="H5">
        <f t="shared" si="3"/>
        <v>27.028566720000015</v>
      </c>
      <c r="I5" s="1">
        <v>44084</v>
      </c>
      <c r="J5" s="4">
        <f t="shared" ca="1" si="4"/>
        <v>128</v>
      </c>
      <c r="K5" s="4">
        <f t="shared" ca="1" si="5"/>
        <v>0.35044490075290896</v>
      </c>
      <c r="L5">
        <f t="shared" ca="1" si="0"/>
        <v>46.530684918681821</v>
      </c>
      <c r="M5">
        <f>E5/E2*100</f>
        <v>0.96408557537222772</v>
      </c>
      <c r="N5" t="s">
        <v>9</v>
      </c>
      <c r="O5" s="7">
        <v>1.56</v>
      </c>
      <c r="Q5" s="1">
        <v>44084</v>
      </c>
      <c r="R5">
        <v>14355.45</v>
      </c>
    </row>
    <row r="6" spans="1:23" x14ac:dyDescent="0.2">
      <c r="A6" t="s">
        <v>13</v>
      </c>
      <c r="B6">
        <v>1.8553729999999999</v>
      </c>
      <c r="C6">
        <v>107.8</v>
      </c>
      <c r="D6" s="6">
        <v>156.5</v>
      </c>
      <c r="E6">
        <f t="shared" si="1"/>
        <v>290.36587450000002</v>
      </c>
      <c r="F6">
        <v>0</v>
      </c>
      <c r="G6">
        <f t="shared" si="2"/>
        <v>45.176252319109466</v>
      </c>
      <c r="H6">
        <f t="shared" si="3"/>
        <v>90.356665100000043</v>
      </c>
      <c r="I6" s="1">
        <v>44084</v>
      </c>
      <c r="J6" s="4">
        <f t="shared" ca="1" si="4"/>
        <v>128</v>
      </c>
      <c r="K6" s="4">
        <f t="shared" ca="1" si="5"/>
        <v>0.35044490075290896</v>
      </c>
      <c r="L6">
        <f t="shared" ca="1" si="0"/>
        <v>128.91114187152135</v>
      </c>
      <c r="M6">
        <f>E6/E2*100</f>
        <v>1.4520901040248426</v>
      </c>
      <c r="N6" t="s">
        <v>9</v>
      </c>
      <c r="O6" s="7">
        <v>1.04</v>
      </c>
      <c r="P6">
        <f t="shared" ref="P6:P14" si="6">Q6-Q5+P5</f>
        <v>5</v>
      </c>
      <c r="Q6" s="1">
        <v>44089</v>
      </c>
      <c r="R6">
        <v>15110.38</v>
      </c>
      <c r="S6">
        <v>500</v>
      </c>
      <c r="T6">
        <f t="shared" ref="T6:T14" si="7">(R6-S6-R5)/R5*100</f>
        <v>1.7758412310307128</v>
      </c>
      <c r="U6">
        <f>(R6-S6-R5)/R5*100</f>
        <v>1.7758412310307128</v>
      </c>
      <c r="V6">
        <f>T6/(P6/365)</f>
        <v>129.63640986524203</v>
      </c>
      <c r="W6">
        <f t="shared" ref="W6:W14" si="8">U6/(P6/365)</f>
        <v>129.63640986524203</v>
      </c>
    </row>
    <row r="7" spans="1:23" x14ac:dyDescent="0.2">
      <c r="A7" t="s">
        <v>14</v>
      </c>
      <c r="B7">
        <v>12.977095</v>
      </c>
      <c r="C7">
        <v>55.72</v>
      </c>
      <c r="D7" s="6">
        <v>105.16</v>
      </c>
      <c r="E7">
        <f t="shared" si="1"/>
        <v>1364.6713101999999</v>
      </c>
      <c r="F7">
        <v>2.85</v>
      </c>
      <c r="G7">
        <f t="shared" si="2"/>
        <v>89.123506315070983</v>
      </c>
      <c r="H7">
        <f t="shared" si="3"/>
        <v>644.43757679999987</v>
      </c>
      <c r="I7" s="1">
        <v>44084</v>
      </c>
      <c r="J7" s="4">
        <f t="shared" ca="1" si="4"/>
        <v>128</v>
      </c>
      <c r="K7" s="4">
        <f t="shared" ca="1" si="5"/>
        <v>0.35044490075290896</v>
      </c>
      <c r="L7">
        <f t="shared" ca="1" si="0"/>
        <v>254.31531782484123</v>
      </c>
      <c r="M7">
        <f>E7/E2*100</f>
        <v>6.824581945796238</v>
      </c>
      <c r="N7" t="s">
        <v>9</v>
      </c>
      <c r="O7" s="7">
        <v>0.91</v>
      </c>
      <c r="P7">
        <f t="shared" si="6"/>
        <v>21</v>
      </c>
      <c r="Q7" s="1">
        <v>44105</v>
      </c>
      <c r="R7">
        <v>15799.23</v>
      </c>
      <c r="S7">
        <v>500</v>
      </c>
      <c r="T7">
        <f t="shared" si="7"/>
        <v>1.2498031154742659</v>
      </c>
      <c r="U7">
        <f>(R7-SUM(S6:S7)-R5)/R5*100</f>
        <v>3.0913694798839382</v>
      </c>
      <c r="V7">
        <f t="shared" ref="V7:V14" si="9">T7/((P7-P6)/365)</f>
        <v>28.511133571756691</v>
      </c>
      <c r="W7">
        <f t="shared" si="8"/>
        <v>53.73094572179226</v>
      </c>
    </row>
    <row r="8" spans="1:23" x14ac:dyDescent="0.2">
      <c r="A8" t="s">
        <v>17</v>
      </c>
      <c r="B8">
        <v>0.97524</v>
      </c>
      <c r="C8">
        <v>264.25</v>
      </c>
      <c r="D8" s="6">
        <v>322.52</v>
      </c>
      <c r="E8">
        <f t="shared" si="1"/>
        <v>314.5344048</v>
      </c>
      <c r="F8">
        <v>0.93</v>
      </c>
      <c r="G8">
        <f t="shared" si="2"/>
        <v>22.411962693936676</v>
      </c>
      <c r="H8">
        <f t="shared" si="3"/>
        <v>57.757234799999985</v>
      </c>
      <c r="I8" s="1">
        <v>44084</v>
      </c>
      <c r="J8" s="4">
        <f t="shared" ca="1" si="4"/>
        <v>128</v>
      </c>
      <c r="K8" s="4">
        <f t="shared" ca="1" si="5"/>
        <v>0.35044490075290896</v>
      </c>
      <c r="L8">
        <f t="shared" ca="1" si="0"/>
        <v>63.952885734065397</v>
      </c>
      <c r="M8">
        <f>E8/E2*100</f>
        <v>1.572954457447526</v>
      </c>
      <c r="N8" t="s">
        <v>9</v>
      </c>
      <c r="O8" s="7">
        <v>1.2</v>
      </c>
      <c r="P8">
        <f t="shared" si="6"/>
        <v>35</v>
      </c>
      <c r="Q8" s="1">
        <v>44119</v>
      </c>
      <c r="R8">
        <v>15691.1551</v>
      </c>
      <c r="S8">
        <v>-537.11703699999998</v>
      </c>
      <c r="T8">
        <f t="shared" si="7"/>
        <v>2.715588905282095</v>
      </c>
      <c r="U8">
        <f>(R8-SUM(S6:S8)-R5)/R5*100</f>
        <v>6.0800750725334227</v>
      </c>
      <c r="V8">
        <f t="shared" si="9"/>
        <v>70.79928217342605</v>
      </c>
      <c r="W8">
        <f t="shared" si="8"/>
        <v>63.406497184991409</v>
      </c>
    </row>
    <row r="9" spans="1:23" x14ac:dyDescent="0.2">
      <c r="A9" t="s">
        <v>18</v>
      </c>
      <c r="B9">
        <v>1.383141</v>
      </c>
      <c r="C9">
        <v>361.5</v>
      </c>
      <c r="D9" s="6">
        <v>448.18</v>
      </c>
      <c r="E9">
        <f t="shared" si="1"/>
        <v>619.89613338000004</v>
      </c>
      <c r="F9">
        <v>4.5</v>
      </c>
      <c r="G9">
        <f t="shared" si="2"/>
        <v>24.877860137576512</v>
      </c>
      <c r="H9">
        <f t="shared" si="3"/>
        <v>124.39066188000004</v>
      </c>
      <c r="I9" s="1">
        <v>44084</v>
      </c>
      <c r="J9" s="4">
        <f t="shared" ca="1" si="4"/>
        <v>128</v>
      </c>
      <c r="K9" s="4">
        <f t="shared" ca="1" si="5"/>
        <v>0.35044490075290896</v>
      </c>
      <c r="L9">
        <f t="shared" ca="1" si="0"/>
        <v>70.989362619139229</v>
      </c>
      <c r="M9">
        <f>E9/E2*100</f>
        <v>3.1000372972697998</v>
      </c>
      <c r="N9" t="s">
        <v>9</v>
      </c>
      <c r="O9" s="7">
        <v>1.06</v>
      </c>
      <c r="P9">
        <f t="shared" si="6"/>
        <v>52</v>
      </c>
      <c r="Q9" s="1">
        <v>44136</v>
      </c>
      <c r="R9">
        <v>14822.7376</v>
      </c>
      <c r="S9">
        <v>0</v>
      </c>
      <c r="T9">
        <f t="shared" si="7"/>
        <v>-5.5344395901102246</v>
      </c>
      <c r="U9">
        <f>(R9-SUM(S6:S9)-R5)/R5*100</f>
        <v>3.0682681490302555E-2</v>
      </c>
      <c r="V9">
        <f t="shared" si="9"/>
        <v>-118.82767355236658</v>
      </c>
      <c r="W9">
        <f t="shared" si="8"/>
        <v>0.2153688219992391</v>
      </c>
    </row>
    <row r="10" spans="1:23" x14ac:dyDescent="0.2">
      <c r="A10" t="s">
        <v>60</v>
      </c>
      <c r="B10">
        <v>0.532883</v>
      </c>
      <c r="C10">
        <v>281.49</v>
      </c>
      <c r="D10" s="6">
        <v>280</v>
      </c>
      <c r="E10">
        <f t="shared" si="1"/>
        <v>149.20724000000001</v>
      </c>
      <c r="F10">
        <v>0</v>
      </c>
      <c r="G10">
        <f t="shared" si="2"/>
        <v>-0.52932608618423715</v>
      </c>
      <c r="H10">
        <f t="shared" si="3"/>
        <v>-0.79399566999998683</v>
      </c>
      <c r="I10" s="1">
        <v>44089</v>
      </c>
      <c r="J10" s="4">
        <f t="shared" ca="1" si="4"/>
        <v>123</v>
      </c>
      <c r="K10" s="4">
        <f t="shared" ca="1" si="5"/>
        <v>0.33675564681724846</v>
      </c>
      <c r="L10">
        <f t="shared" ca="1" si="0"/>
        <v>-1.5718402681202652</v>
      </c>
      <c r="M10">
        <f>E10/E2*100</f>
        <v>0.74617017935025864</v>
      </c>
      <c r="N10" t="s">
        <v>9</v>
      </c>
      <c r="O10" s="7">
        <v>1.17</v>
      </c>
      <c r="P10">
        <f t="shared" si="6"/>
        <v>66</v>
      </c>
      <c r="Q10" s="1">
        <v>44150</v>
      </c>
      <c r="R10">
        <v>16464.306199999999</v>
      </c>
      <c r="S10">
        <v>209.3</v>
      </c>
      <c r="T10">
        <f t="shared" si="7"/>
        <v>9.6626455830939033</v>
      </c>
      <c r="U10">
        <f>(R10-SUM(S6:S10)-R5)/R5*100</f>
        <v>10.007859293857029</v>
      </c>
      <c r="V10">
        <f t="shared" si="9"/>
        <v>251.91897413066246</v>
      </c>
      <c r="W10">
        <f t="shared" si="8"/>
        <v>55.346494579663869</v>
      </c>
    </row>
    <row r="11" spans="1:23" x14ac:dyDescent="0.2">
      <c r="A11" t="s">
        <v>62</v>
      </c>
      <c r="B11">
        <v>1.67743</v>
      </c>
      <c r="C11">
        <v>59.62</v>
      </c>
      <c r="D11" s="6">
        <v>66.02</v>
      </c>
      <c r="E11">
        <f t="shared" si="1"/>
        <v>110.74392859999999</v>
      </c>
      <c r="F11">
        <v>0.75</v>
      </c>
      <c r="G11">
        <f t="shared" si="2"/>
        <v>11.484589981835585</v>
      </c>
      <c r="H11">
        <f t="shared" si="3"/>
        <v>11.485551999999998</v>
      </c>
      <c r="I11" s="1">
        <v>44089</v>
      </c>
      <c r="J11" s="4">
        <f t="shared" ca="1" si="4"/>
        <v>123</v>
      </c>
      <c r="K11" s="4">
        <f t="shared" ca="1" si="5"/>
        <v>0.33675564681724846</v>
      </c>
      <c r="L11">
        <f t="shared" ca="1" si="0"/>
        <v>34.103630007036159</v>
      </c>
      <c r="M11">
        <f>E11/E2*100</f>
        <v>0.55381908455256068</v>
      </c>
      <c r="N11" t="s">
        <v>9</v>
      </c>
      <c r="O11" s="7">
        <v>1.1399999999999999</v>
      </c>
      <c r="P11">
        <f t="shared" si="6"/>
        <v>82</v>
      </c>
      <c r="Q11" s="1">
        <v>44166</v>
      </c>
      <c r="R11">
        <v>18119.524799999999</v>
      </c>
      <c r="S11">
        <v>0</v>
      </c>
      <c r="T11">
        <f t="shared" si="7"/>
        <v>10.053375950940467</v>
      </c>
      <c r="U11">
        <f>(R11-SUM(S6:S11)-R5)/R5*100</f>
        <v>21.538104601388316</v>
      </c>
      <c r="V11">
        <f t="shared" si="9"/>
        <v>229.34263888082938</v>
      </c>
      <c r="W11">
        <f t="shared" si="8"/>
        <v>95.87083145739922</v>
      </c>
    </row>
    <row r="12" spans="1:23" x14ac:dyDescent="0.2">
      <c r="A12" t="s">
        <v>93</v>
      </c>
      <c r="B12">
        <v>5</v>
      </c>
      <c r="C12">
        <v>46.5</v>
      </c>
      <c r="D12" s="6">
        <v>67.37</v>
      </c>
      <c r="E12">
        <f t="shared" si="1"/>
        <v>336.85</v>
      </c>
      <c r="F12">
        <v>0</v>
      </c>
      <c r="G12">
        <f t="shared" si="2"/>
        <v>44.881720430107535</v>
      </c>
      <c r="H12">
        <f t="shared" si="3"/>
        <v>104.35000000000002</v>
      </c>
      <c r="I12" s="1">
        <v>44151</v>
      </c>
      <c r="J12" s="4">
        <f t="shared" ca="1" si="4"/>
        <v>61</v>
      </c>
      <c r="K12" s="4">
        <f t="shared" ca="1" si="5"/>
        <v>0.16700889801505817</v>
      </c>
      <c r="L12">
        <f t="shared" ca="1" si="0"/>
        <v>268.73849814912751</v>
      </c>
      <c r="M12">
        <f>E12/E2*100</f>
        <v>1.6845524715431677</v>
      </c>
      <c r="N12" t="s">
        <v>9</v>
      </c>
      <c r="O12" s="7">
        <v>1.1000000000000001</v>
      </c>
      <c r="P12">
        <f t="shared" si="6"/>
        <v>97</v>
      </c>
      <c r="Q12" s="1">
        <v>44181</v>
      </c>
      <c r="R12">
        <v>18392.165199999999</v>
      </c>
      <c r="S12">
        <v>0</v>
      </c>
      <c r="T12">
        <f t="shared" si="7"/>
        <v>1.5046774295096317</v>
      </c>
      <c r="U12">
        <f>(R12-SUM(S6:S12)-R5)/R5*100</f>
        <v>23.437316398998284</v>
      </c>
      <c r="V12">
        <f t="shared" si="9"/>
        <v>36.61381745140104</v>
      </c>
      <c r="W12">
        <f t="shared" si="8"/>
        <v>88.191963769426522</v>
      </c>
    </row>
    <row r="13" spans="1:23" x14ac:dyDescent="0.2">
      <c r="A13" t="s">
        <v>22</v>
      </c>
      <c r="B13">
        <v>4.5094200000000004</v>
      </c>
      <c r="C13">
        <v>110.88</v>
      </c>
      <c r="D13" s="6">
        <v>134.21</v>
      </c>
      <c r="E13">
        <f t="shared" si="1"/>
        <v>605.20925820000014</v>
      </c>
      <c r="F13">
        <v>1.8</v>
      </c>
      <c r="G13">
        <f t="shared" si="2"/>
        <v>21.400761558281818</v>
      </c>
      <c r="H13">
        <f t="shared" si="3"/>
        <v>107.00476860000013</v>
      </c>
      <c r="I13" s="1">
        <v>44084</v>
      </c>
      <c r="J13" s="4">
        <f t="shared" ca="1" si="4"/>
        <v>128</v>
      </c>
      <c r="K13" s="4">
        <f t="shared" ca="1" si="5"/>
        <v>0.35044490075290896</v>
      </c>
      <c r="L13">
        <f t="shared" ca="1" si="0"/>
        <v>61.067407493456514</v>
      </c>
      <c r="M13">
        <f>E13/E2*100</f>
        <v>3.0265897334172993</v>
      </c>
      <c r="N13" t="s">
        <v>9</v>
      </c>
      <c r="O13" s="7">
        <v>0.93</v>
      </c>
      <c r="P13">
        <f t="shared" si="6"/>
        <v>123</v>
      </c>
      <c r="Q13" s="1">
        <v>44207</v>
      </c>
      <c r="R13">
        <v>19378.997599999999</v>
      </c>
      <c r="S13">
        <v>350</v>
      </c>
      <c r="T13">
        <f t="shared" si="7"/>
        <v>3.4625200082478562</v>
      </c>
      <c r="U13">
        <f>(R13-SUM(S6:S13)-R5)/R5*100</f>
        <v>27.873488027195236</v>
      </c>
      <c r="V13">
        <f t="shared" si="9"/>
        <v>48.608453961941059</v>
      </c>
      <c r="W13">
        <f t="shared" si="8"/>
        <v>82.71400918639236</v>
      </c>
    </row>
    <row r="14" spans="1:23" x14ac:dyDescent="0.2">
      <c r="A14" t="s">
        <v>23</v>
      </c>
      <c r="B14">
        <v>2.0046900000000001</v>
      </c>
      <c r="C14">
        <v>172.81</v>
      </c>
      <c r="D14" s="6">
        <v>220.06</v>
      </c>
      <c r="E14">
        <f t="shared" si="1"/>
        <v>441.15208140000004</v>
      </c>
      <c r="F14">
        <v>0</v>
      </c>
      <c r="G14">
        <f t="shared" si="2"/>
        <v>27.34216769862855</v>
      </c>
      <c r="H14">
        <f t="shared" si="3"/>
        <v>94.721602500000017</v>
      </c>
      <c r="I14" s="1">
        <v>44084</v>
      </c>
      <c r="J14" s="4">
        <f t="shared" ca="1" si="4"/>
        <v>128</v>
      </c>
      <c r="K14" s="4">
        <f t="shared" ca="1" si="5"/>
        <v>0.35044490075290896</v>
      </c>
      <c r="L14">
        <f t="shared" ca="1" si="0"/>
        <v>78.021302749406857</v>
      </c>
      <c r="M14">
        <f>E14/E2*100</f>
        <v>2.2061565356947686</v>
      </c>
      <c r="N14" t="s">
        <v>9</v>
      </c>
      <c r="O14" s="7">
        <v>1.67</v>
      </c>
      <c r="P14">
        <f t="shared" si="6"/>
        <v>128</v>
      </c>
      <c r="Q14" s="1">
        <v>44212</v>
      </c>
      <c r="R14">
        <v>19996.408899999999</v>
      </c>
      <c r="S14">
        <v>0</v>
      </c>
      <c r="T14">
        <f t="shared" si="7"/>
        <v>3.1859816113502166</v>
      </c>
      <c r="U14">
        <f>(R14-SUM(S6:S14)-R5)/R5*100</f>
        <v>32.174372360323069</v>
      </c>
      <c r="V14">
        <f t="shared" si="9"/>
        <v>232.57665762856584</v>
      </c>
      <c r="W14">
        <f t="shared" si="8"/>
        <v>91.747233683733754</v>
      </c>
    </row>
    <row r="15" spans="1:23" x14ac:dyDescent="0.2">
      <c r="A15" t="s">
        <v>24</v>
      </c>
      <c r="B15">
        <v>8.7938770000000002</v>
      </c>
      <c r="C15">
        <v>56.86</v>
      </c>
      <c r="D15" s="6">
        <v>64.12</v>
      </c>
      <c r="E15">
        <f t="shared" si="1"/>
        <v>563.86339324000005</v>
      </c>
      <c r="F15">
        <v>0</v>
      </c>
      <c r="G15">
        <f t="shared" si="2"/>
        <v>12.768202602884287</v>
      </c>
      <c r="H15">
        <f t="shared" si="3"/>
        <v>63.843547020000074</v>
      </c>
      <c r="I15" s="1">
        <v>44084</v>
      </c>
      <c r="J15" s="4">
        <f t="shared" ca="1" si="4"/>
        <v>128</v>
      </c>
      <c r="K15" s="4">
        <f t="shared" ca="1" si="5"/>
        <v>0.35044490075290896</v>
      </c>
      <c r="L15">
        <f t="shared" ca="1" si="0"/>
        <v>36.434265630495986</v>
      </c>
      <c r="M15">
        <f>E15/E2*100</f>
        <v>2.8198232824555709</v>
      </c>
      <c r="N15" t="s">
        <v>9</v>
      </c>
      <c r="O15" s="7">
        <v>1.06</v>
      </c>
    </row>
    <row r="16" spans="1:23" x14ac:dyDescent="0.2">
      <c r="A16" t="s">
        <v>25</v>
      </c>
      <c r="B16">
        <v>3.7509939999999999</v>
      </c>
      <c r="C16">
        <v>66.650000000000006</v>
      </c>
      <c r="D16" s="6">
        <v>79.63</v>
      </c>
      <c r="E16">
        <f t="shared" si="1"/>
        <v>298.69165221999998</v>
      </c>
      <c r="F16">
        <v>0.83</v>
      </c>
      <c r="G16">
        <f t="shared" si="2"/>
        <v>19.806863737121187</v>
      </c>
      <c r="H16">
        <f t="shared" si="3"/>
        <v>49.51790211999996</v>
      </c>
      <c r="I16" s="1">
        <v>44084</v>
      </c>
      <c r="J16" s="4">
        <f t="shared" ca="1" si="4"/>
        <v>128</v>
      </c>
      <c r="K16" s="4">
        <f t="shared" ca="1" si="5"/>
        <v>0.35044490075290896</v>
      </c>
      <c r="L16">
        <f t="shared" ca="1" si="0"/>
        <v>56.519195156121199</v>
      </c>
      <c r="M16">
        <f>E16/E2*100</f>
        <v>1.4937264686849139</v>
      </c>
      <c r="N16" t="s">
        <v>9</v>
      </c>
      <c r="O16" s="7">
        <v>1.01</v>
      </c>
    </row>
    <row r="17" spans="1:15" x14ac:dyDescent="0.2">
      <c r="A17" t="s">
        <v>26</v>
      </c>
      <c r="B17">
        <v>2.8274509999999999</v>
      </c>
      <c r="C17">
        <v>110.66</v>
      </c>
      <c r="D17" s="6">
        <v>124.67</v>
      </c>
      <c r="E17">
        <f t="shared" si="1"/>
        <v>352.49831617000001</v>
      </c>
      <c r="F17">
        <v>1.58</v>
      </c>
      <c r="G17">
        <f t="shared" si="2"/>
        <v>13.165377921859802</v>
      </c>
      <c r="H17">
        <f t="shared" si="3"/>
        <v>41.192588510000022</v>
      </c>
      <c r="I17" s="1">
        <v>44084</v>
      </c>
      <c r="J17" s="4">
        <f t="shared" ca="1" si="4"/>
        <v>128</v>
      </c>
      <c r="K17" s="4">
        <f t="shared" ca="1" si="5"/>
        <v>0.35044490075290896</v>
      </c>
      <c r="L17">
        <f t="shared" ca="1" si="0"/>
        <v>37.567611609056975</v>
      </c>
      <c r="M17">
        <f>E17/E2*100</f>
        <v>1.7628081036632877</v>
      </c>
      <c r="N17" t="s">
        <v>9</v>
      </c>
      <c r="O17" s="7">
        <v>1.92</v>
      </c>
    </row>
    <row r="18" spans="1:15" x14ac:dyDescent="0.2">
      <c r="A18" t="s">
        <v>69</v>
      </c>
      <c r="B18">
        <v>3.033128</v>
      </c>
      <c r="C18">
        <v>82.42</v>
      </c>
      <c r="D18" s="6">
        <v>119.19</v>
      </c>
      <c r="E18">
        <f t="shared" si="1"/>
        <v>361.51852631999998</v>
      </c>
      <c r="F18">
        <v>0</v>
      </c>
      <c r="G18">
        <f t="shared" si="2"/>
        <v>44.612958019898073</v>
      </c>
      <c r="H18">
        <f t="shared" si="3"/>
        <v>111.52811655999997</v>
      </c>
      <c r="I18" s="1">
        <v>44105</v>
      </c>
      <c r="J18" s="4">
        <f t="shared" ca="1" si="4"/>
        <v>107</v>
      </c>
      <c r="K18" s="4">
        <f t="shared" ca="1" si="5"/>
        <v>0.29295003422313481</v>
      </c>
      <c r="L18">
        <f t="shared" ca="1" si="0"/>
        <v>152.28862539035302</v>
      </c>
      <c r="M18">
        <f>E18/E2*100</f>
        <v>1.8079172540329511</v>
      </c>
      <c r="N18" t="s">
        <v>9</v>
      </c>
      <c r="O18" s="7">
        <v>1.35</v>
      </c>
    </row>
    <row r="19" spans="1:15" x14ac:dyDescent="0.2">
      <c r="A19" t="s">
        <v>27</v>
      </c>
      <c r="B19">
        <v>8.0308740000000007</v>
      </c>
      <c r="C19">
        <v>31.13</v>
      </c>
      <c r="D19" s="6">
        <v>61.07</v>
      </c>
      <c r="E19">
        <f t="shared" si="1"/>
        <v>490.44547518000007</v>
      </c>
      <c r="F19">
        <v>3.01</v>
      </c>
      <c r="G19">
        <f t="shared" si="2"/>
        <v>97.381315578028961</v>
      </c>
      <c r="H19">
        <f t="shared" si="3"/>
        <v>243.45436756000004</v>
      </c>
      <c r="I19" s="1">
        <v>44084</v>
      </c>
      <c r="J19" s="4">
        <f t="shared" ca="1" si="4"/>
        <v>128</v>
      </c>
      <c r="K19" s="4">
        <f t="shared" ca="1" si="5"/>
        <v>0.35044490075290896</v>
      </c>
      <c r="L19">
        <f t="shared" ca="1" si="0"/>
        <v>277.87910558496156</v>
      </c>
      <c r="M19">
        <f>E19/E2*100</f>
        <v>2.4526677671712402</v>
      </c>
      <c r="N19" t="s">
        <v>9</v>
      </c>
      <c r="O19" s="7">
        <v>0.81</v>
      </c>
    </row>
    <row r="20" spans="1:15" x14ac:dyDescent="0.2">
      <c r="A20" t="s">
        <v>29</v>
      </c>
      <c r="B20">
        <v>2.0623649999999998</v>
      </c>
      <c r="C20">
        <v>121.22</v>
      </c>
      <c r="D20" s="6">
        <v>192.57</v>
      </c>
      <c r="E20">
        <f t="shared" si="1"/>
        <v>397.14962804999993</v>
      </c>
      <c r="F20">
        <v>0</v>
      </c>
      <c r="G20">
        <f t="shared" si="2"/>
        <v>58.859924104933171</v>
      </c>
      <c r="H20">
        <f t="shared" si="3"/>
        <v>147.14974274999997</v>
      </c>
      <c r="I20" s="1">
        <v>44084</v>
      </c>
      <c r="J20" s="4">
        <f t="shared" ca="1" si="4"/>
        <v>128</v>
      </c>
      <c r="K20" s="4">
        <f t="shared" ca="1" si="5"/>
        <v>0.35044490075290896</v>
      </c>
      <c r="L20">
        <f t="shared" ca="1" si="0"/>
        <v>167.95771311974096</v>
      </c>
      <c r="M20">
        <f>E20/E2*100</f>
        <v>1.986104757322479</v>
      </c>
      <c r="N20" t="s">
        <v>9</v>
      </c>
      <c r="O20" s="7">
        <v>0.52</v>
      </c>
    </row>
    <row r="21" spans="1:15" x14ac:dyDescent="0.2">
      <c r="A21" t="s">
        <v>30</v>
      </c>
      <c r="B21">
        <v>3.369955</v>
      </c>
      <c r="C21">
        <v>148.37</v>
      </c>
      <c r="D21" s="6">
        <v>128.56</v>
      </c>
      <c r="E21">
        <f t="shared" si="1"/>
        <v>433.24141480000003</v>
      </c>
      <c r="F21">
        <v>1.18</v>
      </c>
      <c r="G21">
        <f t="shared" si="2"/>
        <v>-13.115755851191865</v>
      </c>
      <c r="H21">
        <f t="shared" si="3"/>
        <v>-65.578808549999962</v>
      </c>
      <c r="I21" s="1">
        <v>44084</v>
      </c>
      <c r="J21" s="4">
        <f t="shared" ca="1" si="4"/>
        <v>128</v>
      </c>
      <c r="K21" s="4">
        <f t="shared" ca="1" si="5"/>
        <v>0.35044490075290896</v>
      </c>
      <c r="L21">
        <f t="shared" ca="1" si="0"/>
        <v>-37.426014255061162</v>
      </c>
      <c r="M21">
        <f>E21/E2*100</f>
        <v>2.1665960993801359</v>
      </c>
      <c r="N21" t="s">
        <v>9</v>
      </c>
      <c r="O21" s="7">
        <v>1.67</v>
      </c>
    </row>
    <row r="22" spans="1:15" x14ac:dyDescent="0.2">
      <c r="A22" t="s">
        <v>36</v>
      </c>
      <c r="B22">
        <v>5.1414609999999996</v>
      </c>
      <c r="C22">
        <v>97.25</v>
      </c>
      <c r="D22" s="6">
        <v>106.56</v>
      </c>
      <c r="E22">
        <f t="shared" si="1"/>
        <v>547.87408415999994</v>
      </c>
      <c r="F22">
        <v>0</v>
      </c>
      <c r="G22">
        <f t="shared" si="2"/>
        <v>9.5732647814910052</v>
      </c>
      <c r="H22">
        <f t="shared" si="3"/>
        <v>47.867001909999999</v>
      </c>
      <c r="I22" s="1">
        <v>44084</v>
      </c>
      <c r="J22" s="4">
        <f t="shared" ca="1" si="4"/>
        <v>128</v>
      </c>
      <c r="K22" s="4">
        <f t="shared" ca="1" si="5"/>
        <v>0.35044490075290896</v>
      </c>
      <c r="L22">
        <f t="shared" ca="1" si="0"/>
        <v>27.317460636246796</v>
      </c>
      <c r="M22">
        <f>E22/E2*100</f>
        <v>2.7398623795938168</v>
      </c>
      <c r="N22" t="s">
        <v>9</v>
      </c>
      <c r="O22" s="7">
        <v>1.62</v>
      </c>
    </row>
    <row r="23" spans="1:15" x14ac:dyDescent="0.2">
      <c r="A23" t="s">
        <v>61</v>
      </c>
      <c r="B23">
        <f>3.756681+0.174776</f>
        <v>3.931457</v>
      </c>
      <c r="C23">
        <f>(3.756681*66.55+0.174776*64.43)/B23</f>
        <v>66.455753739644095</v>
      </c>
      <c r="D23" s="6">
        <v>62.3</v>
      </c>
      <c r="E23">
        <f t="shared" si="1"/>
        <v>244.92977109999998</v>
      </c>
      <c r="F23">
        <v>2.67</v>
      </c>
      <c r="G23">
        <f t="shared" si="2"/>
        <v>-5.2314750989337115</v>
      </c>
      <c r="H23">
        <f t="shared" si="3"/>
        <v>-13.668167129999988</v>
      </c>
      <c r="I23" s="1">
        <v>44084</v>
      </c>
      <c r="J23" s="4">
        <f t="shared" ca="1" si="4"/>
        <v>128</v>
      </c>
      <c r="K23" s="4">
        <f t="shared" ca="1" si="5"/>
        <v>0.35044490075290896</v>
      </c>
      <c r="L23">
        <f t="shared" ca="1" si="0"/>
        <v>-14.928095936605766</v>
      </c>
      <c r="M23">
        <f>E23/E2*100</f>
        <v>1.2248687880688951</v>
      </c>
      <c r="N23" t="s">
        <v>9</v>
      </c>
      <c r="O23" s="7">
        <v>1.52</v>
      </c>
    </row>
    <row r="24" spans="1:15" x14ac:dyDescent="0.2">
      <c r="A24" t="s">
        <v>33</v>
      </c>
      <c r="B24">
        <v>10</v>
      </c>
      <c r="C24">
        <v>30.74</v>
      </c>
      <c r="D24" s="6">
        <v>51.3</v>
      </c>
      <c r="E24">
        <f t="shared" si="1"/>
        <v>513</v>
      </c>
      <c r="F24">
        <f>3.8*17</f>
        <v>64.599999999999994</v>
      </c>
      <c r="G24">
        <f t="shared" si="2"/>
        <v>87.898503578399485</v>
      </c>
      <c r="H24">
        <f t="shared" si="3"/>
        <v>270.20000000000005</v>
      </c>
      <c r="I24" s="2">
        <v>42437</v>
      </c>
      <c r="J24" s="4">
        <f t="shared" ca="1" si="4"/>
        <v>1775</v>
      </c>
      <c r="K24" s="4">
        <f t="shared" ca="1" si="5"/>
        <v>4.85968514715948</v>
      </c>
      <c r="L24">
        <f t="shared" ca="1" si="0"/>
        <v>18.087283623667837</v>
      </c>
      <c r="M24">
        <f>E24/E2*100</f>
        <v>2.5654606439116665</v>
      </c>
      <c r="N24" t="s">
        <v>9</v>
      </c>
      <c r="O24" s="7">
        <v>0.7</v>
      </c>
    </row>
    <row r="25" spans="1:15" x14ac:dyDescent="0.2">
      <c r="A25" t="s">
        <v>37</v>
      </c>
      <c r="B25">
        <v>2.9366859999999999</v>
      </c>
      <c r="C25">
        <v>170.26</v>
      </c>
      <c r="D25" s="6">
        <v>192.96</v>
      </c>
      <c r="E25">
        <f t="shared" si="1"/>
        <v>566.66293055999995</v>
      </c>
      <c r="F25">
        <v>0.56999999999999995</v>
      </c>
      <c r="G25">
        <f t="shared" si="2"/>
        <v>13.446550181208639</v>
      </c>
      <c r="H25">
        <f t="shared" si="3"/>
        <v>67.232772199999999</v>
      </c>
      <c r="I25" s="1">
        <v>44084</v>
      </c>
      <c r="J25" s="4">
        <f t="shared" ca="1" si="4"/>
        <v>128</v>
      </c>
      <c r="K25" s="4">
        <f t="shared" ca="1" si="5"/>
        <v>0.35044490075290896</v>
      </c>
      <c r="L25">
        <f t="shared" ca="1" si="0"/>
        <v>38.369941044425431</v>
      </c>
      <c r="M25">
        <f>E25/E2*100</f>
        <v>2.8338234828758861</v>
      </c>
      <c r="N25" t="s">
        <v>9</v>
      </c>
      <c r="O25" s="7">
        <v>0.93</v>
      </c>
    </row>
    <row r="26" spans="1:15" x14ac:dyDescent="0.2">
      <c r="A26" t="s">
        <v>38</v>
      </c>
      <c r="B26">
        <v>2.9477410000000002</v>
      </c>
      <c r="C26">
        <v>135.69999999999999</v>
      </c>
      <c r="D26" s="6">
        <v>167.28</v>
      </c>
      <c r="E26">
        <f t="shared" si="1"/>
        <v>493.09811448000005</v>
      </c>
      <c r="F26">
        <v>0</v>
      </c>
      <c r="G26">
        <f t="shared" si="2"/>
        <v>23.271923360353732</v>
      </c>
      <c r="H26">
        <f t="shared" si="3"/>
        <v>93.089660780000088</v>
      </c>
      <c r="I26" s="1">
        <v>44084</v>
      </c>
      <c r="J26" s="4">
        <f t="shared" ca="1" si="4"/>
        <v>128</v>
      </c>
      <c r="K26" s="4">
        <f t="shared" ca="1" si="5"/>
        <v>0.35044490075290896</v>
      </c>
      <c r="L26">
        <f t="shared" ca="1" si="0"/>
        <v>66.406796932571879</v>
      </c>
      <c r="M26">
        <f>E26/E2*100</f>
        <v>2.4659333455857499</v>
      </c>
      <c r="N26" t="s">
        <v>9</v>
      </c>
      <c r="O26" s="7">
        <v>1.6</v>
      </c>
    </row>
    <row r="27" spans="1:15" x14ac:dyDescent="0.2">
      <c r="A27" t="s">
        <v>70</v>
      </c>
      <c r="B27">
        <v>6.9906100000000002</v>
      </c>
      <c r="C27">
        <v>70.22</v>
      </c>
      <c r="D27" s="6">
        <v>76.56</v>
      </c>
      <c r="E27">
        <f t="shared" si="1"/>
        <v>535.20110160000002</v>
      </c>
      <c r="F27">
        <v>0</v>
      </c>
      <c r="G27">
        <f t="shared" si="2"/>
        <v>9.0287667331244705</v>
      </c>
      <c r="H27">
        <f t="shared" si="3"/>
        <v>44.320467399999984</v>
      </c>
      <c r="I27" s="1">
        <v>44140</v>
      </c>
      <c r="J27" s="4">
        <f t="shared" ca="1" si="4"/>
        <v>72</v>
      </c>
      <c r="K27" s="4">
        <f t="shared" ca="1" si="5"/>
        <v>0.1971252566735113</v>
      </c>
      <c r="L27">
        <f t="shared" ca="1" si="0"/>
        <v>45.802181239912677</v>
      </c>
      <c r="M27">
        <f>E27/E2*100</f>
        <v>2.676486087198771</v>
      </c>
      <c r="N27" t="s">
        <v>9</v>
      </c>
      <c r="O27" s="7">
        <v>1.19</v>
      </c>
    </row>
    <row r="28" spans="1:15" x14ac:dyDescent="0.2">
      <c r="A28" t="s">
        <v>39</v>
      </c>
      <c r="B28">
        <v>62.878343000000001</v>
      </c>
      <c r="C28">
        <v>9.84</v>
      </c>
      <c r="D28" s="6">
        <v>12.65</v>
      </c>
      <c r="E28">
        <f t="shared" si="1"/>
        <v>795.41103895000003</v>
      </c>
      <c r="F28">
        <v>0</v>
      </c>
      <c r="G28">
        <f t="shared" si="2"/>
        <v>28.556910569105696</v>
      </c>
      <c r="H28">
        <f t="shared" si="3"/>
        <v>176.68814383000006</v>
      </c>
      <c r="I28" s="1">
        <v>44099</v>
      </c>
      <c r="J28" s="4">
        <f t="shared" ca="1" si="4"/>
        <v>113</v>
      </c>
      <c r="K28" s="4">
        <f t="shared" ca="1" si="5"/>
        <v>0.30937713894592744</v>
      </c>
      <c r="L28">
        <f t="shared" ca="1" si="0"/>
        <v>92.304527304122615</v>
      </c>
      <c r="M28">
        <f>E28/E2*100</f>
        <v>3.9777694272107507</v>
      </c>
      <c r="N28" t="s">
        <v>9</v>
      </c>
      <c r="O28" s="7">
        <v>0.63</v>
      </c>
    </row>
    <row r="29" spans="1:15" x14ac:dyDescent="0.2">
      <c r="A29" t="s">
        <v>40</v>
      </c>
      <c r="B29">
        <v>10.088991</v>
      </c>
      <c r="C29">
        <v>49.56</v>
      </c>
      <c r="D29" s="6">
        <v>58.85</v>
      </c>
      <c r="E29">
        <f t="shared" si="1"/>
        <v>593.73712035000005</v>
      </c>
      <c r="F29">
        <v>3.33</v>
      </c>
      <c r="G29">
        <f t="shared" si="2"/>
        <v>19.410941764895469</v>
      </c>
      <c r="H29">
        <f t="shared" si="3"/>
        <v>97.056726390000009</v>
      </c>
      <c r="I29" s="1">
        <v>44084</v>
      </c>
      <c r="J29" s="4">
        <f t="shared" ca="1" si="4"/>
        <v>128</v>
      </c>
      <c r="K29" s="4">
        <f t="shared" ca="1" si="5"/>
        <v>0.35044490075290896</v>
      </c>
      <c r="L29">
        <f t="shared" ca="1" si="0"/>
        <v>55.389425622094301</v>
      </c>
      <c r="M29">
        <f>E29/E2*100</f>
        <v>2.9692187428603702</v>
      </c>
      <c r="N29" t="s">
        <v>9</v>
      </c>
      <c r="O29" s="7">
        <v>1.33</v>
      </c>
    </row>
    <row r="30" spans="1:15" x14ac:dyDescent="0.2">
      <c r="A30" t="s">
        <v>71</v>
      </c>
      <c r="B30">
        <v>4.4642910000000002</v>
      </c>
      <c r="C30">
        <v>89.6</v>
      </c>
      <c r="D30" s="6">
        <v>105.92</v>
      </c>
      <c r="E30">
        <f t="shared" si="1"/>
        <v>472.85770272000002</v>
      </c>
      <c r="F30">
        <v>1.52</v>
      </c>
      <c r="G30">
        <f t="shared" si="2"/>
        <v>18.594285264366256</v>
      </c>
      <c r="H30">
        <f t="shared" si="3"/>
        <v>74.377229119999996</v>
      </c>
      <c r="I30" s="1">
        <v>44105</v>
      </c>
      <c r="J30" s="4">
        <f t="shared" ca="1" si="4"/>
        <v>107</v>
      </c>
      <c r="K30" s="4">
        <f t="shared" ca="1" si="5"/>
        <v>0.29295003422313481</v>
      </c>
      <c r="L30">
        <f t="shared" ca="1" si="0"/>
        <v>63.472548530932485</v>
      </c>
      <c r="M30">
        <f>E30/E2*100</f>
        <v>2.3647131120831242</v>
      </c>
      <c r="N30" t="s">
        <v>9</v>
      </c>
      <c r="O30" s="7">
        <v>1.24</v>
      </c>
    </row>
    <row r="31" spans="1:15" x14ac:dyDescent="0.2">
      <c r="A31" t="s">
        <v>72</v>
      </c>
      <c r="B31">
        <v>1.0626009999999999</v>
      </c>
      <c r="C31">
        <v>188.22</v>
      </c>
      <c r="D31" s="6">
        <v>219.88</v>
      </c>
      <c r="E31">
        <f t="shared" si="1"/>
        <v>233.64470787999997</v>
      </c>
      <c r="F31">
        <v>0</v>
      </c>
      <c r="G31">
        <f t="shared" si="2"/>
        <v>16.820741685261925</v>
      </c>
      <c r="H31">
        <f t="shared" si="3"/>
        <v>33.64194766</v>
      </c>
      <c r="I31" s="1">
        <v>44105</v>
      </c>
      <c r="J31" s="4">
        <f t="shared" ca="1" si="4"/>
        <v>107</v>
      </c>
      <c r="K31" s="4">
        <f t="shared" ca="1" si="5"/>
        <v>0.29295003422313481</v>
      </c>
      <c r="L31">
        <f t="shared" ca="1" si="0"/>
        <v>57.418466360204846</v>
      </c>
      <c r="M31">
        <f>E31/E2*100</f>
        <v>1.1684333386440118</v>
      </c>
      <c r="N31" t="s">
        <v>9</v>
      </c>
      <c r="O31" s="7">
        <v>1.58</v>
      </c>
    </row>
    <row r="32" spans="1:15" x14ac:dyDescent="0.2">
      <c r="A32" t="s">
        <v>73</v>
      </c>
      <c r="B32">
        <v>1.715436</v>
      </c>
      <c r="C32">
        <v>145.74</v>
      </c>
      <c r="D32" s="6">
        <v>186.8</v>
      </c>
      <c r="E32">
        <f t="shared" si="1"/>
        <v>320.44344480000001</v>
      </c>
      <c r="F32">
        <v>1.27</v>
      </c>
      <c r="G32">
        <f t="shared" si="2"/>
        <v>28.681444056193595</v>
      </c>
      <c r="H32">
        <f t="shared" si="3"/>
        <v>71.705802160000005</v>
      </c>
      <c r="I32" s="1">
        <v>44105</v>
      </c>
      <c r="J32" s="4">
        <f t="shared" ca="1" si="4"/>
        <v>107</v>
      </c>
      <c r="K32" s="4">
        <f t="shared" ca="1" si="5"/>
        <v>0.29295003422313481</v>
      </c>
      <c r="L32">
        <f t="shared" ca="1" si="0"/>
        <v>97.905583565651511</v>
      </c>
      <c r="M32">
        <f>E32/E2*100</f>
        <v>1.6025049634188708</v>
      </c>
      <c r="N32" t="s">
        <v>9</v>
      </c>
      <c r="O32" s="7">
        <v>0.97</v>
      </c>
    </row>
    <row r="33" spans="1:15" x14ac:dyDescent="0.2">
      <c r="A33" t="s">
        <v>42</v>
      </c>
      <c r="B33">
        <v>2.6588280000000002</v>
      </c>
      <c r="C33">
        <v>301.47000000000003</v>
      </c>
      <c r="D33" s="6">
        <v>552.98</v>
      </c>
      <c r="E33">
        <f t="shared" si="1"/>
        <v>1470.2787074400001</v>
      </c>
      <c r="F33">
        <v>3.46</v>
      </c>
      <c r="G33">
        <f t="shared" si="2"/>
        <v>83.859530051268521</v>
      </c>
      <c r="H33">
        <f t="shared" si="3"/>
        <v>672.18183027999999</v>
      </c>
      <c r="I33" s="1">
        <v>44084</v>
      </c>
      <c r="J33" s="4">
        <f t="shared" ca="1" si="4"/>
        <v>128</v>
      </c>
      <c r="K33" s="4">
        <f t="shared" ca="1" si="5"/>
        <v>0.35044490075290896</v>
      </c>
      <c r="L33">
        <f t="shared" ca="1" si="0"/>
        <v>239.29447930645179</v>
      </c>
      <c r="M33">
        <f>E33/E2*100</f>
        <v>7.3527137612449041</v>
      </c>
      <c r="N33" t="s">
        <v>9</v>
      </c>
      <c r="O33" s="7">
        <v>1.3</v>
      </c>
    </row>
    <row r="34" spans="1:15" x14ac:dyDescent="0.2">
      <c r="A34" t="s">
        <v>44</v>
      </c>
      <c r="B34">
        <v>4.8933299999999997</v>
      </c>
      <c r="C34">
        <v>102.18</v>
      </c>
      <c r="D34" s="6">
        <v>152.34</v>
      </c>
      <c r="E34">
        <f t="shared" si="1"/>
        <v>745.44989220000002</v>
      </c>
      <c r="F34">
        <v>1.8</v>
      </c>
      <c r="G34">
        <f t="shared" si="2"/>
        <v>49.449841125485975</v>
      </c>
      <c r="H34">
        <f t="shared" si="3"/>
        <v>247.24943280000002</v>
      </c>
      <c r="I34" s="1">
        <v>44084</v>
      </c>
      <c r="J34" s="4">
        <f t="shared" ca="1" si="4"/>
        <v>128</v>
      </c>
      <c r="K34" s="4">
        <f t="shared" ca="1" si="5"/>
        <v>0.35044490075290896</v>
      </c>
      <c r="L34">
        <f t="shared" ca="1" si="0"/>
        <v>141.10589430534182</v>
      </c>
      <c r="M34">
        <f>E34/E2*100</f>
        <v>3.7279188312812761</v>
      </c>
      <c r="N34" t="s">
        <v>9</v>
      </c>
      <c r="O34" s="7">
        <v>1.1599999999999999</v>
      </c>
    </row>
    <row r="35" spans="1:15" x14ac:dyDescent="0.2">
      <c r="A35" t="s">
        <v>45</v>
      </c>
      <c r="B35">
        <v>11.232438</v>
      </c>
      <c r="C35">
        <v>45.44</v>
      </c>
      <c r="D35" s="6">
        <v>80.92</v>
      </c>
      <c r="E35">
        <f t="shared" si="1"/>
        <v>908.92888296000001</v>
      </c>
      <c r="F35">
        <v>0</v>
      </c>
      <c r="G35">
        <f t="shared" si="2"/>
        <v>78.080985915492974</v>
      </c>
      <c r="H35">
        <f t="shared" si="3"/>
        <v>398.52690024000003</v>
      </c>
      <c r="I35" s="1">
        <v>44084</v>
      </c>
      <c r="J35" s="4">
        <f t="shared" ca="1" si="4"/>
        <v>128</v>
      </c>
      <c r="K35" s="4">
        <f t="shared" ca="1" si="5"/>
        <v>0.35044490075290896</v>
      </c>
      <c r="L35">
        <f t="shared" ca="1" si="0"/>
        <v>222.80531332526414</v>
      </c>
      <c r="M35">
        <f>E35/E2*100</f>
        <v>4.5454605796266545</v>
      </c>
      <c r="N35" t="s">
        <v>9</v>
      </c>
      <c r="O35" s="7">
        <v>1.63</v>
      </c>
    </row>
    <row r="36" spans="1:15" x14ac:dyDescent="0.2">
      <c r="A36" t="s">
        <v>48</v>
      </c>
      <c r="B36">
        <v>10.958327000000001</v>
      </c>
      <c r="C36">
        <v>45.63</v>
      </c>
      <c r="D36" s="6">
        <v>65.39</v>
      </c>
      <c r="E36">
        <f t="shared" si="1"/>
        <v>716.56500253000002</v>
      </c>
      <c r="F36">
        <v>5.26</v>
      </c>
      <c r="G36">
        <f t="shared" si="2"/>
        <v>44.356783426286654</v>
      </c>
      <c r="H36">
        <f t="shared" si="3"/>
        <v>221.79654151999995</v>
      </c>
      <c r="I36" s="1">
        <v>44084</v>
      </c>
      <c r="J36" s="4">
        <f t="shared" ca="1" si="4"/>
        <v>128</v>
      </c>
      <c r="K36" s="4">
        <f t="shared" ca="1" si="5"/>
        <v>0.35044490075290896</v>
      </c>
      <c r="L36">
        <f t="shared" ca="1" si="0"/>
        <v>126.57277458165001</v>
      </c>
      <c r="M36">
        <f>E36/E2*100</f>
        <v>3.5834684459945012</v>
      </c>
      <c r="N36" t="s">
        <v>9</v>
      </c>
      <c r="O36" s="7">
        <v>1.55</v>
      </c>
    </row>
    <row r="37" spans="1:15" x14ac:dyDescent="0.2">
      <c r="A37" t="s">
        <v>50</v>
      </c>
      <c r="B37">
        <v>8.6535130000000002</v>
      </c>
      <c r="C37">
        <v>57.78</v>
      </c>
      <c r="D37" s="6">
        <v>61.6</v>
      </c>
      <c r="E37">
        <f t="shared" si="1"/>
        <v>533.05640080000001</v>
      </c>
      <c r="F37">
        <v>2.08</v>
      </c>
      <c r="G37">
        <f t="shared" si="2"/>
        <v>7.0272841970691644</v>
      </c>
      <c r="H37">
        <f t="shared" si="3"/>
        <v>35.136419659999959</v>
      </c>
      <c r="I37" s="1">
        <v>44084</v>
      </c>
      <c r="J37" s="4">
        <f t="shared" ca="1" si="4"/>
        <v>128</v>
      </c>
      <c r="K37" s="4">
        <f t="shared" ca="1" si="5"/>
        <v>0.35044490075290896</v>
      </c>
      <c r="L37">
        <f t="shared" ca="1" si="0"/>
        <v>20.05246525765244</v>
      </c>
      <c r="M37">
        <f>E37/E2*100</f>
        <v>2.6657606573832431</v>
      </c>
      <c r="N37" t="s">
        <v>9</v>
      </c>
      <c r="O37" s="7">
        <v>1.23</v>
      </c>
    </row>
    <row r="38" spans="1:15" x14ac:dyDescent="0.2">
      <c r="A38" t="s">
        <v>114</v>
      </c>
      <c r="B38">
        <v>1.194124</v>
      </c>
      <c r="C38">
        <v>125.62</v>
      </c>
      <c r="D38" s="6">
        <v>147.46</v>
      </c>
      <c r="E38">
        <f t="shared" si="1"/>
        <v>176.08552503999999</v>
      </c>
      <c r="F38">
        <v>0.08</v>
      </c>
      <c r="G38">
        <f t="shared" si="2"/>
        <v>17.439097848643939</v>
      </c>
      <c r="H38">
        <f t="shared" si="3"/>
        <v>26.159668159999981</v>
      </c>
      <c r="I38" s="1">
        <v>44105</v>
      </c>
      <c r="J38" s="4">
        <f t="shared" ca="1" si="4"/>
        <v>107</v>
      </c>
      <c r="K38" s="4">
        <f t="shared" ca="1" si="5"/>
        <v>0.29295003422313481</v>
      </c>
      <c r="L38">
        <f t="shared" ca="1" si="0"/>
        <v>59.529256908571959</v>
      </c>
      <c r="M38">
        <f>E38/E2*100</f>
        <v>0.88058573967376674</v>
      </c>
      <c r="N38" t="s">
        <v>9</v>
      </c>
      <c r="O38" s="7">
        <v>1.5</v>
      </c>
    </row>
    <row r="39" spans="1:15" x14ac:dyDescent="0.2">
      <c r="A39" t="s">
        <v>51</v>
      </c>
      <c r="B39">
        <v>2.199379</v>
      </c>
      <c r="C39">
        <v>113.67</v>
      </c>
      <c r="D39" s="6">
        <v>160.77000000000001</v>
      </c>
      <c r="E39">
        <f t="shared" si="1"/>
        <v>353.59416183000002</v>
      </c>
      <c r="F39">
        <v>1.43</v>
      </c>
      <c r="G39">
        <f t="shared" si="2"/>
        <v>42.007727218332015</v>
      </c>
      <c r="H39">
        <f t="shared" si="3"/>
        <v>105.02075090000002</v>
      </c>
      <c r="I39" s="1">
        <v>44084</v>
      </c>
      <c r="J39" s="4">
        <f t="shared" ca="1" si="4"/>
        <v>128</v>
      </c>
      <c r="K39" s="4">
        <f t="shared" ca="1" si="5"/>
        <v>0.35044490075290896</v>
      </c>
      <c r="L39">
        <f t="shared" ca="1" si="0"/>
        <v>119.86970598824819</v>
      </c>
      <c r="M39">
        <f>E39/E2*100</f>
        <v>1.7682883159684173</v>
      </c>
      <c r="N39" t="s">
        <v>9</v>
      </c>
      <c r="O39" s="7">
        <v>0.64</v>
      </c>
    </row>
    <row r="40" spans="1:15" x14ac:dyDescent="0.2">
      <c r="A40" t="s">
        <v>52</v>
      </c>
      <c r="B40">
        <v>4.0690470000000003</v>
      </c>
      <c r="C40">
        <v>122.88</v>
      </c>
      <c r="D40" s="6">
        <v>184.33</v>
      </c>
      <c r="E40">
        <f t="shared" si="1"/>
        <v>750.04743351000013</v>
      </c>
      <c r="F40">
        <v>0</v>
      </c>
      <c r="G40">
        <f t="shared" si="2"/>
        <v>50.00813802083335</v>
      </c>
      <c r="H40">
        <f t="shared" si="3"/>
        <v>250.04293815000011</v>
      </c>
      <c r="I40" s="1">
        <v>44084</v>
      </c>
      <c r="J40" s="4">
        <f t="shared" ca="1" si="4"/>
        <v>128</v>
      </c>
      <c r="K40" s="4">
        <f t="shared" ca="1" si="5"/>
        <v>0.35044490075290896</v>
      </c>
      <c r="L40">
        <f t="shared" ca="1" si="0"/>
        <v>142.69900321960455</v>
      </c>
      <c r="M40">
        <f>E40/E2*100</f>
        <v>3.7509106661537195</v>
      </c>
      <c r="N40" t="s">
        <v>9</v>
      </c>
      <c r="O40" s="7">
        <v>1.04</v>
      </c>
    </row>
    <row r="41" spans="1:15" x14ac:dyDescent="0.2">
      <c r="A41" t="s">
        <v>137</v>
      </c>
      <c r="B41">
        <v>4.2016929999999997</v>
      </c>
      <c r="C41">
        <v>119</v>
      </c>
      <c r="D41" s="6">
        <v>138</v>
      </c>
      <c r="E41">
        <f t="shared" si="1"/>
        <v>579.83363399999996</v>
      </c>
      <c r="F41">
        <v>0</v>
      </c>
      <c r="G41">
        <f t="shared" si="2"/>
        <v>15.966386554621847</v>
      </c>
      <c r="H41">
        <f t="shared" si="3"/>
        <v>79.832167000000027</v>
      </c>
      <c r="I41" s="1">
        <v>44187</v>
      </c>
      <c r="J41" s="4">
        <f t="shared" ca="1" si="4"/>
        <v>25</v>
      </c>
      <c r="K41" s="4">
        <f t="shared" ca="1" si="5"/>
        <v>6.8446269678302529E-2</v>
      </c>
      <c r="L41">
        <f t="shared" ca="1" si="0"/>
        <v>233.26890756302521</v>
      </c>
      <c r="M41">
        <f>E41/E2*100</f>
        <v>2.8996888265950909</v>
      </c>
      <c r="N41" t="s">
        <v>9</v>
      </c>
      <c r="O41" s="7">
        <v>1.0900000000000001</v>
      </c>
    </row>
    <row r="42" spans="1:15" x14ac:dyDescent="0.2">
      <c r="A42" t="s">
        <v>56</v>
      </c>
      <c r="B42">
        <v>8.5823440000000009</v>
      </c>
      <c r="C42">
        <v>29.13</v>
      </c>
      <c r="D42" s="6">
        <v>45.59</v>
      </c>
      <c r="E42">
        <f t="shared" si="1"/>
        <v>391.26906296000004</v>
      </c>
      <c r="F42">
        <v>2.06</v>
      </c>
      <c r="G42">
        <f t="shared" si="2"/>
        <v>57.329308843465434</v>
      </c>
      <c r="H42">
        <f t="shared" si="3"/>
        <v>143.32538224000004</v>
      </c>
      <c r="I42" s="1">
        <v>44084</v>
      </c>
      <c r="J42" s="4">
        <f t="shared" ca="1" si="4"/>
        <v>128</v>
      </c>
      <c r="K42" s="4">
        <f t="shared" ca="1" si="5"/>
        <v>0.35044490075290896</v>
      </c>
      <c r="L42">
        <f t="shared" ca="1" si="0"/>
        <v>163.59007855527929</v>
      </c>
      <c r="M42">
        <f>E42/E2*100</f>
        <v>1.956696651469934</v>
      </c>
      <c r="N42" t="s">
        <v>9</v>
      </c>
      <c r="O42" s="7">
        <v>0.74</v>
      </c>
    </row>
    <row r="54" spans="8:17" ht="19" x14ac:dyDescent="0.25">
      <c r="H54" s="5"/>
      <c r="I54" s="2"/>
      <c r="J54" s="2"/>
    </row>
    <row r="57" spans="8:17" x14ac:dyDescent="0.2">
      <c r="Q5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6D305-6A1A-574C-8F81-42386D88FAB5}">
  <dimension ref="A1:Q67"/>
  <sheetViews>
    <sheetView workbookViewId="0">
      <pane xSplit="13" ySplit="2" topLeftCell="N3" activePane="bottomRight" state="frozen"/>
      <selection pane="topRight" activeCell="N1" sqref="N1"/>
      <selection pane="bottomLeft" activeCell="A3" sqref="A3"/>
      <selection pane="bottomRight" activeCell="G25" sqref="G25"/>
    </sheetView>
  </sheetViews>
  <sheetFormatPr baseColWidth="10" defaultRowHeight="16" x14ac:dyDescent="0.2"/>
  <cols>
    <col min="8" max="8" width="10.5" bestFit="1" customWidth="1"/>
  </cols>
  <sheetData>
    <row r="1" spans="1:13" ht="17" customHeight="1" x14ac:dyDescent="0.2">
      <c r="A1" t="s">
        <v>75</v>
      </c>
      <c r="B1" t="s">
        <v>76</v>
      </c>
      <c r="C1" t="s">
        <v>78</v>
      </c>
      <c r="D1" t="s">
        <v>79</v>
      </c>
      <c r="E1" t="s">
        <v>106</v>
      </c>
      <c r="F1" t="s">
        <v>80</v>
      </c>
      <c r="G1" t="s">
        <v>88</v>
      </c>
      <c r="H1" t="s">
        <v>82</v>
      </c>
      <c r="I1" t="s">
        <v>83</v>
      </c>
      <c r="J1" t="s">
        <v>84</v>
      </c>
      <c r="K1" t="s">
        <v>85</v>
      </c>
      <c r="L1" t="s">
        <v>5</v>
      </c>
      <c r="M1" t="s">
        <v>77</v>
      </c>
    </row>
    <row r="2" spans="1:13" ht="17" customHeight="1" x14ac:dyDescent="0.2">
      <c r="B2">
        <f>SUM(B3:B999999)</f>
        <v>788.77227800000003</v>
      </c>
      <c r="C2">
        <f>AVERAGE(C3:C999999)</f>
        <v>131.76376153846152</v>
      </c>
      <c r="D2">
        <f>AVERAGE(D3:D999999)</f>
        <v>154.13867777334912</v>
      </c>
      <c r="E2">
        <f>SUM(E3:E999999)</f>
        <v>989.67703871439994</v>
      </c>
      <c r="F2">
        <f t="shared" ref="F2" si="0">((D2+(E2/B2)-C2)/C2)*100</f>
        <v>17.933323711511296</v>
      </c>
      <c r="G2">
        <f>SUM(G3:G999999)</f>
        <v>5835.3162989719576</v>
      </c>
      <c r="H2" s="2">
        <f>AVERAGE(H3:H999999)</f>
        <v>43150.892307692309</v>
      </c>
      <c r="I2" s="2">
        <f>AVERAGE(I3:I999999)</f>
        <v>43803.276923076926</v>
      </c>
      <c r="J2" s="4">
        <f>AVERAGE(J3:J999999)</f>
        <v>1.7861317327436428</v>
      </c>
      <c r="K2">
        <f>F2/J2</f>
        <v>10.040314150829323</v>
      </c>
    </row>
    <row r="3" spans="1:13" ht="17" customHeight="1" x14ac:dyDescent="0.2">
      <c r="A3" t="s">
        <v>113</v>
      </c>
      <c r="B3">
        <v>150</v>
      </c>
      <c r="C3">
        <v>0.72099999999999997</v>
      </c>
      <c r="D3">
        <f>1.02*8/150</f>
        <v>5.4400000000000004E-2</v>
      </c>
      <c r="E3">
        <v>0</v>
      </c>
      <c r="F3">
        <f t="shared" ref="F3:F16" si="1">((D3+(E3/B3)-C3)/C3)*100</f>
        <v>-92.454923717059629</v>
      </c>
      <c r="G3">
        <f t="shared" ref="G3:G16" si="2">(D3-C3)*B3+E3</f>
        <v>-99.99</v>
      </c>
      <c r="H3" s="2">
        <v>42586</v>
      </c>
      <c r="I3" s="2">
        <v>42860</v>
      </c>
      <c r="J3">
        <f t="shared" ref="J3:J16" si="3">(I3-H3)/365.25</f>
        <v>0.75017111567419581</v>
      </c>
      <c r="K3">
        <f t="shared" ref="K3:K16" si="4">F3/J3</f>
        <v>-123.24511272867163</v>
      </c>
      <c r="L3" t="s">
        <v>7</v>
      </c>
      <c r="M3" t="s">
        <v>105</v>
      </c>
    </row>
    <row r="4" spans="1:13" ht="17" customHeight="1" x14ac:dyDescent="0.2">
      <c r="A4" t="s">
        <v>8</v>
      </c>
      <c r="B4">
        <v>3</v>
      </c>
      <c r="C4">
        <v>78.86</v>
      </c>
      <c r="D4">
        <v>134.69</v>
      </c>
      <c r="E4">
        <v>0</v>
      </c>
      <c r="F4">
        <f t="shared" si="1"/>
        <v>70.796347958407296</v>
      </c>
      <c r="G4">
        <f t="shared" si="2"/>
        <v>167.49</v>
      </c>
      <c r="H4" s="2">
        <v>42417</v>
      </c>
      <c r="I4" s="2">
        <v>42860</v>
      </c>
      <c r="J4">
        <f t="shared" si="3"/>
        <v>1.2128678986995209</v>
      </c>
      <c r="K4">
        <f t="shared" si="4"/>
        <v>58.371029552614587</v>
      </c>
      <c r="L4" t="s">
        <v>7</v>
      </c>
      <c r="M4" t="s">
        <v>108</v>
      </c>
    </row>
    <row r="5" spans="1:13" ht="17" customHeight="1" x14ac:dyDescent="0.2">
      <c r="A5" t="s">
        <v>114</v>
      </c>
      <c r="B5">
        <v>4</v>
      </c>
      <c r="C5">
        <v>45.99</v>
      </c>
      <c r="D5">
        <v>61.46</v>
      </c>
      <c r="E5">
        <f>0.28*5</f>
        <v>1.4000000000000001</v>
      </c>
      <c r="F5">
        <f t="shared" si="1"/>
        <v>34.398782343987818</v>
      </c>
      <c r="G5">
        <f t="shared" si="2"/>
        <v>63.279999999999994</v>
      </c>
      <c r="H5" s="2">
        <v>42417</v>
      </c>
      <c r="I5" s="2">
        <v>42860</v>
      </c>
      <c r="J5">
        <f t="shared" si="3"/>
        <v>1.2128678986995209</v>
      </c>
      <c r="K5">
        <f t="shared" si="4"/>
        <v>28.361524268942549</v>
      </c>
      <c r="L5" t="s">
        <v>9</v>
      </c>
      <c r="M5" t="s">
        <v>108</v>
      </c>
    </row>
    <row r="6" spans="1:13" ht="17" customHeight="1" x14ac:dyDescent="0.2">
      <c r="A6" t="s">
        <v>115</v>
      </c>
      <c r="B6">
        <v>3</v>
      </c>
      <c r="C6">
        <v>8.23</v>
      </c>
      <c r="D6">
        <v>15.18</v>
      </c>
      <c r="E6">
        <f>3.6*1/6</f>
        <v>0.6</v>
      </c>
      <c r="F6">
        <f t="shared" si="1"/>
        <v>86.877278250303746</v>
      </c>
      <c r="G6">
        <f t="shared" si="2"/>
        <v>21.45</v>
      </c>
      <c r="H6" s="2">
        <v>42429</v>
      </c>
      <c r="I6" s="2">
        <v>42849</v>
      </c>
      <c r="J6">
        <f t="shared" si="3"/>
        <v>1.1498973305954825</v>
      </c>
      <c r="K6">
        <f t="shared" si="4"/>
        <v>75.552204478389157</v>
      </c>
      <c r="L6" t="s">
        <v>9</v>
      </c>
      <c r="M6" t="s">
        <v>108</v>
      </c>
    </row>
    <row r="7" spans="1:13" ht="17" customHeight="1" x14ac:dyDescent="0.2">
      <c r="A7" t="s">
        <v>115</v>
      </c>
      <c r="B7">
        <v>15</v>
      </c>
      <c r="C7">
        <v>10.220000000000001</v>
      </c>
      <c r="D7">
        <v>15.18</v>
      </c>
      <c r="E7">
        <v>3</v>
      </c>
      <c r="F7">
        <f t="shared" si="1"/>
        <v>50.48923679060664</v>
      </c>
      <c r="G7">
        <f t="shared" si="2"/>
        <v>77.399999999999991</v>
      </c>
      <c r="H7" s="2">
        <v>42437</v>
      </c>
      <c r="I7" s="2">
        <v>42849</v>
      </c>
      <c r="J7">
        <f t="shared" si="3"/>
        <v>1.1279945242984257</v>
      </c>
      <c r="K7">
        <f t="shared" si="4"/>
        <v>44.760178975167662</v>
      </c>
      <c r="L7" t="s">
        <v>9</v>
      </c>
      <c r="M7" t="s">
        <v>108</v>
      </c>
    </row>
    <row r="8" spans="1:13" ht="17" customHeight="1" x14ac:dyDescent="0.2">
      <c r="A8" t="s">
        <v>116</v>
      </c>
      <c r="B8">
        <v>25</v>
      </c>
      <c r="C8">
        <v>4.0999999999999996</v>
      </c>
      <c r="D8">
        <v>8.39</v>
      </c>
      <c r="E8">
        <v>0</v>
      </c>
      <c r="F8">
        <f t="shared" si="1"/>
        <v>104.63414634146343</v>
      </c>
      <c r="G8">
        <f t="shared" si="2"/>
        <v>107.25000000000003</v>
      </c>
      <c r="H8" s="2">
        <v>42447</v>
      </c>
      <c r="I8" s="2">
        <v>42831</v>
      </c>
      <c r="J8">
        <f t="shared" si="3"/>
        <v>1.0513347022587269</v>
      </c>
      <c r="K8">
        <f t="shared" si="4"/>
        <v>99.525057164634163</v>
      </c>
      <c r="L8" t="s">
        <v>9</v>
      </c>
      <c r="M8" t="s">
        <v>108</v>
      </c>
    </row>
    <row r="9" spans="1:13" ht="17" customHeight="1" x14ac:dyDescent="0.2">
      <c r="A9" t="s">
        <v>15</v>
      </c>
      <c r="B9">
        <v>40</v>
      </c>
      <c r="C9">
        <f>(2*2.42+38*2.34)/40</f>
        <v>2.3439999999999999</v>
      </c>
      <c r="D9">
        <v>10.06</v>
      </c>
      <c r="E9">
        <v>0</v>
      </c>
      <c r="F9">
        <f t="shared" si="1"/>
        <v>329.18088737201373</v>
      </c>
      <c r="G9">
        <f t="shared" si="2"/>
        <v>308.64000000000004</v>
      </c>
      <c r="H9" s="2">
        <v>42436</v>
      </c>
      <c r="I9" s="2">
        <v>42860</v>
      </c>
      <c r="J9">
        <f t="shared" si="3"/>
        <v>1.160848733744011</v>
      </c>
      <c r="K9">
        <f t="shared" si="4"/>
        <v>283.56914885053777</v>
      </c>
      <c r="L9" t="s">
        <v>7</v>
      </c>
      <c r="M9" t="s">
        <v>108</v>
      </c>
    </row>
    <row r="10" spans="1:13" ht="17" customHeight="1" x14ac:dyDescent="0.2">
      <c r="A10" t="s">
        <v>117</v>
      </c>
      <c r="B10">
        <v>10</v>
      </c>
      <c r="C10">
        <v>16.95</v>
      </c>
      <c r="D10">
        <v>17.829999999999998</v>
      </c>
      <c r="E10">
        <v>0</v>
      </c>
      <c r="F10">
        <f t="shared" si="1"/>
        <v>5.1917404129793452</v>
      </c>
      <c r="G10">
        <f t="shared" si="2"/>
        <v>8.7999999999999901</v>
      </c>
      <c r="H10" s="2">
        <v>42662</v>
      </c>
      <c r="I10" s="2">
        <v>42674</v>
      </c>
      <c r="J10">
        <f t="shared" si="3"/>
        <v>3.2854209445585217E-2</v>
      </c>
      <c r="K10">
        <f t="shared" si="4"/>
        <v>158.02359882005882</v>
      </c>
      <c r="L10" t="s">
        <v>7</v>
      </c>
      <c r="M10" t="s">
        <v>107</v>
      </c>
    </row>
    <row r="11" spans="1:13" ht="17" customHeight="1" x14ac:dyDescent="0.2">
      <c r="A11" t="s">
        <v>118</v>
      </c>
      <c r="B11">
        <v>4</v>
      </c>
      <c r="C11">
        <v>28.69</v>
      </c>
      <c r="D11">
        <v>30.5</v>
      </c>
      <c r="E11">
        <v>2.04</v>
      </c>
      <c r="F11">
        <f t="shared" si="1"/>
        <v>8.0864412687347507</v>
      </c>
      <c r="G11">
        <f t="shared" si="2"/>
        <v>9.279999999999994</v>
      </c>
      <c r="H11" s="2">
        <v>42423</v>
      </c>
      <c r="I11" s="2">
        <v>42668</v>
      </c>
      <c r="J11">
        <f t="shared" si="3"/>
        <v>0.67077344284736484</v>
      </c>
      <c r="K11">
        <f t="shared" si="4"/>
        <v>12.055398666960684</v>
      </c>
      <c r="L11" t="s">
        <v>7</v>
      </c>
      <c r="M11" t="s">
        <v>107</v>
      </c>
    </row>
    <row r="12" spans="1:13" ht="17" customHeight="1" x14ac:dyDescent="0.2">
      <c r="A12" t="s">
        <v>49</v>
      </c>
      <c r="B12">
        <v>8</v>
      </c>
      <c r="C12">
        <v>33.21</v>
      </c>
      <c r="D12">
        <v>103.42</v>
      </c>
      <c r="E12">
        <f>(1.4*2+1.15*3)*4/5</f>
        <v>5</v>
      </c>
      <c r="F12">
        <f t="shared" si="1"/>
        <v>213.29418849744056</v>
      </c>
      <c r="G12">
        <f t="shared" si="2"/>
        <v>566.68000000000006</v>
      </c>
      <c r="H12" s="2">
        <v>42362</v>
      </c>
      <c r="I12" s="2">
        <v>42860</v>
      </c>
      <c r="J12">
        <f t="shared" si="3"/>
        <v>1.3634496919917864</v>
      </c>
      <c r="K12">
        <f t="shared" si="4"/>
        <v>156.43715331062282</v>
      </c>
      <c r="L12" t="s">
        <v>7</v>
      </c>
      <c r="M12" t="s">
        <v>108</v>
      </c>
    </row>
    <row r="13" spans="1:13" ht="17" customHeight="1" x14ac:dyDescent="0.2">
      <c r="A13" t="s">
        <v>119</v>
      </c>
      <c r="B13">
        <v>80</v>
      </c>
      <c r="C13">
        <v>1.73</v>
      </c>
      <c r="D13">
        <v>4.7300000000000004</v>
      </c>
      <c r="E13">
        <v>0</v>
      </c>
      <c r="F13">
        <f t="shared" si="1"/>
        <v>173.41040462427748</v>
      </c>
      <c r="G13">
        <f t="shared" si="2"/>
        <v>240.00000000000003</v>
      </c>
      <c r="H13" s="2">
        <v>42412</v>
      </c>
      <c r="I13" s="2">
        <v>42433</v>
      </c>
      <c r="J13">
        <f t="shared" si="3"/>
        <v>5.7494866529774126E-2</v>
      </c>
      <c r="K13">
        <f t="shared" si="4"/>
        <v>3016.102394715112</v>
      </c>
      <c r="L13" t="s">
        <v>9</v>
      </c>
      <c r="M13" t="s">
        <v>108</v>
      </c>
    </row>
    <row r="14" spans="1:13" ht="17" customHeight="1" x14ac:dyDescent="0.2">
      <c r="A14" t="s">
        <v>119</v>
      </c>
      <c r="B14">
        <v>23</v>
      </c>
      <c r="C14">
        <v>1.92</v>
      </c>
      <c r="D14">
        <f>1/23*(20*4.73+3*4.72)</f>
        <v>4.7286956521739132</v>
      </c>
      <c r="E14">
        <v>0</v>
      </c>
      <c r="F14">
        <f t="shared" si="1"/>
        <v>146.28623188405797</v>
      </c>
      <c r="G14">
        <f t="shared" si="2"/>
        <v>64.600000000000009</v>
      </c>
      <c r="H14" s="2">
        <v>42417</v>
      </c>
      <c r="I14" s="2">
        <v>42433</v>
      </c>
      <c r="J14">
        <f t="shared" si="3"/>
        <v>4.380561259411362E-2</v>
      </c>
      <c r="K14">
        <f t="shared" si="4"/>
        <v>3339.440387228261</v>
      </c>
      <c r="L14" t="s">
        <v>9</v>
      </c>
      <c r="M14" t="s">
        <v>108</v>
      </c>
    </row>
    <row r="15" spans="1:13" ht="17" customHeight="1" x14ac:dyDescent="0.2">
      <c r="A15" t="s">
        <v>119</v>
      </c>
      <c r="B15">
        <v>10</v>
      </c>
      <c r="C15">
        <v>2.61</v>
      </c>
      <c r="D15">
        <v>4.72</v>
      </c>
      <c r="E15">
        <v>0</v>
      </c>
      <c r="F15">
        <f t="shared" si="1"/>
        <v>80.842911877394627</v>
      </c>
      <c r="G15">
        <f t="shared" si="2"/>
        <v>21.099999999999998</v>
      </c>
      <c r="H15" s="2">
        <v>42423</v>
      </c>
      <c r="I15" s="2">
        <v>42433</v>
      </c>
      <c r="J15">
        <f t="shared" si="3"/>
        <v>2.7378507871321012E-2</v>
      </c>
      <c r="K15">
        <f t="shared" si="4"/>
        <v>2952.7873563218391</v>
      </c>
      <c r="L15" t="s">
        <v>9</v>
      </c>
      <c r="M15" t="s">
        <v>108</v>
      </c>
    </row>
    <row r="16" spans="1:13" ht="17" customHeight="1" x14ac:dyDescent="0.2">
      <c r="A16" t="s">
        <v>33</v>
      </c>
      <c r="B16">
        <v>6</v>
      </c>
      <c r="C16">
        <v>28.91</v>
      </c>
      <c r="D16">
        <v>31.71</v>
      </c>
      <c r="E16">
        <v>0</v>
      </c>
      <c r="F16">
        <f t="shared" si="1"/>
        <v>9.6852300242130784</v>
      </c>
      <c r="G16">
        <f t="shared" si="2"/>
        <v>16.800000000000004</v>
      </c>
      <c r="H16" s="2">
        <v>42417</v>
      </c>
      <c r="I16" s="2">
        <v>42433</v>
      </c>
      <c r="J16">
        <f t="shared" si="3"/>
        <v>4.380561259411362E-2</v>
      </c>
      <c r="K16">
        <f t="shared" si="4"/>
        <v>221.09564164648918</v>
      </c>
      <c r="L16" t="s">
        <v>9</v>
      </c>
      <c r="M16" t="s">
        <v>108</v>
      </c>
    </row>
    <row r="17" spans="1:13" ht="17" customHeight="1" x14ac:dyDescent="0.2">
      <c r="A17" t="s">
        <v>112</v>
      </c>
      <c r="B17">
        <v>8</v>
      </c>
      <c r="C17">
        <v>11</v>
      </c>
      <c r="D17">
        <v>5.86</v>
      </c>
      <c r="E17">
        <v>0</v>
      </c>
      <c r="F17">
        <f t="shared" ref="F17:F24" si="5">((D17+(E17/B17)-C17)/C17)*100</f>
        <v>-46.72727272727272</v>
      </c>
      <c r="G17">
        <f t="shared" ref="G17:G24" si="6">(D17-C17)*B17+E17</f>
        <v>-41.12</v>
      </c>
      <c r="H17" s="1">
        <v>44061</v>
      </c>
      <c r="I17" s="1">
        <v>44071</v>
      </c>
      <c r="J17">
        <f t="shared" ref="J17:J24" si="7">(I17-H17)/365.25</f>
        <v>2.7378507871321012E-2</v>
      </c>
      <c r="K17">
        <f t="shared" ref="K17:K24" si="8">F17/J17</f>
        <v>-1706.7136363636362</v>
      </c>
      <c r="L17" t="s">
        <v>7</v>
      </c>
      <c r="M17" t="s">
        <v>105</v>
      </c>
    </row>
    <row r="18" spans="1:13" ht="17" customHeight="1" x14ac:dyDescent="0.2">
      <c r="A18" t="s">
        <v>109</v>
      </c>
      <c r="B18">
        <v>15</v>
      </c>
      <c r="C18">
        <v>8.2799999999999994</v>
      </c>
      <c r="D18">
        <v>2.57</v>
      </c>
      <c r="E18">
        <f>0/B18</f>
        <v>0</v>
      </c>
      <c r="F18">
        <f t="shared" si="5"/>
        <v>-68.961352657004824</v>
      </c>
      <c r="G18">
        <f t="shared" si="6"/>
        <v>-85.649999999999991</v>
      </c>
      <c r="H18" s="1">
        <v>42436</v>
      </c>
      <c r="I18" s="1">
        <v>44084</v>
      </c>
      <c r="J18">
        <f t="shared" si="7"/>
        <v>4.5119780971937029</v>
      </c>
      <c r="K18">
        <f t="shared" si="8"/>
        <v>-15.284061928380469</v>
      </c>
      <c r="L18" t="s">
        <v>7</v>
      </c>
      <c r="M18" t="s">
        <v>105</v>
      </c>
    </row>
    <row r="19" spans="1:13" ht="17" customHeight="1" x14ac:dyDescent="0.2">
      <c r="A19" t="s">
        <v>109</v>
      </c>
      <c r="B19">
        <v>15</v>
      </c>
      <c r="C19">
        <v>7.34</v>
      </c>
      <c r="D19">
        <v>2.57</v>
      </c>
      <c r="E19">
        <f>0/B19</f>
        <v>0</v>
      </c>
      <c r="F19">
        <f t="shared" si="5"/>
        <v>-64.986376021798364</v>
      </c>
      <c r="G19">
        <f t="shared" si="6"/>
        <v>-71.55</v>
      </c>
      <c r="H19" s="1">
        <v>42437</v>
      </c>
      <c r="I19" s="1">
        <v>44084</v>
      </c>
      <c r="J19">
        <f t="shared" si="7"/>
        <v>4.5092402464065708</v>
      </c>
      <c r="K19">
        <f t="shared" si="8"/>
        <v>-14.41182382632778</v>
      </c>
      <c r="L19" t="s">
        <v>7</v>
      </c>
      <c r="M19" t="s">
        <v>105</v>
      </c>
    </row>
    <row r="20" spans="1:13" ht="17" customHeight="1" x14ac:dyDescent="0.2">
      <c r="A20" t="s">
        <v>109</v>
      </c>
      <c r="B20">
        <v>20</v>
      </c>
      <c r="C20">
        <v>7.22</v>
      </c>
      <c r="D20">
        <v>2.57</v>
      </c>
      <c r="E20">
        <f>0/B20</f>
        <v>0</v>
      </c>
      <c r="F20">
        <f t="shared" si="5"/>
        <v>-64.40443213296399</v>
      </c>
      <c r="G20">
        <f t="shared" si="6"/>
        <v>-93</v>
      </c>
      <c r="H20" s="1">
        <v>42860</v>
      </c>
      <c r="I20" s="1">
        <v>44084</v>
      </c>
      <c r="J20">
        <f t="shared" si="7"/>
        <v>3.3511293634496919</v>
      </c>
      <c r="K20">
        <f t="shared" si="8"/>
        <v>-19.218724539677368</v>
      </c>
      <c r="L20" t="s">
        <v>7</v>
      </c>
      <c r="M20" t="s">
        <v>105</v>
      </c>
    </row>
    <row r="21" spans="1:13" ht="17" customHeight="1" x14ac:dyDescent="0.2">
      <c r="A21" t="s">
        <v>110</v>
      </c>
      <c r="B21">
        <v>10</v>
      </c>
      <c r="C21">
        <v>24.06</v>
      </c>
      <c r="D21">
        <v>11.09</v>
      </c>
      <c r="E21">
        <v>43.5</v>
      </c>
      <c r="F21">
        <f t="shared" si="5"/>
        <v>-35.827098919368247</v>
      </c>
      <c r="G21">
        <f t="shared" si="6"/>
        <v>-86.199999999999989</v>
      </c>
      <c r="H21" s="1">
        <v>42437</v>
      </c>
      <c r="I21" s="1">
        <v>44084</v>
      </c>
      <c r="J21">
        <f t="shared" si="7"/>
        <v>4.5092402464065708</v>
      </c>
      <c r="K21">
        <f t="shared" si="8"/>
        <v>-7.9452628295684589</v>
      </c>
      <c r="L21" t="s">
        <v>7</v>
      </c>
      <c r="M21" t="s">
        <v>105</v>
      </c>
    </row>
    <row r="22" spans="1:13" ht="17" customHeight="1" x14ac:dyDescent="0.2">
      <c r="A22" t="s">
        <v>111</v>
      </c>
      <c r="B22">
        <v>5</v>
      </c>
      <c r="C22">
        <v>63.4</v>
      </c>
      <c r="D22">
        <v>47.87</v>
      </c>
      <c r="E22">
        <f>12.5+(118.4*0.5)</f>
        <v>71.7</v>
      </c>
      <c r="F22">
        <f t="shared" si="5"/>
        <v>-1.8769716088328152</v>
      </c>
      <c r="G22">
        <f t="shared" si="6"/>
        <v>-5.9500000000000028</v>
      </c>
      <c r="H22" s="1">
        <v>42444</v>
      </c>
      <c r="I22" s="1">
        <v>44084</v>
      </c>
      <c r="J22">
        <f t="shared" si="7"/>
        <v>4.4900752908966464</v>
      </c>
      <c r="K22">
        <f t="shared" si="8"/>
        <v>-0.41802675617450347</v>
      </c>
      <c r="L22" t="s">
        <v>7</v>
      </c>
      <c r="M22" t="s">
        <v>105</v>
      </c>
    </row>
    <row r="23" spans="1:13" ht="17" customHeight="1" x14ac:dyDescent="0.2">
      <c r="A23" t="s">
        <v>111</v>
      </c>
      <c r="B23">
        <v>5</v>
      </c>
      <c r="C23">
        <v>65.171999999999997</v>
      </c>
      <c r="D23">
        <v>47.87</v>
      </c>
      <c r="E23">
        <f>118.4*0.5</f>
        <v>59.2</v>
      </c>
      <c r="F23">
        <f t="shared" si="5"/>
        <v>-8.3808997729086165</v>
      </c>
      <c r="G23">
        <f t="shared" si="6"/>
        <v>-27.309999999999988</v>
      </c>
      <c r="H23" s="1">
        <v>42860</v>
      </c>
      <c r="I23" s="1">
        <v>44084</v>
      </c>
      <c r="J23">
        <f t="shared" si="7"/>
        <v>3.3511293634496919</v>
      </c>
      <c r="K23">
        <f t="shared" si="8"/>
        <v>-2.5009180082147648</v>
      </c>
      <c r="L23" t="s">
        <v>7</v>
      </c>
      <c r="M23" t="s">
        <v>105</v>
      </c>
    </row>
    <row r="24" spans="1:13" x14ac:dyDescent="0.2">
      <c r="A24" t="s">
        <v>89</v>
      </c>
      <c r="B24">
        <v>14</v>
      </c>
      <c r="C24">
        <v>20.82</v>
      </c>
      <c r="D24">
        <v>10.78</v>
      </c>
      <c r="E24">
        <f>0/B24</f>
        <v>0</v>
      </c>
      <c r="F24">
        <f t="shared" si="5"/>
        <v>-48.222862632084542</v>
      </c>
      <c r="G24">
        <f t="shared" si="6"/>
        <v>-140.56</v>
      </c>
      <c r="H24" s="1">
        <v>42795</v>
      </c>
      <c r="I24" s="1">
        <v>44084</v>
      </c>
      <c r="J24">
        <f t="shared" si="7"/>
        <v>3.5290896646132786</v>
      </c>
      <c r="K24">
        <f t="shared" si="8"/>
        <v>-13.66439144792</v>
      </c>
      <c r="L24" t="s">
        <v>7</v>
      </c>
      <c r="M24" t="s">
        <v>105</v>
      </c>
    </row>
    <row r="25" spans="1:13" x14ac:dyDescent="0.2">
      <c r="A25" t="s">
        <v>90</v>
      </c>
      <c r="B25">
        <v>60</v>
      </c>
      <c r="C25">
        <v>17.96</v>
      </c>
      <c r="D25">
        <v>35.29</v>
      </c>
      <c r="E25">
        <f>124.11</f>
        <v>124.11</v>
      </c>
      <c r="F25">
        <f t="shared" ref="F25:F67" si="9">((D25+(E25/B25)-C25)/C25)*100</f>
        <v>108.00946547884185</v>
      </c>
      <c r="G25">
        <f t="shared" ref="G25:G62" si="10">(D25-C25)*B25+E25</f>
        <v>1163.9099999999999</v>
      </c>
      <c r="H25" s="2">
        <v>42794</v>
      </c>
      <c r="I25" s="1">
        <v>44084</v>
      </c>
      <c r="J25">
        <f t="shared" ref="J25:J67" si="11">(I25-H25)/365.25</f>
        <v>3.5318275154004106</v>
      </c>
      <c r="K25">
        <f t="shared" ref="K25:K52" si="12">F25/J25</f>
        <v>30.581749818718592</v>
      </c>
      <c r="L25" t="s">
        <v>7</v>
      </c>
      <c r="M25" t="s">
        <v>108</v>
      </c>
    </row>
    <row r="26" spans="1:13" x14ac:dyDescent="0.2">
      <c r="A26" t="s">
        <v>98</v>
      </c>
      <c r="B26">
        <v>30</v>
      </c>
      <c r="C26">
        <v>29.72</v>
      </c>
      <c r="D26">
        <v>51.86</v>
      </c>
      <c r="E26">
        <f>11.1+11.7+18.3+14.7+14.4+3.15+0.12+4.17+0.21+3.45+0.39+3.69+4.95+3.48+3.18+1.71+19.2+17.41+10.5+22.44+3.06+13.2+16.2+26.1</f>
        <v>226.81</v>
      </c>
      <c r="F26">
        <f t="shared" ref="F26" si="13">((D26+(E26/B26)-C26)/C26)*100</f>
        <v>99.933826828174077</v>
      </c>
      <c r="G26">
        <f t="shared" ref="G26" si="14">(D26-C26)*B26+E26</f>
        <v>891.01</v>
      </c>
      <c r="H26" s="2">
        <v>42794</v>
      </c>
      <c r="I26" s="1">
        <v>44084</v>
      </c>
      <c r="J26">
        <f t="shared" si="11"/>
        <v>3.5318275154004106</v>
      </c>
      <c r="K26">
        <f t="shared" si="12"/>
        <v>28.29521724727952</v>
      </c>
      <c r="L26" t="s">
        <v>7</v>
      </c>
      <c r="M26" t="s">
        <v>108</v>
      </c>
    </row>
    <row r="27" spans="1:13" x14ac:dyDescent="0.2">
      <c r="A27" t="s">
        <v>91</v>
      </c>
      <c r="B27">
        <v>5</v>
      </c>
      <c r="C27">
        <v>170.73</v>
      </c>
      <c r="D27">
        <v>218.75</v>
      </c>
      <c r="E27">
        <v>0</v>
      </c>
      <c r="F27">
        <f t="shared" si="9"/>
        <v>28.126281262812636</v>
      </c>
      <c r="G27">
        <f t="shared" si="10"/>
        <v>240.10000000000005</v>
      </c>
      <c r="H27" s="2">
        <v>42794</v>
      </c>
      <c r="I27" s="1">
        <v>44084</v>
      </c>
      <c r="J27">
        <f t="shared" si="11"/>
        <v>3.5318275154004106</v>
      </c>
      <c r="K27">
        <f t="shared" si="12"/>
        <v>7.9636621947614845</v>
      </c>
      <c r="L27" t="s">
        <v>7</v>
      </c>
      <c r="M27" t="s">
        <v>108</v>
      </c>
    </row>
    <row r="28" spans="1:13" x14ac:dyDescent="0.2">
      <c r="A28" t="s">
        <v>92</v>
      </c>
      <c r="B28">
        <v>10</v>
      </c>
      <c r="C28">
        <v>14.27</v>
      </c>
      <c r="D28">
        <v>6.97</v>
      </c>
      <c r="E28">
        <v>29.8</v>
      </c>
      <c r="F28">
        <f t="shared" si="9"/>
        <v>-30.273300630693768</v>
      </c>
      <c r="G28">
        <f t="shared" si="10"/>
        <v>-43.2</v>
      </c>
      <c r="H28" s="2">
        <v>42366</v>
      </c>
      <c r="I28" s="1">
        <v>44084</v>
      </c>
      <c r="J28">
        <f t="shared" si="11"/>
        <v>4.7036276522929503</v>
      </c>
      <c r="K28">
        <f t="shared" si="12"/>
        <v>-6.4361601020726997</v>
      </c>
      <c r="L28" t="s">
        <v>7</v>
      </c>
      <c r="M28" t="s">
        <v>105</v>
      </c>
    </row>
    <row r="29" spans="1:13" x14ac:dyDescent="0.2">
      <c r="A29" t="s">
        <v>93</v>
      </c>
      <c r="B29">
        <v>2</v>
      </c>
      <c r="C29">
        <v>42.59</v>
      </c>
      <c r="D29">
        <v>51.2</v>
      </c>
      <c r="E29">
        <v>12.64</v>
      </c>
      <c r="F29">
        <f t="shared" si="9"/>
        <v>35.055177271660007</v>
      </c>
      <c r="G29">
        <f t="shared" si="10"/>
        <v>29.86</v>
      </c>
      <c r="H29" s="2">
        <v>42436</v>
      </c>
      <c r="I29" s="1">
        <v>44084</v>
      </c>
      <c r="J29">
        <f t="shared" si="11"/>
        <v>4.5119780971937029</v>
      </c>
      <c r="K29">
        <f t="shared" si="12"/>
        <v>7.7693589189768311</v>
      </c>
      <c r="L29" t="s">
        <v>7</v>
      </c>
      <c r="M29" t="s">
        <v>108</v>
      </c>
    </row>
    <row r="30" spans="1:13" x14ac:dyDescent="0.2">
      <c r="A30" t="s">
        <v>93</v>
      </c>
      <c r="B30">
        <v>10</v>
      </c>
      <c r="C30">
        <v>41.66</v>
      </c>
      <c r="D30">
        <v>51.2</v>
      </c>
      <c r="E30">
        <f>E29*5</f>
        <v>63.2</v>
      </c>
      <c r="F30">
        <f t="shared" si="9"/>
        <v>38.070091214594356</v>
      </c>
      <c r="G30">
        <f t="shared" si="10"/>
        <v>158.60000000000008</v>
      </c>
      <c r="H30" s="2">
        <v>42437</v>
      </c>
      <c r="I30" s="1">
        <v>44084</v>
      </c>
      <c r="J30">
        <f t="shared" si="11"/>
        <v>4.5092402464065708</v>
      </c>
      <c r="K30">
        <f t="shared" si="12"/>
        <v>8.4426841627993863</v>
      </c>
      <c r="L30" t="s">
        <v>7</v>
      </c>
      <c r="M30" t="s">
        <v>108</v>
      </c>
    </row>
    <row r="31" spans="1:13" x14ac:dyDescent="0.2">
      <c r="A31" t="s">
        <v>94</v>
      </c>
      <c r="B31">
        <v>10</v>
      </c>
      <c r="C31">
        <v>41.95</v>
      </c>
      <c r="D31">
        <v>33.78</v>
      </c>
      <c r="E31">
        <f>(0.25*3+0.265)*B31+(0.265*3+0.285*3+0.305*4+0.42*4)*B31</f>
        <v>55.650000000000006</v>
      </c>
      <c r="F31">
        <f t="shared" si="9"/>
        <v>-6.209773539928495</v>
      </c>
      <c r="G31">
        <f t="shared" si="10"/>
        <v>-26.050000000000011</v>
      </c>
      <c r="H31" s="2">
        <v>42436</v>
      </c>
      <c r="I31" s="1">
        <v>44084</v>
      </c>
      <c r="J31">
        <f t="shared" si="11"/>
        <v>4.5119780971937029</v>
      </c>
      <c r="K31">
        <f t="shared" si="12"/>
        <v>-1.3762862775842735</v>
      </c>
      <c r="L31" t="s">
        <v>7</v>
      </c>
      <c r="M31" t="s">
        <v>105</v>
      </c>
    </row>
    <row r="32" spans="1:13" x14ac:dyDescent="0.2">
      <c r="A32" t="s">
        <v>94</v>
      </c>
      <c r="B32">
        <v>10</v>
      </c>
      <c r="C32">
        <v>39.89</v>
      </c>
      <c r="D32">
        <v>33.78</v>
      </c>
      <c r="E32">
        <f>(0.25*3+0.265)*B32+(0.265*3+0.285*3+0.305*4+0.42*4)*B32</f>
        <v>55.650000000000006</v>
      </c>
      <c r="F32">
        <f t="shared" si="9"/>
        <v>-1.3662572073201344</v>
      </c>
      <c r="G32">
        <f t="shared" si="10"/>
        <v>-5.4499999999999886</v>
      </c>
      <c r="H32" s="2">
        <v>42437</v>
      </c>
      <c r="I32" s="1">
        <v>44084</v>
      </c>
      <c r="J32">
        <f t="shared" si="11"/>
        <v>4.5092402464065708</v>
      </c>
      <c r="K32">
        <f t="shared" si="12"/>
        <v>-0.30299055553957444</v>
      </c>
      <c r="L32" t="s">
        <v>7</v>
      </c>
      <c r="M32" t="s">
        <v>105</v>
      </c>
    </row>
    <row r="33" spans="1:13" x14ac:dyDescent="0.2">
      <c r="A33" t="s">
        <v>94</v>
      </c>
      <c r="B33">
        <v>10</v>
      </c>
      <c r="C33">
        <v>46.46</v>
      </c>
      <c r="D33">
        <v>33.78</v>
      </c>
      <c r="E33">
        <f>(0.265*3+0.285*3+0.305*4+0.42*4)*B33</f>
        <v>45.5</v>
      </c>
      <c r="F33">
        <f t="shared" si="9"/>
        <v>-17.498923805424027</v>
      </c>
      <c r="G33">
        <f t="shared" si="10"/>
        <v>-81.3</v>
      </c>
      <c r="H33" s="2">
        <v>42860</v>
      </c>
      <c r="I33" s="1">
        <v>44084</v>
      </c>
      <c r="J33">
        <f t="shared" si="11"/>
        <v>3.3511293634496919</v>
      </c>
      <c r="K33">
        <f t="shared" si="12"/>
        <v>-5.2217989541920966</v>
      </c>
      <c r="L33" t="s">
        <v>7</v>
      </c>
      <c r="M33" t="s">
        <v>105</v>
      </c>
    </row>
    <row r="34" spans="1:13" x14ac:dyDescent="0.2">
      <c r="A34" t="s">
        <v>95</v>
      </c>
      <c r="B34">
        <v>6</v>
      </c>
      <c r="C34">
        <v>13.47</v>
      </c>
      <c r="D34">
        <v>25.41</v>
      </c>
      <c r="E34">
        <v>13.98</v>
      </c>
      <c r="F34">
        <f t="shared" si="9"/>
        <v>105.93912397921308</v>
      </c>
      <c r="G34">
        <f t="shared" si="10"/>
        <v>85.62</v>
      </c>
      <c r="H34" s="1">
        <v>42801</v>
      </c>
      <c r="I34" s="1">
        <v>44084</v>
      </c>
      <c r="J34">
        <f t="shared" si="11"/>
        <v>3.5126625598904861</v>
      </c>
      <c r="K34">
        <f t="shared" si="12"/>
        <v>30.159208911463427</v>
      </c>
      <c r="L34" t="s">
        <v>7</v>
      </c>
      <c r="M34" t="s">
        <v>108</v>
      </c>
    </row>
    <row r="35" spans="1:13" x14ac:dyDescent="0.2">
      <c r="A35" t="s">
        <v>96</v>
      </c>
      <c r="B35">
        <v>10</v>
      </c>
      <c r="C35">
        <v>13.53</v>
      </c>
      <c r="D35">
        <f>0.922083*10.85+(1-0.922083)*10.79</f>
        <v>10.845324979999999</v>
      </c>
      <c r="E35">
        <v>18.45</v>
      </c>
      <c r="F35">
        <f t="shared" si="9"/>
        <v>-6.2060237989652602</v>
      </c>
      <c r="G35">
        <f t="shared" si="10"/>
        <v>-8.3967502000000032</v>
      </c>
      <c r="H35" s="3">
        <v>42659</v>
      </c>
      <c r="I35" s="1">
        <v>44084</v>
      </c>
      <c r="J35">
        <f t="shared" si="11"/>
        <v>3.9014373716632442</v>
      </c>
      <c r="K35">
        <f t="shared" si="12"/>
        <v>-1.5907018895242535</v>
      </c>
      <c r="L35" t="s">
        <v>7</v>
      </c>
      <c r="M35" t="s">
        <v>105</v>
      </c>
    </row>
    <row r="36" spans="1:13" x14ac:dyDescent="0.2">
      <c r="A36" t="s">
        <v>96</v>
      </c>
      <c r="B36">
        <v>10</v>
      </c>
      <c r="C36">
        <v>10.029999999999999</v>
      </c>
      <c r="D36">
        <v>10.79</v>
      </c>
      <c r="E36">
        <v>0</v>
      </c>
      <c r="F36">
        <f t="shared" si="9"/>
        <v>7.5772681954137573</v>
      </c>
      <c r="G36">
        <f t="shared" si="10"/>
        <v>7.5999999999999979</v>
      </c>
      <c r="H36" s="3">
        <v>44008</v>
      </c>
      <c r="I36" s="1">
        <v>44084</v>
      </c>
      <c r="J36">
        <f t="shared" si="11"/>
        <v>0.20807665982203971</v>
      </c>
      <c r="K36">
        <f t="shared" si="12"/>
        <v>36.415752741774668</v>
      </c>
      <c r="L36" t="s">
        <v>7</v>
      </c>
      <c r="M36" t="s">
        <v>108</v>
      </c>
    </row>
    <row r="37" spans="1:13" x14ac:dyDescent="0.2">
      <c r="A37" t="s">
        <v>97</v>
      </c>
      <c r="B37">
        <v>2</v>
      </c>
      <c r="C37">
        <v>111.69</v>
      </c>
      <c r="D37">
        <v>136.52000000000001</v>
      </c>
      <c r="E37">
        <v>25.62</v>
      </c>
      <c r="F37">
        <f t="shared" si="9"/>
        <v>33.700420807592458</v>
      </c>
      <c r="G37">
        <f t="shared" si="10"/>
        <v>75.28000000000003</v>
      </c>
      <c r="H37" s="3">
        <v>42831</v>
      </c>
      <c r="I37" s="1">
        <v>44084</v>
      </c>
      <c r="J37">
        <f t="shared" si="11"/>
        <v>3.4305270362765228</v>
      </c>
      <c r="K37">
        <f t="shared" si="12"/>
        <v>9.8236861133065805</v>
      </c>
      <c r="L37" t="s">
        <v>7</v>
      </c>
      <c r="M37" t="s">
        <v>108</v>
      </c>
    </row>
    <row r="38" spans="1:13" x14ac:dyDescent="0.2">
      <c r="A38" t="s">
        <v>99</v>
      </c>
      <c r="B38">
        <v>10</v>
      </c>
      <c r="C38">
        <v>203.48</v>
      </c>
      <c r="D38">
        <v>202.3</v>
      </c>
      <c r="E38">
        <v>12.5</v>
      </c>
      <c r="F38">
        <f t="shared" si="9"/>
        <v>3.4401415372528797E-2</v>
      </c>
      <c r="G38">
        <f t="shared" si="10"/>
        <v>0.700000000000216</v>
      </c>
      <c r="H38" s="1">
        <v>44050</v>
      </c>
      <c r="I38" s="1">
        <v>44084</v>
      </c>
      <c r="J38">
        <f t="shared" si="11"/>
        <v>9.3086926762491445E-2</v>
      </c>
      <c r="K38">
        <f t="shared" si="12"/>
        <v>0.36956226367106304</v>
      </c>
      <c r="L38" t="s">
        <v>7</v>
      </c>
      <c r="M38" t="s">
        <v>107</v>
      </c>
    </row>
    <row r="39" spans="1:13" x14ac:dyDescent="0.2">
      <c r="A39" t="s">
        <v>100</v>
      </c>
      <c r="B39">
        <v>9</v>
      </c>
      <c r="C39">
        <v>74.349999999999994</v>
      </c>
      <c r="D39">
        <v>76.67</v>
      </c>
      <c r="E39">
        <v>2.91</v>
      </c>
      <c r="F39">
        <f t="shared" si="9"/>
        <v>3.5552566689083327</v>
      </c>
      <c r="G39">
        <f t="shared" si="10"/>
        <v>23.790000000000067</v>
      </c>
      <c r="H39" s="1">
        <v>44054</v>
      </c>
      <c r="I39" s="1">
        <v>44084</v>
      </c>
      <c r="J39">
        <f t="shared" si="11"/>
        <v>8.2135523613963035E-2</v>
      </c>
      <c r="K39">
        <f t="shared" si="12"/>
        <v>43.285249943958952</v>
      </c>
      <c r="L39" t="s">
        <v>7</v>
      </c>
      <c r="M39" t="s">
        <v>107</v>
      </c>
    </row>
    <row r="40" spans="1:13" x14ac:dyDescent="0.2">
      <c r="A40" t="s">
        <v>101</v>
      </c>
      <c r="B40">
        <v>10</v>
      </c>
      <c r="C40">
        <v>107.56</v>
      </c>
      <c r="D40">
        <v>116.09</v>
      </c>
      <c r="E40">
        <v>2.4500000000000002</v>
      </c>
      <c r="F40">
        <f t="shared" si="9"/>
        <v>8.1582372629230253</v>
      </c>
      <c r="G40">
        <f t="shared" si="10"/>
        <v>87.750000000000014</v>
      </c>
      <c r="H40" s="1">
        <v>44063</v>
      </c>
      <c r="I40" s="1">
        <v>44084</v>
      </c>
      <c r="J40">
        <f t="shared" si="11"/>
        <v>5.7494866529774126E-2</v>
      </c>
      <c r="K40">
        <f t="shared" si="12"/>
        <v>141.89505525155406</v>
      </c>
      <c r="L40" t="s">
        <v>7</v>
      </c>
      <c r="M40" t="s">
        <v>107</v>
      </c>
    </row>
    <row r="41" spans="1:13" x14ac:dyDescent="0.2">
      <c r="A41" t="s">
        <v>102</v>
      </c>
      <c r="B41">
        <v>10</v>
      </c>
      <c r="C41">
        <v>31.01</v>
      </c>
      <c r="D41">
        <v>6.35</v>
      </c>
      <c r="E41">
        <f>2.3*3+2.4*4+1.2*4+0.1*7</f>
        <v>22</v>
      </c>
      <c r="F41">
        <f t="shared" si="9"/>
        <v>-72.428248951950977</v>
      </c>
      <c r="G41">
        <f t="shared" si="10"/>
        <v>-224.60000000000002</v>
      </c>
      <c r="H41" s="2">
        <v>42366</v>
      </c>
      <c r="I41" s="1">
        <v>44084</v>
      </c>
      <c r="J41">
        <f t="shared" si="11"/>
        <v>4.7036276522929503</v>
      </c>
      <c r="K41">
        <f t="shared" si="12"/>
        <v>-15.398380634284106</v>
      </c>
      <c r="L41" t="s">
        <v>7</v>
      </c>
      <c r="M41" t="s">
        <v>105</v>
      </c>
    </row>
    <row r="42" spans="1:13" x14ac:dyDescent="0.2">
      <c r="A42" t="s">
        <v>103</v>
      </c>
      <c r="B42">
        <v>3.008054</v>
      </c>
      <c r="C42">
        <v>74.8</v>
      </c>
      <c r="D42">
        <v>69.349999999999994</v>
      </c>
      <c r="E42">
        <v>0.9</v>
      </c>
      <c r="F42">
        <f t="shared" si="9"/>
        <v>-6.8861005929930457</v>
      </c>
      <c r="G42">
        <f t="shared" si="10"/>
        <v>-15.49389430000001</v>
      </c>
      <c r="H42" s="1">
        <v>44061</v>
      </c>
      <c r="I42" s="1">
        <v>44084</v>
      </c>
      <c r="J42">
        <f t="shared" si="11"/>
        <v>6.2970568104038324E-2</v>
      </c>
      <c r="K42">
        <f t="shared" si="12"/>
        <v>-109.35427137350914</v>
      </c>
      <c r="L42" t="s">
        <v>7</v>
      </c>
      <c r="M42" t="s">
        <v>107</v>
      </c>
    </row>
    <row r="43" spans="1:13" x14ac:dyDescent="0.2">
      <c r="A43" t="s">
        <v>103</v>
      </c>
      <c r="B43">
        <v>5</v>
      </c>
      <c r="C43">
        <v>73.75</v>
      </c>
      <c r="D43">
        <v>69.25</v>
      </c>
      <c r="E43">
        <v>1.5</v>
      </c>
      <c r="F43">
        <f t="shared" si="9"/>
        <v>-5.6949152542372916</v>
      </c>
      <c r="G43">
        <f t="shared" si="10"/>
        <v>-21</v>
      </c>
      <c r="H43" s="1">
        <v>44062</v>
      </c>
      <c r="I43" s="1">
        <v>44084</v>
      </c>
      <c r="J43">
        <f t="shared" si="11"/>
        <v>6.0232717316906229E-2</v>
      </c>
      <c r="K43">
        <f t="shared" si="12"/>
        <v>-94.54853620955322</v>
      </c>
      <c r="L43" t="s">
        <v>7</v>
      </c>
      <c r="M43" t="s">
        <v>107</v>
      </c>
    </row>
    <row r="44" spans="1:13" x14ac:dyDescent="0.2">
      <c r="A44" t="s">
        <v>104</v>
      </c>
      <c r="B44">
        <v>3</v>
      </c>
      <c r="C44">
        <v>344.93</v>
      </c>
      <c r="D44">
        <v>348.82</v>
      </c>
      <c r="E44">
        <v>2.0099999999999998</v>
      </c>
      <c r="F44">
        <f t="shared" si="9"/>
        <v>1.3220073638129481</v>
      </c>
      <c r="G44">
        <f t="shared" si="10"/>
        <v>13.679999999999959</v>
      </c>
      <c r="H44" s="1">
        <v>44054</v>
      </c>
      <c r="I44" s="1">
        <v>44084</v>
      </c>
      <c r="J44">
        <f t="shared" si="11"/>
        <v>8.2135523613963035E-2</v>
      </c>
      <c r="K44">
        <f t="shared" si="12"/>
        <v>16.095439654422645</v>
      </c>
      <c r="L44" t="s">
        <v>7</v>
      </c>
      <c r="M44" t="s">
        <v>107</v>
      </c>
    </row>
    <row r="45" spans="1:13" x14ac:dyDescent="0.2">
      <c r="A45" t="s">
        <v>10</v>
      </c>
      <c r="B45">
        <v>5</v>
      </c>
      <c r="C45">
        <v>37.659999999999997</v>
      </c>
      <c r="D45">
        <v>71.430000000000007</v>
      </c>
      <c r="E45">
        <f>1.17+4.13+0.95+3.84+1.64+5.26+2.09+5.3+1.3</f>
        <v>25.680000000000003</v>
      </c>
      <c r="F45">
        <f t="shared" si="9"/>
        <v>103.30855018587364</v>
      </c>
      <c r="G45">
        <f t="shared" si="10"/>
        <v>194.53000000000006</v>
      </c>
      <c r="H45" s="2">
        <v>42408</v>
      </c>
      <c r="I45" s="1">
        <v>44084</v>
      </c>
      <c r="J45">
        <f t="shared" si="11"/>
        <v>4.5886379192334017</v>
      </c>
      <c r="K45">
        <f t="shared" si="12"/>
        <v>22.513990426843883</v>
      </c>
      <c r="L45" t="s">
        <v>7</v>
      </c>
      <c r="M45" t="s">
        <v>108</v>
      </c>
    </row>
    <row r="46" spans="1:13" x14ac:dyDescent="0.2">
      <c r="A46" t="s">
        <v>10</v>
      </c>
      <c r="B46">
        <f>8.013287-5</f>
        <v>3.013287</v>
      </c>
      <c r="C46">
        <v>71.87</v>
      </c>
      <c r="D46">
        <f>((6.999861-5)*71.43+1.013426*71.45)/B46</f>
        <v>71.436726382186635</v>
      </c>
      <c r="E46">
        <v>0</v>
      </c>
      <c r="F46">
        <f t="shared" si="9"/>
        <v>-0.60285740616859607</v>
      </c>
      <c r="G46">
        <f t="shared" si="10"/>
        <v>-1.3055777599999965</v>
      </c>
      <c r="H46" s="1">
        <v>44054</v>
      </c>
      <c r="I46" s="1">
        <v>44084</v>
      </c>
      <c r="J46">
        <f t="shared" si="11"/>
        <v>8.2135523613963035E-2</v>
      </c>
      <c r="K46">
        <f t="shared" si="12"/>
        <v>-7.3397889201026576</v>
      </c>
      <c r="L46" t="s">
        <v>7</v>
      </c>
      <c r="M46" t="s">
        <v>107</v>
      </c>
    </row>
    <row r="47" spans="1:13" x14ac:dyDescent="0.2">
      <c r="A47" t="s">
        <v>21</v>
      </c>
      <c r="B47">
        <v>1</v>
      </c>
      <c r="C47">
        <v>383</v>
      </c>
      <c r="D47">
        <f>(1-0.910514)*557.36+0.910514*549.14</f>
        <v>549.87557491999996</v>
      </c>
      <c r="E47">
        <f>2.5*3+2.88*2+3.13*2+3.3*4+3.63*2+14.52/4</f>
        <v>43.61</v>
      </c>
      <c r="F47">
        <f t="shared" si="9"/>
        <v>54.957069169712788</v>
      </c>
      <c r="G47">
        <f t="shared" si="10"/>
        <v>210.48557491999998</v>
      </c>
      <c r="H47" s="2">
        <v>42860</v>
      </c>
      <c r="I47" s="1">
        <v>44088</v>
      </c>
      <c r="J47">
        <f t="shared" si="11"/>
        <v>3.3620807665982202</v>
      </c>
      <c r="K47">
        <f t="shared" si="12"/>
        <v>16.346147812897065</v>
      </c>
      <c r="L47" t="s">
        <v>7</v>
      </c>
      <c r="M47" t="s">
        <v>108</v>
      </c>
    </row>
    <row r="48" spans="1:13" x14ac:dyDescent="0.2">
      <c r="A48" t="s">
        <v>21</v>
      </c>
      <c r="B48">
        <v>0.80759999999999998</v>
      </c>
      <c r="C48">
        <v>582.66999999999996</v>
      </c>
      <c r="D48">
        <v>557.36</v>
      </c>
      <c r="E48">
        <f>14.53*0.8076/4</f>
        <v>2.9336069999999999</v>
      </c>
      <c r="F48">
        <f t="shared" si="9"/>
        <v>-3.7203734532410966</v>
      </c>
      <c r="G48">
        <f t="shared" si="10"/>
        <v>-17.506748999999957</v>
      </c>
      <c r="H48" s="1">
        <v>44050</v>
      </c>
      <c r="I48" s="1">
        <v>44090</v>
      </c>
      <c r="J48">
        <f t="shared" si="11"/>
        <v>0.10951403148528405</v>
      </c>
      <c r="K48">
        <f t="shared" si="12"/>
        <v>-33.971660094907762</v>
      </c>
      <c r="L48" t="s">
        <v>7</v>
      </c>
      <c r="M48" t="s">
        <v>107</v>
      </c>
    </row>
    <row r="49" spans="1:17" x14ac:dyDescent="0.2">
      <c r="A49" t="s">
        <v>20</v>
      </c>
      <c r="B49">
        <v>1.767852</v>
      </c>
      <c r="C49">
        <v>82.74</v>
      </c>
      <c r="D49">
        <v>84.85</v>
      </c>
      <c r="E49">
        <f>0.31*1.767852</f>
        <v>0.54803411999999996</v>
      </c>
      <c r="F49">
        <f t="shared" si="9"/>
        <v>2.9248247522359221</v>
      </c>
      <c r="G49">
        <f t="shared" si="10"/>
        <v>4.2782018399999986</v>
      </c>
      <c r="H49" s="1">
        <v>44050</v>
      </c>
      <c r="I49" s="1">
        <v>44090</v>
      </c>
      <c r="J49">
        <f t="shared" si="11"/>
        <v>0.10951403148528405</v>
      </c>
      <c r="K49">
        <f t="shared" si="12"/>
        <v>26.707306018854265</v>
      </c>
      <c r="L49" t="s">
        <v>7</v>
      </c>
      <c r="M49" t="s">
        <v>107</v>
      </c>
    </row>
    <row r="50" spans="1:17" x14ac:dyDescent="0.2">
      <c r="A50" t="s">
        <v>35</v>
      </c>
      <c r="B50">
        <v>1.6460360000000001</v>
      </c>
      <c r="C50">
        <v>302.01</v>
      </c>
      <c r="D50">
        <v>303.76</v>
      </c>
      <c r="E50">
        <f>0.2554*1.646036</f>
        <v>0.42039759440000002</v>
      </c>
      <c r="F50">
        <f t="shared" si="9"/>
        <v>0.66401774775669975</v>
      </c>
      <c r="G50">
        <f t="shared" si="10"/>
        <v>3.3009605944000002</v>
      </c>
      <c r="H50" s="1">
        <v>44054</v>
      </c>
      <c r="I50" s="1">
        <v>44096</v>
      </c>
      <c r="J50">
        <f t="shared" si="11"/>
        <v>0.11498973305954825</v>
      </c>
      <c r="K50">
        <f t="shared" si="12"/>
        <v>5.7745829135270137</v>
      </c>
      <c r="L50" t="s">
        <v>7</v>
      </c>
      <c r="M50" t="s">
        <v>107</v>
      </c>
    </row>
    <row r="51" spans="1:17" x14ac:dyDescent="0.2">
      <c r="A51" t="s">
        <v>74</v>
      </c>
      <c r="B51">
        <v>4.3339990000000004</v>
      </c>
      <c r="C51">
        <v>115.37</v>
      </c>
      <c r="D51">
        <v>117.95</v>
      </c>
      <c r="E51">
        <v>0</v>
      </c>
      <c r="F51">
        <f t="shared" si="9"/>
        <v>2.2362832625465878</v>
      </c>
      <c r="G51">
        <f t="shared" si="10"/>
        <v>11.181717419999993</v>
      </c>
      <c r="H51" s="1">
        <v>44084</v>
      </c>
      <c r="I51" s="1">
        <v>44105</v>
      </c>
      <c r="J51">
        <f t="shared" si="11"/>
        <v>5.7494866529774126E-2</v>
      </c>
      <c r="K51">
        <f t="shared" si="12"/>
        <v>38.8953553164353</v>
      </c>
      <c r="L51" t="s">
        <v>9</v>
      </c>
      <c r="M51" t="s">
        <v>81</v>
      </c>
    </row>
    <row r="52" spans="1:17" x14ac:dyDescent="0.2">
      <c r="A52" t="s">
        <v>86</v>
      </c>
      <c r="B52">
        <v>2.8388119999999999</v>
      </c>
      <c r="C52">
        <v>176.13</v>
      </c>
      <c r="D52">
        <v>198.04</v>
      </c>
      <c r="E52">
        <v>0</v>
      </c>
      <c r="F52">
        <f t="shared" si="9"/>
        <v>12.439675239879634</v>
      </c>
      <c r="G52">
        <f t="shared" si="10"/>
        <v>62.198370919999988</v>
      </c>
      <c r="H52" s="1">
        <v>44084</v>
      </c>
      <c r="I52" s="1">
        <v>44105</v>
      </c>
      <c r="J52">
        <f t="shared" si="11"/>
        <v>5.7494866529774126E-2</v>
      </c>
      <c r="K52">
        <f t="shared" si="12"/>
        <v>216.36149435076362</v>
      </c>
      <c r="L52" t="s">
        <v>9</v>
      </c>
      <c r="M52" t="s">
        <v>81</v>
      </c>
    </row>
    <row r="53" spans="1:17" x14ac:dyDescent="0.2">
      <c r="A53" t="s">
        <v>87</v>
      </c>
      <c r="B53">
        <v>3.655786</v>
      </c>
      <c r="C53">
        <v>136.77000000000001</v>
      </c>
      <c r="D53">
        <v>148.29</v>
      </c>
      <c r="E53">
        <v>0</v>
      </c>
      <c r="F53">
        <f t="shared" si="9"/>
        <v>8.4228997587190033</v>
      </c>
      <c r="G53">
        <f t="shared" si="10"/>
        <v>42.114654719999933</v>
      </c>
      <c r="H53" s="1">
        <v>44084</v>
      </c>
      <c r="I53" s="1">
        <v>44105</v>
      </c>
      <c r="J53">
        <f t="shared" si="11"/>
        <v>5.7494866529774126E-2</v>
      </c>
      <c r="K53">
        <f t="shared" ref="K53:K67" si="15">F53/J53</f>
        <v>146.49829223200553</v>
      </c>
      <c r="L53" t="s">
        <v>9</v>
      </c>
      <c r="M53" t="s">
        <v>81</v>
      </c>
    </row>
    <row r="54" spans="1:17" x14ac:dyDescent="0.2">
      <c r="A54" t="s">
        <v>0</v>
      </c>
      <c r="B54">
        <v>3</v>
      </c>
      <c r="C54">
        <f>101.47/4</f>
        <v>25.3675</v>
      </c>
      <c r="D54">
        <f>(116.16+116.18*2)/3</f>
        <v>116.17333333333333</v>
      </c>
      <c r="E54">
        <f>(0.57*4+0.63*4+0.73*4+0.77*4+0.82*2)/4</f>
        <v>3.1100000000000003</v>
      </c>
      <c r="F54">
        <f t="shared" si="9"/>
        <v>362.0478959298315</v>
      </c>
      <c r="G54">
        <f t="shared" si="10"/>
        <v>275.52750000000003</v>
      </c>
      <c r="H54" s="1">
        <v>42437</v>
      </c>
      <c r="I54" s="1">
        <v>44113</v>
      </c>
      <c r="J54">
        <f t="shared" si="11"/>
        <v>4.5886379192334017</v>
      </c>
      <c r="K54">
        <f t="shared" si="15"/>
        <v>78.900951067047117</v>
      </c>
      <c r="L54" t="s">
        <v>7</v>
      </c>
      <c r="M54" t="s">
        <v>108</v>
      </c>
    </row>
    <row r="55" spans="1:17" x14ac:dyDescent="0.2">
      <c r="A55" t="s">
        <v>28</v>
      </c>
      <c r="B55">
        <v>4</v>
      </c>
      <c r="C55">
        <f>(102.58*2+107.37+106.99)/4</f>
        <v>104.88</v>
      </c>
      <c r="D55">
        <v>262.83999999999997</v>
      </c>
      <c r="E55">
        <v>0</v>
      </c>
      <c r="F55">
        <f t="shared" si="9"/>
        <v>150.61022120518689</v>
      </c>
      <c r="G55">
        <f t="shared" si="10"/>
        <v>631.83999999999992</v>
      </c>
      <c r="H55" s="3">
        <v>42424</v>
      </c>
      <c r="I55" s="1">
        <v>44113</v>
      </c>
      <c r="J55">
        <f t="shared" si="11"/>
        <v>4.6242299794661195</v>
      </c>
      <c r="K55">
        <f t="shared" si="15"/>
        <v>32.569794727764659</v>
      </c>
      <c r="L55" t="s">
        <v>7</v>
      </c>
      <c r="M55" t="s">
        <v>108</v>
      </c>
    </row>
    <row r="56" spans="1:17" x14ac:dyDescent="0.2">
      <c r="A56" t="s">
        <v>49</v>
      </c>
      <c r="B56">
        <v>1</v>
      </c>
      <c r="C56">
        <v>33.21</v>
      </c>
      <c r="D56">
        <v>548.67999999999995</v>
      </c>
      <c r="E56">
        <f>0.115*3+0.14*4+0.15*4+0.16*8</f>
        <v>2.7850000000000001</v>
      </c>
      <c r="F56">
        <f t="shared" si="9"/>
        <v>1560.5389942788313</v>
      </c>
      <c r="G56">
        <f t="shared" si="10"/>
        <v>518.25499999999988</v>
      </c>
      <c r="H56" s="3">
        <v>42362</v>
      </c>
      <c r="I56" s="1">
        <v>44113</v>
      </c>
      <c r="J56">
        <f t="shared" si="11"/>
        <v>4.7939767282683095</v>
      </c>
      <c r="K56">
        <f t="shared" si="15"/>
        <v>325.52076965182363</v>
      </c>
      <c r="L56" t="s">
        <v>7</v>
      </c>
      <c r="M56" t="s">
        <v>108</v>
      </c>
    </row>
    <row r="57" spans="1:17" x14ac:dyDescent="0.2">
      <c r="A57" t="s">
        <v>16</v>
      </c>
      <c r="B57">
        <v>0.2</v>
      </c>
      <c r="C57">
        <v>3225.05</v>
      </c>
      <c r="D57">
        <v>3279.75</v>
      </c>
      <c r="E57">
        <v>0</v>
      </c>
      <c r="F57">
        <f t="shared" si="9"/>
        <v>1.6960977349188326</v>
      </c>
      <c r="G57">
        <f t="shared" si="10"/>
        <v>10.939999999999964</v>
      </c>
      <c r="H57" s="1">
        <v>44050</v>
      </c>
      <c r="I57" s="1">
        <v>44113</v>
      </c>
      <c r="J57">
        <f t="shared" si="11"/>
        <v>0.17248459958932238</v>
      </c>
      <c r="K57">
        <f t="shared" si="15"/>
        <v>9.8333285345889454</v>
      </c>
      <c r="L57" t="s">
        <v>7</v>
      </c>
      <c r="M57" t="s">
        <v>108</v>
      </c>
    </row>
    <row r="58" spans="1:17" x14ac:dyDescent="0.2">
      <c r="A58" t="s">
        <v>10</v>
      </c>
      <c r="B58">
        <v>6.986713</v>
      </c>
      <c r="C58" s="4">
        <v>71.87</v>
      </c>
      <c r="D58">
        <v>74.72</v>
      </c>
      <c r="E58">
        <v>0</v>
      </c>
      <c r="F58">
        <f t="shared" si="9"/>
        <v>3.9654932517044585</v>
      </c>
      <c r="G58">
        <f t="shared" si="10"/>
        <v>19.912132049999961</v>
      </c>
      <c r="H58" s="1">
        <v>44054</v>
      </c>
      <c r="I58" s="1">
        <v>44113</v>
      </c>
      <c r="J58">
        <f t="shared" si="11"/>
        <v>0.16153319644079397</v>
      </c>
      <c r="K58">
        <f t="shared" si="15"/>
        <v>24.549091698051754</v>
      </c>
      <c r="L58" t="s">
        <v>7</v>
      </c>
      <c r="M58" t="s">
        <v>107</v>
      </c>
    </row>
    <row r="59" spans="1:17" x14ac:dyDescent="0.2">
      <c r="A59" t="s">
        <v>8</v>
      </c>
      <c r="B59">
        <v>2</v>
      </c>
      <c r="C59" s="4">
        <v>440</v>
      </c>
      <c r="D59">
        <v>508.26</v>
      </c>
      <c r="E59">
        <v>0</v>
      </c>
      <c r="F59">
        <f t="shared" si="9"/>
        <v>15.513636363636362</v>
      </c>
      <c r="G59">
        <f t="shared" si="10"/>
        <v>136.51999999999998</v>
      </c>
      <c r="H59" s="1">
        <v>44054</v>
      </c>
      <c r="I59" s="1">
        <v>44116</v>
      </c>
      <c r="J59">
        <f t="shared" si="11"/>
        <v>0.16974674880219029</v>
      </c>
      <c r="K59">
        <f t="shared" si="15"/>
        <v>91.392833577712594</v>
      </c>
      <c r="L59" t="s">
        <v>7</v>
      </c>
      <c r="M59" t="s">
        <v>108</v>
      </c>
    </row>
    <row r="60" spans="1:17" x14ac:dyDescent="0.2">
      <c r="A60" t="s">
        <v>31</v>
      </c>
      <c r="B60">
        <v>2.1210640000000001</v>
      </c>
      <c r="C60" s="4">
        <v>235.73</v>
      </c>
      <c r="D60" s="4">
        <v>253.23</v>
      </c>
      <c r="E60" s="4">
        <v>0</v>
      </c>
      <c r="F60">
        <f t="shared" si="9"/>
        <v>7.4237475077419086</v>
      </c>
      <c r="G60">
        <f t="shared" si="10"/>
        <v>37.11862</v>
      </c>
      <c r="H60" s="1">
        <v>44084</v>
      </c>
      <c r="I60" s="1">
        <v>44116</v>
      </c>
      <c r="J60">
        <f t="shared" si="11"/>
        <v>8.761122518822724E-2</v>
      </c>
      <c r="K60">
        <f t="shared" si="15"/>
        <v>84.73511803758538</v>
      </c>
      <c r="L60" t="s">
        <v>9</v>
      </c>
      <c r="M60" t="s">
        <v>108</v>
      </c>
    </row>
    <row r="61" spans="1:17" x14ac:dyDescent="0.2">
      <c r="A61" t="s">
        <v>57</v>
      </c>
      <c r="B61">
        <v>26.272559999999999</v>
      </c>
      <c r="C61">
        <v>22.45</v>
      </c>
      <c r="D61" s="6">
        <v>22.67</v>
      </c>
      <c r="E61">
        <v>5.91</v>
      </c>
      <c r="F61">
        <f t="shared" si="9"/>
        <v>1.9819578133203988</v>
      </c>
      <c r="G61">
        <f t="shared" si="10"/>
        <v>11.689963200000063</v>
      </c>
      <c r="H61" s="1">
        <v>44084</v>
      </c>
      <c r="I61" s="1">
        <v>44181</v>
      </c>
      <c r="J61">
        <f t="shared" si="11"/>
        <v>0.2655715263518138</v>
      </c>
      <c r="K61">
        <f t="shared" si="15"/>
        <v>7.4629906321162442</v>
      </c>
      <c r="L61" t="s">
        <v>9</v>
      </c>
      <c r="M61" t="s">
        <v>81</v>
      </c>
      <c r="O61" s="6"/>
    </row>
    <row r="62" spans="1:17" x14ac:dyDescent="0.2">
      <c r="A62" t="s">
        <v>68</v>
      </c>
      <c r="B62">
        <v>1.6930620000000001</v>
      </c>
      <c r="C62">
        <v>236.26</v>
      </c>
      <c r="D62" s="6">
        <v>289.92</v>
      </c>
      <c r="E62">
        <v>0</v>
      </c>
      <c r="F62">
        <f t="shared" si="9"/>
        <v>22.712266147464668</v>
      </c>
      <c r="G62">
        <f t="shared" si="10"/>
        <v>90.849706920000045</v>
      </c>
      <c r="H62" s="1">
        <v>44105</v>
      </c>
      <c r="I62" s="1">
        <v>44181</v>
      </c>
      <c r="J62">
        <f t="shared" si="11"/>
        <v>0.20807665982203971</v>
      </c>
      <c r="K62">
        <f t="shared" si="15"/>
        <v>109.15335803107196</v>
      </c>
      <c r="L62" t="s">
        <v>9</v>
      </c>
      <c r="M62" t="s">
        <v>81</v>
      </c>
      <c r="O62" s="6"/>
    </row>
    <row r="63" spans="1:17" x14ac:dyDescent="0.2">
      <c r="A63" t="s">
        <v>66</v>
      </c>
      <c r="B63">
        <v>1.844473</v>
      </c>
      <c r="C63">
        <v>67.77</v>
      </c>
      <c r="D63" s="6">
        <v>122.49</v>
      </c>
      <c r="E63">
        <v>0</v>
      </c>
      <c r="F63">
        <f t="shared" si="9"/>
        <v>80.743691899070384</v>
      </c>
      <c r="G63">
        <f>(D63+F63/B63-C63)/C63*100</f>
        <v>145.33867889920035</v>
      </c>
      <c r="H63" s="1">
        <v>44090</v>
      </c>
      <c r="I63" s="1">
        <v>44193</v>
      </c>
      <c r="J63">
        <f t="shared" si="11"/>
        <v>0.28199863107460643</v>
      </c>
      <c r="K63">
        <f t="shared" si="15"/>
        <v>286.32653850616947</v>
      </c>
      <c r="L63" t="s">
        <v>9</v>
      </c>
      <c r="M63" t="s">
        <v>108</v>
      </c>
      <c r="O63" s="6"/>
      <c r="Q63" s="1"/>
    </row>
    <row r="64" spans="1:17" x14ac:dyDescent="0.2">
      <c r="A64" t="s">
        <v>63</v>
      </c>
      <c r="B64">
        <v>2.2483599999999999</v>
      </c>
      <c r="C64">
        <v>55.6</v>
      </c>
      <c r="D64" s="6">
        <v>50.16</v>
      </c>
      <c r="E64">
        <v>0</v>
      </c>
      <c r="F64">
        <f t="shared" si="9"/>
        <v>-9.784172661870512</v>
      </c>
      <c r="G64">
        <f>(D64+F64/B64-C64)/C64*100</f>
        <v>-17.610958783795311</v>
      </c>
      <c r="H64" s="1">
        <v>44090</v>
      </c>
      <c r="I64" s="1">
        <v>44193</v>
      </c>
      <c r="J64">
        <f t="shared" si="11"/>
        <v>0.28199863107460643</v>
      </c>
      <c r="K64">
        <f t="shared" si="15"/>
        <v>-34.695816162603926</v>
      </c>
      <c r="L64" t="s">
        <v>9</v>
      </c>
      <c r="M64" t="s">
        <v>105</v>
      </c>
      <c r="O64" s="6"/>
      <c r="Q64" s="1"/>
    </row>
    <row r="65" spans="1:17" x14ac:dyDescent="0.2">
      <c r="A65" t="s">
        <v>120</v>
      </c>
      <c r="B65">
        <v>6.742699</v>
      </c>
      <c r="C65">
        <v>37.08</v>
      </c>
      <c r="D65" s="6">
        <v>37.32</v>
      </c>
      <c r="E65">
        <v>2.56</v>
      </c>
      <c r="F65">
        <f t="shared" si="9"/>
        <v>1.671170230571271</v>
      </c>
      <c r="G65">
        <f>(D65+F65/B65-C65)/C65*100</f>
        <v>1.3156657377704868</v>
      </c>
      <c r="H65" s="1">
        <v>44090</v>
      </c>
      <c r="I65" s="1">
        <v>44193</v>
      </c>
      <c r="J65">
        <f t="shared" si="11"/>
        <v>0.28199863107460643</v>
      </c>
      <c r="K65">
        <f t="shared" si="15"/>
        <v>5.9261643370500652</v>
      </c>
      <c r="L65" t="s">
        <v>9</v>
      </c>
      <c r="M65" t="s">
        <v>107</v>
      </c>
      <c r="O65" s="6"/>
    </row>
    <row r="66" spans="1:17" x14ac:dyDescent="0.2">
      <c r="A66" t="s">
        <v>64</v>
      </c>
      <c r="B66">
        <v>2.2475269999999998</v>
      </c>
      <c r="C66">
        <v>66.739999999999995</v>
      </c>
      <c r="D66" s="6">
        <v>94.88</v>
      </c>
      <c r="E66">
        <v>0</v>
      </c>
      <c r="F66">
        <f t="shared" si="9"/>
        <v>42.163620017980222</v>
      </c>
      <c r="G66">
        <f>(D66+F66/B66-C66)/C66*100</f>
        <v>70.27270902862341</v>
      </c>
      <c r="H66" s="1">
        <v>44090</v>
      </c>
      <c r="I66" s="1">
        <v>44193</v>
      </c>
      <c r="J66">
        <f t="shared" si="11"/>
        <v>0.28199863107460643</v>
      </c>
      <c r="K66">
        <f t="shared" si="15"/>
        <v>149.51710885016772</v>
      </c>
      <c r="L66" t="s">
        <v>9</v>
      </c>
      <c r="M66" t="s">
        <v>108</v>
      </c>
      <c r="O66" s="6"/>
      <c r="Q66" s="1"/>
    </row>
    <row r="67" spans="1:17" x14ac:dyDescent="0.2">
      <c r="A67" t="s">
        <v>59</v>
      </c>
      <c r="B67">
        <v>6.3443940000000003</v>
      </c>
      <c r="C67">
        <v>78.81</v>
      </c>
      <c r="D67" s="6">
        <v>92.09</v>
      </c>
      <c r="E67">
        <v>0</v>
      </c>
      <c r="F67">
        <f t="shared" si="9"/>
        <v>16.850653470371782</v>
      </c>
      <c r="G67">
        <f>(D67+F67/B67-C67)/C67*100</f>
        <v>20.22077276575904</v>
      </c>
      <c r="H67" s="1">
        <v>44088</v>
      </c>
      <c r="I67" s="1">
        <v>44193</v>
      </c>
      <c r="J67">
        <f t="shared" si="11"/>
        <v>0.28747433264887062</v>
      </c>
      <c r="K67">
        <f t="shared" si="15"/>
        <v>58.61620171479327</v>
      </c>
      <c r="L67" t="s">
        <v>9</v>
      </c>
      <c r="M67" t="s">
        <v>108</v>
      </c>
      <c r="O67" s="6"/>
      <c r="Q6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LONG</vt:lpstr>
      <vt:lpstr>TEMP</vt:lpstr>
      <vt:lpstr>SOLD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2020-09-10T17:25:33Z</dcterms:created>
  <dcterms:modified xsi:type="dcterms:W3CDTF">2021-01-16T17:23:21Z</dcterms:modified>
</cp:coreProperties>
</file>