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3.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1c098a04e528437a" Type="http://schemas.microsoft.com/office/2006/relationships/ui/extensibility" Target="customUI/customUI.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6410a04528824319" Type="http://schemas.microsoft.com/office/2007/relationships/ui/extensibility" Target="customUI/customUI14.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codeName="ThisWorkbook"/>
  <mc:AlternateContent xmlns:mc="http://schemas.openxmlformats.org/markup-compatibility/2006">
    <mc:Choice Requires="x15">
      <x15ac:absPath xmlns:x15ac="http://schemas.microsoft.com/office/spreadsheetml/2010/11/ac" url="https://d.docs.live.net/cf61cb4e2542716f/Documents/MCPA/Events/HTA2017/"/>
    </mc:Choice>
  </mc:AlternateContent>
  <bookViews>
    <workbookView xWindow="0" yWindow="0" windowWidth="20490" windowHeight="7425"/>
  </bookViews>
  <sheets>
    <sheet name="Dashboard" sheetId="5" r:id="rId1"/>
    <sheet name="Budget" sheetId="1" r:id="rId2"/>
    <sheet name="Setup" sheetId="2" r:id="rId3"/>
    <sheet name="chart data" sheetId="4" state="hidden" r:id="rId4"/>
  </sheets>
  <definedNames>
    <definedName name="BudgetName">Setup!$B$1</definedName>
    <definedName name="display_long_period">CHOOSE(period,"January","February","March","April","May","June","July","August","September","October","November","December","Year")</definedName>
    <definedName name="displayed_expense_categories">OFFSET(StartCell,15-displayed_expense_categories_count+1,,displayed_expense_categories_count)</definedName>
    <definedName name="displayed_expense_categories_count">COUNTIF('chart data'!$B$7:$B$21,"&gt;"&amp; " ")</definedName>
    <definedName name="displayed_expense_categories_period_values">OFFSET(displayed_expense_categories,,period)</definedName>
    <definedName name="expense_categories">tblExpenseCategories[expenses]</definedName>
    <definedName name="expense_category_list_01">CHOOSE(MATCH(INDEX(Budget!$B$21,,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2">CHOOSE(MATCH(INDEX(Budget!$B$30,,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3">CHOOSE(MATCH(INDEX(Budget!$B$39,,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4">CHOOSE(MATCH(INDEX(Budget!$B$48,,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5">CHOOSE(MATCH(INDEX(Budget!$B$55,,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6">CHOOSE(MATCH(INDEX(Budget!$B$62,,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7">CHOOSE(MATCH(INDEX(Budget!$B$69,,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8">CHOOSE(MATCH(INDEX(Budget!$B$76,,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9">CHOOSE(MATCH(INDEX(Budget!$B$83,,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0">CHOOSE(MATCH(INDEX(Budget!$B$90,,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1">CHOOSE(MATCH(INDEX(Budget!$B$95,,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2">CHOOSE(MATCH(INDEX(Budget!$B$102,,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3">CHOOSE(MATCH(INDEX(Budget!$B$109,,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4">CHOOSE(MATCH(INDEX(Budget!$B$116,,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5">CHOOSE(MATCH(INDEX(Budget!$B$123,,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s_charity">tblExpensesCharity[subscriptions]</definedName>
    <definedName name="expenses_children">tblExpensesChildren[training]</definedName>
    <definedName name="expenses_daily_living">tblExpensesDailyLiving[transportation]</definedName>
    <definedName name="expenses_education">tblExpensesEducation[morale]</definedName>
    <definedName name="expenses_entertainment">tblExpensesEntertainment[entertainment]</definedName>
    <definedName name="expenses_health">tblExpensesHealth[obligations]</definedName>
    <definedName name="expenses_home">tblExpensesHome[office supplies]</definedName>
    <definedName name="expenses_insurance">tblExpensesInsurance[entertainment]</definedName>
    <definedName name="expenses_misc">tblExpensesMisc[miscellaneous]</definedName>
    <definedName name="expenses_obligations">tblExpensesObligations[miscellaneous]</definedName>
    <definedName name="expenses_pets">tblExpensesPets[pets]</definedName>
    <definedName name="expenses_savings">tblExpensesSavings[equipment]</definedName>
    <definedName name="expenses_subscriptions">tblExpensesSubscriptions[subscriptions]</definedName>
    <definedName name="expenses_transportation">tblExpensesTransportation[charity]</definedName>
    <definedName name="expenses_vacation">tblExpensesVacation[vacation]</definedName>
    <definedName name="income">tblIncomeLineChoices[income]</definedName>
    <definedName name="period">'chart data'!$C$4</definedName>
    <definedName name="_xlnm.Print_Titles" localSheetId="1">Budget!$1:$4</definedName>
    <definedName name="shpButtonDetails">Dashboard!$M$33</definedName>
    <definedName name="StartCell">'chart data'!$B$6</definedName>
    <definedName name="StartingBalance">Budget!$C$5</definedName>
  </definedNames>
  <calcPr calcId="171027"/>
</workbook>
</file>

<file path=xl/calcChain.xml><?xml version="1.0" encoding="utf-8"?>
<calcChain xmlns="http://schemas.openxmlformats.org/spreadsheetml/2006/main">
  <c r="O77" i="1" l="1"/>
  <c r="P77" i="1" s="1"/>
  <c r="N1" i="5"/>
  <c r="B7" i="4"/>
  <c r="B127" i="1"/>
  <c r="B8" i="4"/>
  <c r="B120" i="1"/>
  <c r="B9" i="4"/>
  <c r="B113" i="1"/>
  <c r="B10" i="4"/>
  <c r="B106" i="1"/>
  <c r="B11" i="4"/>
  <c r="B99" i="1"/>
  <c r="B92" i="1"/>
  <c r="B87" i="1"/>
  <c r="B12" i="4"/>
  <c r="B13" i="4"/>
  <c r="B14" i="4"/>
  <c r="B15" i="4"/>
  <c r="B16" i="4"/>
  <c r="B17" i="4"/>
  <c r="B80" i="1"/>
  <c r="B73" i="1"/>
  <c r="B66" i="1"/>
  <c r="B59" i="1"/>
  <c r="B18" i="4"/>
  <c r="B52" i="1"/>
  <c r="B19" i="4"/>
  <c r="B45" i="1"/>
  <c r="B20" i="4"/>
  <c r="B36" i="1"/>
  <c r="B37" i="4"/>
  <c r="B21" i="4"/>
  <c r="B27" i="1"/>
  <c r="O98" i="1"/>
  <c r="P98" i="1"/>
  <c r="B40" i="4"/>
  <c r="B38" i="4"/>
  <c r="N21" i="4"/>
  <c r="M21" i="4"/>
  <c r="L21" i="4"/>
  <c r="K21" i="4"/>
  <c r="J21" i="4"/>
  <c r="I21" i="4"/>
  <c r="H21" i="4"/>
  <c r="G21" i="4"/>
  <c r="F21" i="4"/>
  <c r="E21" i="4"/>
  <c r="D21" i="4"/>
  <c r="C21" i="4"/>
  <c r="N20" i="4"/>
  <c r="M20" i="4"/>
  <c r="L20" i="4"/>
  <c r="K20" i="4"/>
  <c r="J20" i="4"/>
  <c r="I20" i="4"/>
  <c r="H20" i="4"/>
  <c r="G20" i="4"/>
  <c r="F20" i="4"/>
  <c r="E20" i="4"/>
  <c r="D20" i="4"/>
  <c r="C20" i="4"/>
  <c r="N19" i="4"/>
  <c r="M19" i="4"/>
  <c r="L19" i="4"/>
  <c r="K19" i="4"/>
  <c r="J19" i="4"/>
  <c r="I19" i="4"/>
  <c r="H19" i="4"/>
  <c r="G19" i="4"/>
  <c r="F19" i="4"/>
  <c r="E19" i="4"/>
  <c r="D19" i="4"/>
  <c r="C19" i="4"/>
  <c r="N18" i="4"/>
  <c r="M18" i="4"/>
  <c r="L18" i="4"/>
  <c r="K18" i="4"/>
  <c r="J18" i="4"/>
  <c r="I18" i="4"/>
  <c r="H18" i="4"/>
  <c r="G18" i="4"/>
  <c r="F18" i="4"/>
  <c r="E18" i="4"/>
  <c r="D18" i="4"/>
  <c r="C18" i="4"/>
  <c r="N17" i="4"/>
  <c r="M17" i="4"/>
  <c r="L17" i="4"/>
  <c r="K17" i="4"/>
  <c r="J17" i="4"/>
  <c r="I17" i="4"/>
  <c r="H17" i="4"/>
  <c r="G17" i="4"/>
  <c r="F17" i="4"/>
  <c r="E17" i="4"/>
  <c r="D17" i="4"/>
  <c r="C17" i="4"/>
  <c r="N16" i="4"/>
  <c r="M16" i="4"/>
  <c r="L16" i="4"/>
  <c r="K16" i="4"/>
  <c r="J16" i="4"/>
  <c r="I16" i="4"/>
  <c r="H16" i="4"/>
  <c r="G16" i="4"/>
  <c r="F16" i="4"/>
  <c r="E16" i="4"/>
  <c r="D16" i="4"/>
  <c r="C16" i="4"/>
  <c r="N15" i="4"/>
  <c r="M15" i="4"/>
  <c r="L15" i="4"/>
  <c r="K15" i="4"/>
  <c r="J15" i="4"/>
  <c r="I15" i="4"/>
  <c r="H15" i="4"/>
  <c r="G15" i="4"/>
  <c r="F15" i="4"/>
  <c r="E15" i="4"/>
  <c r="D15" i="4"/>
  <c r="C15" i="4"/>
  <c r="N14" i="4"/>
  <c r="M14" i="4"/>
  <c r="L14" i="4"/>
  <c r="K14" i="4"/>
  <c r="J14" i="4"/>
  <c r="I14" i="4"/>
  <c r="H14" i="4"/>
  <c r="G14" i="4"/>
  <c r="F14" i="4"/>
  <c r="E14" i="4"/>
  <c r="D14" i="4"/>
  <c r="C14" i="4"/>
  <c r="N13" i="4"/>
  <c r="M13" i="4"/>
  <c r="L13" i="4"/>
  <c r="K13" i="4"/>
  <c r="J13" i="4"/>
  <c r="I13" i="4"/>
  <c r="H13" i="4"/>
  <c r="G13" i="4"/>
  <c r="F13" i="4"/>
  <c r="E13" i="4"/>
  <c r="D13" i="4"/>
  <c r="C13" i="4"/>
  <c r="N12" i="4"/>
  <c r="M12" i="4"/>
  <c r="L12" i="4"/>
  <c r="K12" i="4"/>
  <c r="J12" i="4"/>
  <c r="I12" i="4"/>
  <c r="H12" i="4"/>
  <c r="G12" i="4"/>
  <c r="F12" i="4"/>
  <c r="E12" i="4"/>
  <c r="D12" i="4"/>
  <c r="C12" i="4"/>
  <c r="N11" i="4"/>
  <c r="M11" i="4"/>
  <c r="L11" i="4"/>
  <c r="K11" i="4"/>
  <c r="J11" i="4"/>
  <c r="I11" i="4"/>
  <c r="H11" i="4"/>
  <c r="G11" i="4"/>
  <c r="F11" i="4"/>
  <c r="E11" i="4"/>
  <c r="D11" i="4"/>
  <c r="C11" i="4"/>
  <c r="N10" i="4"/>
  <c r="M10" i="4"/>
  <c r="L10" i="4"/>
  <c r="K10" i="4"/>
  <c r="J10" i="4"/>
  <c r="I10" i="4"/>
  <c r="H10" i="4"/>
  <c r="G10" i="4"/>
  <c r="F10" i="4"/>
  <c r="E10" i="4"/>
  <c r="D10" i="4"/>
  <c r="C10" i="4"/>
  <c r="N9" i="4"/>
  <c r="M9" i="4"/>
  <c r="L9" i="4"/>
  <c r="K9" i="4"/>
  <c r="J9" i="4"/>
  <c r="I9" i="4"/>
  <c r="H9" i="4"/>
  <c r="G9" i="4"/>
  <c r="F9" i="4"/>
  <c r="E9" i="4"/>
  <c r="D9" i="4"/>
  <c r="C9" i="4"/>
  <c r="N8" i="4"/>
  <c r="M8" i="4"/>
  <c r="L8" i="4"/>
  <c r="K8" i="4"/>
  <c r="J8" i="4"/>
  <c r="I8" i="4"/>
  <c r="H8" i="4"/>
  <c r="G8" i="4"/>
  <c r="F8" i="4"/>
  <c r="E8" i="4"/>
  <c r="D8" i="4"/>
  <c r="C8" i="4"/>
  <c r="N7" i="4"/>
  <c r="M7" i="4"/>
  <c r="L7" i="4"/>
  <c r="K7" i="4"/>
  <c r="J7" i="4"/>
  <c r="I7" i="4"/>
  <c r="H7" i="4"/>
  <c r="G7" i="4"/>
  <c r="F7" i="4"/>
  <c r="E7" i="4"/>
  <c r="D7" i="4"/>
  <c r="C7" i="4"/>
  <c r="D6" i="1"/>
  <c r="E6" i="1"/>
  <c r="F6" i="1"/>
  <c r="G6" i="1"/>
  <c r="H6" i="1"/>
  <c r="I6" i="1"/>
  <c r="J6" i="1"/>
  <c r="K6" i="1"/>
  <c r="L6" i="1"/>
  <c r="M6" i="1"/>
  <c r="N6" i="1"/>
  <c r="D7" i="1"/>
  <c r="E7" i="1"/>
  <c r="F7" i="1"/>
  <c r="G7" i="1"/>
  <c r="H7" i="1"/>
  <c r="I7" i="1"/>
  <c r="J7" i="1"/>
  <c r="K7" i="1"/>
  <c r="L7" i="1"/>
  <c r="M7" i="1"/>
  <c r="N7" i="1"/>
  <c r="C7" i="1"/>
  <c r="C6" i="1"/>
  <c r="N127" i="1"/>
  <c r="M127" i="1"/>
  <c r="L127" i="1"/>
  <c r="K127" i="1"/>
  <c r="J127" i="1"/>
  <c r="I127" i="1"/>
  <c r="H127" i="1"/>
  <c r="G127" i="1"/>
  <c r="F127" i="1"/>
  <c r="E127" i="1"/>
  <c r="D127" i="1"/>
  <c r="C127" i="1"/>
  <c r="O126" i="1"/>
  <c r="P126" i="1" s="1"/>
  <c r="O125" i="1"/>
  <c r="P125" i="1" s="1"/>
  <c r="O124" i="1"/>
  <c r="P124" i="1" s="1"/>
  <c r="N120" i="1"/>
  <c r="M120" i="1"/>
  <c r="L120" i="1"/>
  <c r="K120" i="1"/>
  <c r="J120" i="1"/>
  <c r="I120" i="1"/>
  <c r="H120" i="1"/>
  <c r="G120" i="1"/>
  <c r="F120" i="1"/>
  <c r="E120" i="1"/>
  <c r="D120" i="1"/>
  <c r="C120" i="1"/>
  <c r="O119" i="1"/>
  <c r="P119" i="1" s="1"/>
  <c r="O118" i="1"/>
  <c r="P118" i="1" s="1"/>
  <c r="O117" i="1"/>
  <c r="P117" i="1" s="1"/>
  <c r="N113" i="1"/>
  <c r="M113" i="1"/>
  <c r="L113" i="1"/>
  <c r="K113" i="1"/>
  <c r="J113" i="1"/>
  <c r="I113" i="1"/>
  <c r="H113" i="1"/>
  <c r="G113" i="1"/>
  <c r="F113" i="1"/>
  <c r="E113" i="1"/>
  <c r="D113" i="1"/>
  <c r="C113" i="1"/>
  <c r="O112" i="1"/>
  <c r="P112" i="1" s="1"/>
  <c r="O111" i="1"/>
  <c r="O110" i="1"/>
  <c r="P110" i="1" s="1"/>
  <c r="N106" i="1"/>
  <c r="M106" i="1"/>
  <c r="L106" i="1"/>
  <c r="K106" i="1"/>
  <c r="J106" i="1"/>
  <c r="I106" i="1"/>
  <c r="H106" i="1"/>
  <c r="G106" i="1"/>
  <c r="F106" i="1"/>
  <c r="E106" i="1"/>
  <c r="D106" i="1"/>
  <c r="C106" i="1"/>
  <c r="O105" i="1"/>
  <c r="P105" i="1" s="1"/>
  <c r="O104" i="1"/>
  <c r="P104" i="1" s="1"/>
  <c r="O103" i="1"/>
  <c r="P103" i="1" s="1"/>
  <c r="N99" i="1"/>
  <c r="M99" i="1"/>
  <c r="L99" i="1"/>
  <c r="K99" i="1"/>
  <c r="J99" i="1"/>
  <c r="I99" i="1"/>
  <c r="H99" i="1"/>
  <c r="G99" i="1"/>
  <c r="F99" i="1"/>
  <c r="E99" i="1"/>
  <c r="D99" i="1"/>
  <c r="C99" i="1"/>
  <c r="O97" i="1"/>
  <c r="P97" i="1" s="1"/>
  <c r="O96" i="1"/>
  <c r="P96" i="1" s="1"/>
  <c r="N92" i="1"/>
  <c r="M92" i="1"/>
  <c r="L92" i="1"/>
  <c r="K92" i="1"/>
  <c r="J92" i="1"/>
  <c r="I92" i="1"/>
  <c r="H92" i="1"/>
  <c r="G92" i="1"/>
  <c r="F92" i="1"/>
  <c r="E92" i="1"/>
  <c r="D92" i="1"/>
  <c r="C92" i="1"/>
  <c r="O91" i="1"/>
  <c r="O92" i="1" s="1"/>
  <c r="P92" i="1" s="1"/>
  <c r="N87" i="1"/>
  <c r="M87" i="1"/>
  <c r="L87" i="1"/>
  <c r="K87" i="1"/>
  <c r="J87" i="1"/>
  <c r="I87" i="1"/>
  <c r="H87" i="1"/>
  <c r="G87" i="1"/>
  <c r="F87" i="1"/>
  <c r="E87" i="1"/>
  <c r="D87" i="1"/>
  <c r="C87" i="1"/>
  <c r="O86" i="1"/>
  <c r="P86" i="1" s="1"/>
  <c r="O85" i="1"/>
  <c r="P85" i="1" s="1"/>
  <c r="O84" i="1"/>
  <c r="P84" i="1" s="1"/>
  <c r="N80" i="1"/>
  <c r="M80" i="1"/>
  <c r="L80" i="1"/>
  <c r="K80" i="1"/>
  <c r="J80" i="1"/>
  <c r="I80" i="1"/>
  <c r="H80" i="1"/>
  <c r="G80" i="1"/>
  <c r="F80" i="1"/>
  <c r="E80" i="1"/>
  <c r="D80" i="1"/>
  <c r="C80" i="1"/>
  <c r="O79" i="1"/>
  <c r="P79" i="1" s="1"/>
  <c r="O78" i="1"/>
  <c r="N73" i="1"/>
  <c r="M73" i="1"/>
  <c r="L73" i="1"/>
  <c r="K73" i="1"/>
  <c r="J73" i="1"/>
  <c r="I73" i="1"/>
  <c r="H73" i="1"/>
  <c r="G73" i="1"/>
  <c r="F73" i="1"/>
  <c r="E73" i="1"/>
  <c r="D73" i="1"/>
  <c r="C73" i="1"/>
  <c r="O72" i="1"/>
  <c r="P72" i="1" s="1"/>
  <c r="O71" i="1"/>
  <c r="P71" i="1" s="1"/>
  <c r="O70" i="1"/>
  <c r="P70" i="1" s="1"/>
  <c r="N66" i="1"/>
  <c r="M66" i="1"/>
  <c r="L66" i="1"/>
  <c r="K66" i="1"/>
  <c r="J66" i="1"/>
  <c r="I66" i="1"/>
  <c r="H66" i="1"/>
  <c r="G66" i="1"/>
  <c r="F66" i="1"/>
  <c r="E66" i="1"/>
  <c r="D66" i="1"/>
  <c r="C66" i="1"/>
  <c r="O65" i="1"/>
  <c r="P65" i="1" s="1"/>
  <c r="O64" i="1"/>
  <c r="P64" i="1" s="1"/>
  <c r="O63" i="1"/>
  <c r="P63" i="1" s="1"/>
  <c r="N59" i="1"/>
  <c r="M59" i="1"/>
  <c r="L59" i="1"/>
  <c r="K59" i="1"/>
  <c r="J59" i="1"/>
  <c r="I59" i="1"/>
  <c r="H59" i="1"/>
  <c r="G59" i="1"/>
  <c r="F59" i="1"/>
  <c r="E59" i="1"/>
  <c r="D59" i="1"/>
  <c r="C59" i="1"/>
  <c r="O58" i="1"/>
  <c r="P58" i="1" s="1"/>
  <c r="O57" i="1"/>
  <c r="P57" i="1" s="1"/>
  <c r="O56" i="1"/>
  <c r="P56" i="1" s="1"/>
  <c r="O32" i="1"/>
  <c r="P32" i="1" s="1"/>
  <c r="O35" i="1"/>
  <c r="P35" i="1" s="1"/>
  <c r="J45" i="1"/>
  <c r="O41" i="1"/>
  <c r="P41" i="1" s="1"/>
  <c r="N52" i="1"/>
  <c r="M52" i="1"/>
  <c r="L52" i="1"/>
  <c r="K52" i="1"/>
  <c r="J52" i="1"/>
  <c r="I52" i="1"/>
  <c r="H52" i="1"/>
  <c r="G52" i="1"/>
  <c r="F52" i="1"/>
  <c r="E52" i="1"/>
  <c r="D52" i="1"/>
  <c r="C52" i="1"/>
  <c r="O51" i="1"/>
  <c r="P51" i="1" s="1"/>
  <c r="O50" i="1"/>
  <c r="P50" i="1" s="1"/>
  <c r="O49" i="1"/>
  <c r="N45" i="1"/>
  <c r="M45" i="1"/>
  <c r="L45" i="1"/>
  <c r="K45" i="1"/>
  <c r="I45" i="1"/>
  <c r="H45" i="1"/>
  <c r="G45" i="1"/>
  <c r="F45" i="1"/>
  <c r="E45" i="1"/>
  <c r="D45" i="1"/>
  <c r="C45" i="1"/>
  <c r="O44" i="1"/>
  <c r="P44" i="1" s="1"/>
  <c r="O43" i="1"/>
  <c r="P43" i="1" s="1"/>
  <c r="O42" i="1"/>
  <c r="P42" i="1" s="1"/>
  <c r="N36" i="1"/>
  <c r="L36" i="1"/>
  <c r="K36" i="1"/>
  <c r="J36" i="1"/>
  <c r="I36" i="1"/>
  <c r="H36" i="1"/>
  <c r="G36" i="1"/>
  <c r="F36" i="1"/>
  <c r="E36" i="1"/>
  <c r="D36" i="1"/>
  <c r="C36" i="1"/>
  <c r="O34" i="1"/>
  <c r="P34" i="1" s="1"/>
  <c r="O33" i="1"/>
  <c r="P33" i="1" s="1"/>
  <c r="O31" i="1"/>
  <c r="N27" i="1"/>
  <c r="M27" i="1"/>
  <c r="L27" i="1"/>
  <c r="K27" i="1"/>
  <c r="J27" i="1"/>
  <c r="I27" i="1"/>
  <c r="H27" i="1"/>
  <c r="G27" i="1"/>
  <c r="F27" i="1"/>
  <c r="E27" i="1"/>
  <c r="D27" i="1"/>
  <c r="C27" i="1"/>
  <c r="O26" i="1"/>
  <c r="P26" i="1" s="1"/>
  <c r="O25" i="1"/>
  <c r="P25" i="1" s="1"/>
  <c r="O24" i="1"/>
  <c r="O23" i="1"/>
  <c r="P23" i="1" s="1"/>
  <c r="O22" i="1"/>
  <c r="P22" i="1" s="1"/>
  <c r="N18" i="1"/>
  <c r="L18" i="1"/>
  <c r="K18" i="1"/>
  <c r="J18" i="1"/>
  <c r="I18" i="1"/>
  <c r="H18" i="1"/>
  <c r="G18" i="1"/>
  <c r="F18" i="1"/>
  <c r="E18" i="1"/>
  <c r="D18" i="1"/>
  <c r="C18" i="1"/>
  <c r="M18" i="1"/>
  <c r="O13" i="1"/>
  <c r="P13" i="1" s="1"/>
  <c r="O14" i="1"/>
  <c r="P14" i="1" s="1"/>
  <c r="O15" i="1"/>
  <c r="P15" i="1" s="1"/>
  <c r="O16" i="1"/>
  <c r="P16" i="1" s="1"/>
  <c r="O17" i="1"/>
  <c r="P17" i="1" s="1"/>
  <c r="M36" i="1"/>
  <c r="O40" i="1"/>
  <c r="P40" i="1" s="1"/>
  <c r="O99" i="1" l="1"/>
  <c r="P99" i="1" s="1"/>
  <c r="P91" i="1"/>
  <c r="P12" i="4" s="1"/>
  <c r="O113" i="1"/>
  <c r="P113" i="1" s="1"/>
  <c r="O12" i="4"/>
  <c r="O80" i="1"/>
  <c r="P80" i="1" s="1"/>
  <c r="C9" i="1"/>
  <c r="D9" i="1" s="1"/>
  <c r="E9" i="1" s="1"/>
  <c r="F9" i="1" s="1"/>
  <c r="G9" i="1" s="1"/>
  <c r="H9" i="1" s="1"/>
  <c r="I9" i="1" s="1"/>
  <c r="J9" i="1" s="1"/>
  <c r="K9" i="1" s="1"/>
  <c r="L9" i="1" s="1"/>
  <c r="M9" i="1" s="1"/>
  <c r="N9" i="1" s="1"/>
  <c r="N8" i="1"/>
  <c r="N28" i="4" s="1"/>
  <c r="M8" i="1"/>
  <c r="M29" i="4" s="1"/>
  <c r="L8" i="1"/>
  <c r="L28" i="4" s="1"/>
  <c r="J8" i="1"/>
  <c r="J29" i="4" s="1"/>
  <c r="I8" i="1"/>
  <c r="I28" i="4" s="1"/>
  <c r="H8" i="1"/>
  <c r="H28" i="4" s="1"/>
  <c r="G8" i="1"/>
  <c r="G28" i="4" s="1"/>
  <c r="D8" i="1"/>
  <c r="D28" i="4" s="1"/>
  <c r="C8" i="1"/>
  <c r="C26" i="4" s="1"/>
  <c r="K8" i="1"/>
  <c r="K29" i="4" s="1"/>
  <c r="E8" i="1"/>
  <c r="O66" i="1"/>
  <c r="P66" i="1" s="1"/>
  <c r="O106" i="1"/>
  <c r="P106" i="1" s="1"/>
  <c r="P11" i="4"/>
  <c r="O7" i="4"/>
  <c r="O127" i="1"/>
  <c r="P127" i="1" s="1"/>
  <c r="O10" i="4"/>
  <c r="F8" i="1"/>
  <c r="O8" i="4"/>
  <c r="O16" i="4"/>
  <c r="O15" i="4"/>
  <c r="P7" i="4"/>
  <c r="O11" i="4"/>
  <c r="O18" i="4"/>
  <c r="O52" i="1"/>
  <c r="P52" i="1" s="1"/>
  <c r="O7" i="1"/>
  <c r="P7" i="1" s="1"/>
  <c r="P19" i="4"/>
  <c r="O20" i="4"/>
  <c r="P31" i="1"/>
  <c r="P20" i="4" s="1"/>
  <c r="O36" i="1"/>
  <c r="P36" i="1" s="1"/>
  <c r="O21" i="4"/>
  <c r="P13" i="4"/>
  <c r="P16" i="4"/>
  <c r="O6" i="1"/>
  <c r="P6" i="1" s="1"/>
  <c r="O18" i="1"/>
  <c r="P18" i="1" s="1"/>
  <c r="P10" i="4"/>
  <c r="P15" i="4"/>
  <c r="P17" i="4"/>
  <c r="P8" i="4"/>
  <c r="O45" i="1"/>
  <c r="P45" i="1" s="1"/>
  <c r="O19" i="4"/>
  <c r="O27" i="1"/>
  <c r="P27" i="1" s="1"/>
  <c r="O73" i="1"/>
  <c r="P73" i="1" s="1"/>
  <c r="O13" i="4"/>
  <c r="O14" i="4"/>
  <c r="O120" i="1"/>
  <c r="P120" i="1" s="1"/>
  <c r="O59" i="1"/>
  <c r="P59" i="1" s="1"/>
  <c r="O9" i="4"/>
  <c r="P24" i="1"/>
  <c r="P21" i="4" s="1"/>
  <c r="P111" i="1"/>
  <c r="P9" i="4" s="1"/>
  <c r="O87" i="1"/>
  <c r="P87" i="1" s="1"/>
  <c r="O17" i="4"/>
  <c r="P78" i="1"/>
  <c r="P14" i="4" s="1"/>
  <c r="P49" i="1"/>
  <c r="P18" i="4" s="1"/>
  <c r="C38" i="4" l="1"/>
  <c r="A3" i="5" s="1"/>
  <c r="N29" i="4"/>
  <c r="D29" i="4"/>
  <c r="E26" i="4"/>
  <c r="M28" i="4"/>
  <c r="L29" i="4"/>
  <c r="B39" i="4"/>
  <c r="C39" i="4"/>
  <c r="A7" i="5" s="1"/>
  <c r="K28" i="4"/>
  <c r="C29" i="4"/>
  <c r="D26" i="4"/>
  <c r="C28" i="4"/>
  <c r="J28" i="4"/>
  <c r="I29" i="4"/>
  <c r="H29" i="4"/>
  <c r="G29" i="4"/>
  <c r="I26" i="4"/>
  <c r="E29" i="4"/>
  <c r="M26" i="4"/>
  <c r="H26" i="4"/>
  <c r="E28" i="4"/>
  <c r="G26" i="4"/>
  <c r="F28" i="4"/>
  <c r="F29" i="4"/>
  <c r="J26" i="4"/>
  <c r="N26" i="4"/>
  <c r="F26" i="4"/>
  <c r="K26" i="4"/>
  <c r="L26" i="4"/>
  <c r="O8" i="1"/>
  <c r="O26" i="4" s="1"/>
  <c r="D40" i="4" l="1"/>
  <c r="C40" i="4"/>
  <c r="O29" i="4"/>
  <c r="O28" i="4"/>
  <c r="P8" i="1"/>
  <c r="A11" i="5" l="1"/>
</calcChain>
</file>

<file path=xl/sharedStrings.xml><?xml version="1.0" encoding="utf-8"?>
<sst xmlns="http://schemas.openxmlformats.org/spreadsheetml/2006/main" count="214" uniqueCount="114">
  <si>
    <t>Avg</t>
  </si>
  <si>
    <t>Total Income</t>
  </si>
  <si>
    <t xml:space="preserve"> </t>
  </si>
  <si>
    <t>Starting Balance</t>
  </si>
  <si>
    <t>Total Expense</t>
  </si>
  <si>
    <t>Net Income</t>
  </si>
  <si>
    <t>Period</t>
  </si>
  <si>
    <t>Cumulative Cash Flow</t>
  </si>
  <si>
    <t>*** This sheet should remain hidden ***</t>
  </si>
  <si>
    <t>Year Cash Flow Positive</t>
  </si>
  <si>
    <t>Year Cash Flow Negative</t>
  </si>
  <si>
    <t>jan</t>
  </si>
  <si>
    <t>feb</t>
  </si>
  <si>
    <t>mar</t>
  </si>
  <si>
    <t>may</t>
  </si>
  <si>
    <t>jun</t>
  </si>
  <si>
    <t>jul</t>
  </si>
  <si>
    <t>aug</t>
  </si>
  <si>
    <t>sep</t>
  </si>
  <si>
    <t>oct</t>
  </si>
  <si>
    <t>nov</t>
  </si>
  <si>
    <t>dec</t>
  </si>
  <si>
    <t>year</t>
  </si>
  <si>
    <t>avg</t>
  </si>
  <si>
    <t>apr</t>
  </si>
  <si>
    <t>TOTAL INCOME</t>
  </si>
  <si>
    <t>TOTAL CASH FLOW</t>
  </si>
  <si>
    <t>income</t>
  </si>
  <si>
    <t>transportation</t>
  </si>
  <si>
    <t>charity</t>
  </si>
  <si>
    <t>obligations</t>
  </si>
  <si>
    <t>entertainment</t>
  </si>
  <si>
    <t>pets</t>
  </si>
  <si>
    <t>subscriptions</t>
  </si>
  <si>
    <t>vacation</t>
  </si>
  <si>
    <t>miscellaneous</t>
  </si>
  <si>
    <t>dividends</t>
  </si>
  <si>
    <t>gifts received</t>
  </si>
  <si>
    <t>refunds/reimbursements</t>
  </si>
  <si>
    <t>other</t>
  </si>
  <si>
    <t>expenses</t>
  </si>
  <si>
    <t>cable/satellite</t>
  </si>
  <si>
    <t>internet</t>
  </si>
  <si>
    <t>maintenance</t>
  </si>
  <si>
    <t>medical</t>
  </si>
  <si>
    <t>fuel</t>
  </si>
  <si>
    <t>tuition</t>
  </si>
  <si>
    <t>books</t>
  </si>
  <si>
    <t>gifts given</t>
  </si>
  <si>
    <t>charitable donations</t>
  </si>
  <si>
    <t>legal fees</t>
  </si>
  <si>
    <t>videos/dvds</t>
  </si>
  <si>
    <t>music</t>
  </si>
  <si>
    <t>games</t>
  </si>
  <si>
    <t>rentals</t>
  </si>
  <si>
    <t>movies/theater</t>
  </si>
  <si>
    <t>concerts/plays</t>
  </si>
  <si>
    <t>hobbies</t>
  </si>
  <si>
    <t>film/photos</t>
  </si>
  <si>
    <t>sports</t>
  </si>
  <si>
    <t>outdoor recreation</t>
  </si>
  <si>
    <t>toys/gadgets</t>
  </si>
  <si>
    <t>food</t>
  </si>
  <si>
    <t>toys/supplies</t>
  </si>
  <si>
    <t>newspaper</t>
  </si>
  <si>
    <t>magazines</t>
  </si>
  <si>
    <t>dues</t>
  </si>
  <si>
    <t>club memberships</t>
  </si>
  <si>
    <t>travel</t>
  </si>
  <si>
    <t>lodging</t>
  </si>
  <si>
    <t>rental car</t>
  </si>
  <si>
    <t>bank fees</t>
  </si>
  <si>
    <t>postage</t>
  </si>
  <si>
    <t>cash flow</t>
  </si>
  <si>
    <t>budget allocations</t>
  </si>
  <si>
    <t>in-house sales</t>
  </si>
  <si>
    <t>transfers</t>
  </si>
  <si>
    <t>office supplies</t>
  </si>
  <si>
    <t>training</t>
  </si>
  <si>
    <t>morale</t>
  </si>
  <si>
    <t>equipment</t>
  </si>
  <si>
    <t>printer paper</t>
  </si>
  <si>
    <t>writing utensils</t>
  </si>
  <si>
    <t>office periphernalia</t>
  </si>
  <si>
    <t>cables</t>
  </si>
  <si>
    <t>rental cars</t>
  </si>
  <si>
    <t>airfare</t>
  </si>
  <si>
    <t>taxi</t>
  </si>
  <si>
    <t>delivery fees</t>
  </si>
  <si>
    <t>cargo fees</t>
  </si>
  <si>
    <t>locomotive</t>
  </si>
  <si>
    <t>curriculum</t>
  </si>
  <si>
    <t>materials</t>
  </si>
  <si>
    <t>instructor costs</t>
  </si>
  <si>
    <t>logistics</t>
  </si>
  <si>
    <t>venue fees</t>
  </si>
  <si>
    <t>lab fees</t>
  </si>
  <si>
    <t>contractor payments</t>
  </si>
  <si>
    <t>credit cards</t>
  </si>
  <si>
    <t>payment advances</t>
  </si>
  <si>
    <t>venue costs</t>
  </si>
  <si>
    <t>AV equipment</t>
  </si>
  <si>
    <t>rental costs</t>
  </si>
  <si>
    <t>food &amp; beverage</t>
  </si>
  <si>
    <t>gift cards</t>
  </si>
  <si>
    <t>prizes</t>
  </si>
  <si>
    <t>telephone</t>
  </si>
  <si>
    <t>monitors</t>
  </si>
  <si>
    <t>phones</t>
  </si>
  <si>
    <t>cameras</t>
  </si>
  <si>
    <t>laptops</t>
  </si>
  <si>
    <t>desktops</t>
  </si>
  <si>
    <t>misc</t>
  </si>
  <si>
    <t>INITECH QUARTERLY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</si>
</sst>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8">
    <font>
      <sz val="9"/>
      <color theme="1"/>
      <name val="Century Gothic"/>
      <family val="2"/>
      <scheme val="minor"/>
    </font>
    <font>
      <sz val="10"/>
      <color theme="0"/>
      <name val="Euphemia"/>
      <family val="2"/>
      <scheme val="major"/>
    </font>
    <font>
      <b/>
      <sz val="12"/>
      <color theme="5"/>
      <name val="Euphemia"/>
      <family val="2"/>
      <scheme val="major"/>
    </font>
    <font>
      <b/>
      <sz val="11"/>
      <color theme="0"/>
      <name val="Euphemia"/>
      <family val="2"/>
      <scheme val="major"/>
    </font>
    <font>
      <b/>
      <sz val="15"/>
      <color theme="4" tint="-0.249977111117893"/>
      <name val="Euphemia"/>
      <family val="2"/>
      <scheme val="major"/>
    </font>
    <font>
      <b/>
      <sz val="32"/>
      <color theme="4" tint="-0.249977111117893"/>
      <name val="Century Gothic"/>
      <family val="2"/>
      <scheme val="minor"/>
    </font>
    <font>
      <b/>
      <sz val="9"/>
      <color theme="0"/>
      <name val="Euphemia"/>
      <family val="2"/>
      <scheme val="major"/>
    </font>
    <font>
      <b/>
      <sz val="10"/>
      <color theme="0"/>
      <name val="Euphemia"/>
      <family val="2"/>
      <scheme val="major"/>
    </font>
  </fonts>
  <fills count="11">
    <fill>
      <patternFill patternType="none"/>
    </fill>
    <fill>
      <patternFill patternType="gray125"/>
    </fill>
    <fill>
      <patternFill patternType="solid">
        <fgColor theme="0"/>
        <bgColor indexed="64"/>
      </patternFill>
    </fill>
    <fill>
      <patternFill patternType="lightGrid">
        <fgColor theme="4" tint="0.59996337778862885"/>
        <bgColor theme="4" tint="0.79998168889431442"/>
      </patternFill>
    </fill>
    <fill>
      <patternFill patternType="solid">
        <fgColor theme="3"/>
        <bgColor auto="1"/>
      </patternFill>
    </fill>
    <fill>
      <patternFill patternType="solid">
        <fgColor theme="5"/>
        <bgColor indexed="64"/>
      </patternFill>
    </fill>
    <fill>
      <patternFill patternType="solid">
        <fgColor theme="0"/>
        <bgColor auto="1"/>
      </patternFill>
    </fill>
    <fill>
      <patternFill patternType="lightGrid">
        <fgColor theme="0"/>
        <bgColor theme="0"/>
      </patternFill>
    </fill>
    <fill>
      <patternFill patternType="solid">
        <fgColor theme="2" tint="-0.249977111117893"/>
        <bgColor indexed="64"/>
      </patternFill>
    </fill>
    <fill>
      <patternFill patternType="solid">
        <fgColor theme="2" tint="-0.249977111117893"/>
        <bgColor auto="1"/>
      </patternFill>
    </fill>
    <fill>
      <patternFill patternType="solid">
        <fgColor theme="2" tint="-0.249977111117893"/>
        <bgColor theme="2"/>
      </patternFill>
    </fill>
  </fills>
  <borders count="2">
    <border>
      <left/>
      <right/>
      <top/>
      <bottom/>
      <diagonal/>
    </border>
    <border>
      <left/>
      <right/>
      <top style="thick">
        <color theme="0"/>
      </top>
      <bottom/>
      <diagonal/>
    </border>
  </borders>
  <cellStyleXfs count="4">
    <xf numFmtId="0" fontId="0" fillId="0" borderId="0">
      <alignment vertical="center"/>
    </xf>
    <xf numFmtId="0" fontId="2" fillId="7" borderId="1">
      <alignment horizontal="right" vertical="center" indent="1"/>
    </xf>
    <xf numFmtId="0" fontId="4" fillId="0" borderId="0">
      <alignment vertical="center"/>
    </xf>
    <xf numFmtId="0" fontId="5" fillId="0" borderId="0">
      <alignment horizontal="right"/>
    </xf>
  </cellStyleXfs>
  <cellXfs count="40">
    <xf numFmtId="0" fontId="0" fillId="0" borderId="0" xfId="0">
      <alignment vertical="center"/>
    </xf>
    <xf numFmtId="3" fontId="0" fillId="0" borderId="0" xfId="0" applyNumberFormat="1">
      <alignment vertical="center"/>
    </xf>
    <xf numFmtId="164" fontId="0" fillId="0" borderId="0" xfId="0" applyNumberFormat="1">
      <alignment vertical="center"/>
    </xf>
    <xf numFmtId="0" fontId="0" fillId="0" borderId="0" xfId="0">
      <alignment vertical="center"/>
    </xf>
    <xf numFmtId="3" fontId="0" fillId="0" borderId="0" xfId="0" applyNumberFormat="1">
      <alignment vertical="center"/>
    </xf>
    <xf numFmtId="0" fontId="0" fillId="3" borderId="0" xfId="0" applyFill="1">
      <alignment vertical="center"/>
    </xf>
    <xf numFmtId="0" fontId="0" fillId="4" borderId="0" xfId="0" applyFill="1">
      <alignment vertical="center"/>
    </xf>
    <xf numFmtId="0" fontId="0" fillId="2" borderId="0" xfId="0" applyFill="1">
      <alignment vertical="center"/>
    </xf>
    <xf numFmtId="0" fontId="1" fillId="4" borderId="0" xfId="0" applyFont="1" applyFill="1" applyAlignment="1">
      <alignment horizontal="right" vertical="center"/>
    </xf>
    <xf numFmtId="0" fontId="1" fillId="4" borderId="0" xfId="0" applyFont="1" applyFill="1" applyAlignment="1">
      <alignment horizontal="left" vertical="center"/>
    </xf>
    <xf numFmtId="0" fontId="4" fillId="0" borderId="0" xfId="2">
      <alignment vertical="center"/>
    </xf>
    <xf numFmtId="0" fontId="6" fillId="4" borderId="0" xfId="0" applyFont="1" applyFill="1">
      <alignment vertical="center"/>
    </xf>
    <xf numFmtId="0" fontId="6" fillId="5" borderId="0" xfId="0" applyFont="1" applyFill="1" applyAlignment="1">
      <alignment horizontal="right" vertical="center" indent="1"/>
    </xf>
    <xf numFmtId="0" fontId="6" fillId="4" borderId="0" xfId="0" applyFont="1" applyFill="1" applyAlignment="1">
      <alignment horizontal="right" vertical="center" indent="1"/>
    </xf>
    <xf numFmtId="0" fontId="0" fillId="6" borderId="0" xfId="0" applyFill="1" applyAlignment="1">
      <alignment horizontal="right" vertical="center" indent="1"/>
    </xf>
    <xf numFmtId="0" fontId="0" fillId="0" borderId="0" xfId="0" applyAlignment="1">
      <alignment horizontal="right" vertical="center" indent="1"/>
    </xf>
    <xf numFmtId="1" fontId="0" fillId="0" borderId="0" xfId="0" applyNumberFormat="1">
      <alignment vertical="center"/>
    </xf>
    <xf numFmtId="1" fontId="0" fillId="0" borderId="1" xfId="0" applyNumberFormat="1" applyBorder="1">
      <alignment vertical="center"/>
    </xf>
    <xf numFmtId="1" fontId="0" fillId="0" borderId="0" xfId="0" applyNumberFormat="1" applyAlignment="1">
      <alignment horizontal="right" vertical="center" indent="1"/>
    </xf>
    <xf numFmtId="1" fontId="0" fillId="0" borderId="1" xfId="0" applyNumberFormat="1" applyBorder="1" applyAlignment="1">
      <alignment horizontal="right" vertical="center" indent="1"/>
    </xf>
    <xf numFmtId="0" fontId="2" fillId="7" borderId="1" xfId="1" applyAlignment="1">
      <alignment horizontal="right" vertical="center" indent="2"/>
    </xf>
    <xf numFmtId="0" fontId="0" fillId="0" borderId="0" xfId="0" applyAlignment="1">
      <alignment horizontal="left" vertical="center" indent="1"/>
    </xf>
    <xf numFmtId="0" fontId="0" fillId="0" borderId="0" xfId="0" applyAlignment="1">
      <alignment horizontal="left" vertical="center" indent="3"/>
    </xf>
    <xf numFmtId="0" fontId="7" fillId="4" borderId="0" xfId="0" applyFont="1" applyFill="1">
      <alignment vertical="center"/>
    </xf>
    <xf numFmtId="0" fontId="3" fillId="4" borderId="0" xfId="0" applyFont="1" applyFill="1">
      <alignment vertical="center"/>
    </xf>
    <xf numFmtId="0" fontId="3" fillId="4" borderId="0" xfId="0" applyFont="1" applyFill="1" applyAlignment="1">
      <alignment horizontal="right" vertical="center"/>
    </xf>
    <xf numFmtId="0" fontId="0" fillId="0" borderId="0" xfId="0" applyFont="1" applyFill="1" applyBorder="1" applyAlignment="1">
      <alignment horizontal="right" vertical="center" indent="1"/>
    </xf>
    <xf numFmtId="1" fontId="0" fillId="0" borderId="0" xfId="0" applyNumberFormat="1" applyFont="1" applyFill="1" applyBorder="1" applyAlignment="1">
      <alignment horizontal="right" vertical="center" indent="1"/>
    </xf>
    <xf numFmtId="0" fontId="0" fillId="9" borderId="0" xfId="0" applyFill="1">
      <alignment vertical="center"/>
    </xf>
    <xf numFmtId="0" fontId="0" fillId="10" borderId="0" xfId="0" applyFill="1">
      <alignment vertical="center"/>
    </xf>
    <xf numFmtId="1" fontId="0" fillId="8" borderId="0" xfId="0" applyNumberFormat="1" applyFont="1" applyFill="1" applyBorder="1" applyAlignment="1">
      <alignment horizontal="right" vertical="center" indent="1"/>
    </xf>
    <xf numFmtId="1" fontId="0" fillId="10" borderId="0" xfId="0" applyNumberFormat="1" applyFill="1">
      <alignment vertical="center"/>
    </xf>
    <xf numFmtId="1" fontId="0" fillId="10" borderId="1" xfId="0" applyNumberFormat="1" applyFill="1" applyBorder="1">
      <alignment vertical="center"/>
    </xf>
    <xf numFmtId="1" fontId="0" fillId="10" borderId="0" xfId="0" applyNumberFormat="1" applyFill="1" applyAlignment="1">
      <alignment horizontal="right" vertical="center" indent="1"/>
    </xf>
    <xf numFmtId="1" fontId="0" fillId="10" borderId="1" xfId="0" applyNumberFormat="1" applyFill="1" applyBorder="1" applyAlignment="1">
      <alignment horizontal="right" vertical="center" indent="1"/>
    </xf>
    <xf numFmtId="0" fontId="0" fillId="0" borderId="0" xfId="0" applyFont="1" applyAlignment="1">
      <alignment horizontal="right" vertical="center" indent="1"/>
    </xf>
    <xf numFmtId="0" fontId="0" fillId="0" borderId="0" xfId="0" applyFill="1" applyAlignment="1">
      <alignment vertical="center" wrapText="1"/>
    </xf>
    <xf numFmtId="164" fontId="5" fillId="0" borderId="0" xfId="3" applyNumberFormat="1">
      <alignment horizontal="right"/>
    </xf>
    <xf numFmtId="0" fontId="5" fillId="0" borderId="0" xfId="3">
      <alignment horizontal="right"/>
    </xf>
    <xf numFmtId="0" fontId="0" fillId="0" borderId="0" xfId="0" applyAlignment="1">
      <alignment horizontal="center" vertical="center"/>
    </xf>
  </cellXfs>
  <cellStyles count="4">
    <cellStyle name="Dashboard Labels" xfId="2"/>
    <cellStyle name="Dashboard Values" xfId="3"/>
    <cellStyle name="Normal" xfId="0" builtinId="0" customBuiltin="1"/>
    <cellStyle name="Table Title" xfId="1"/>
  </cellStyles>
  <dxfs count="557">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fill>
        <patternFill>
          <bgColor theme="2" tint="-0.249977111117893"/>
        </patternFill>
      </fill>
    </dxf>
    <dxf>
      <numFmt numFmtId="3" formatCode="#,##0"/>
      <alignment horizontal="center" vertical="bottom" textRotation="0" wrapText="0" indent="0" justifyLastLine="0" shrinkToFit="0" readingOrder="0"/>
    </dxf>
    <dxf>
      <fill>
        <patternFill>
          <bgColor theme="2" tint="-0.249977111117893"/>
        </patternFill>
      </fill>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family val="2"/>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border diagonalUp="0" diagonalDown="0" outline="0">
        <left/>
        <right/>
        <top/>
        <bottom/>
      </border>
    </dxf>
    <dxf>
      <font>
        <b/>
        <i val="0"/>
        <color theme="0"/>
      </font>
      <fill>
        <patternFill patternType="solid">
          <bgColor theme="5"/>
        </patternFill>
      </fill>
      <border>
        <bottom/>
      </border>
    </dxf>
    <dxf>
      <fill>
        <patternFill patternType="solid">
          <fgColor auto="1"/>
          <bgColor theme="0"/>
        </patternFill>
      </fill>
      <border>
        <horizontal style="thin">
          <color theme="4" tint="0.59996337778862885"/>
        </horizontal>
      </border>
    </dxf>
    <dxf>
      <font>
        <b/>
        <i val="0"/>
        <color theme="0"/>
      </font>
      <fill>
        <patternFill>
          <bgColor theme="5"/>
        </patternFill>
      </fill>
      <border>
        <bottom/>
      </border>
    </dxf>
    <dxf>
      <fill>
        <patternFill>
          <bgColor theme="4" tint="0.59996337778862885"/>
        </patternFill>
      </fill>
      <border>
        <horizontal style="thin">
          <color theme="4" tint="-0.24994659260841701"/>
        </horizontal>
      </border>
    </dxf>
    <dxf>
      <fill>
        <patternFill patternType="solid">
          <fgColor auto="1"/>
          <bgColor theme="2" tint="-9.9948118533890809E-2"/>
        </patternFill>
      </fill>
    </dxf>
    <dxf>
      <fill>
        <patternFill patternType="none">
          <bgColor auto="1"/>
        </patternFill>
      </fill>
    </dxf>
    <dxf>
      <font>
        <color theme="0"/>
      </font>
      <fill>
        <patternFill patternType="solid">
          <fgColor theme="4"/>
          <bgColor theme="4"/>
        </patternFill>
      </fill>
      <border>
        <left/>
        <right/>
        <top/>
        <bottom style="thin">
          <color theme="4"/>
        </bottom>
        <vertical/>
      </border>
    </dxf>
    <dxf>
      <font>
        <color theme="3"/>
      </font>
      <border diagonalUp="0" diagonalDown="0">
        <left/>
        <right/>
        <top/>
        <bottom/>
        <vertical/>
        <horizontal/>
      </border>
    </dxf>
  </dxfs>
  <tableStyles count="3" defaultTableStyle="Budget Tables" defaultPivotStyle="PivotStyleMedium3">
    <tableStyle name="Budget Tables" pivot="0" count="4">
      <tableStyleElement type="wholeTable" dxfId="556"/>
      <tableStyleElement type="headerRow" dxfId="555"/>
      <tableStyleElement type="firstColumn" dxfId="554"/>
      <tableStyleElement type="firstRowStripe" dxfId="553"/>
    </tableStyle>
    <tableStyle name="Other Custom Table Style" pivot="0" count="2">
      <tableStyleElement type="wholeTable" dxfId="552"/>
      <tableStyleElement type="headerRow" dxfId="551"/>
    </tableStyle>
    <tableStyle name="Setup Tables" pivot="0" count="2">
      <tableStyleElement type="wholeTable" dxfId="550"/>
      <tableStyleElement type="headerRow" dxfId="549"/>
    </tableStyle>
  </tableStyles>
  <colors>
    <mruColors>
      <color rgb="FFD0D9D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852807192204405E-2"/>
          <c:y val="0.13836477987421383"/>
          <c:w val="0.92584758801701517"/>
          <c:h val="0.54652008121626305"/>
        </c:manualLayout>
      </c:layout>
      <c:lineChart>
        <c:grouping val="standard"/>
        <c:varyColors val="0"/>
        <c:ser>
          <c:idx val="0"/>
          <c:order val="0"/>
          <c:tx>
            <c:v>Cash Flow</c:v>
          </c:tx>
          <c:spPr>
            <a:ln w="25400">
              <a:solidFill>
                <a:schemeClr val="accent2"/>
              </a:solidFill>
            </a:ln>
          </c:spPr>
          <c:marker>
            <c:symbol val="none"/>
          </c:marker>
          <c:cat>
            <c:strRef>
              <c:f>'chart data'!$C$6:$O$6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year</c:v>
                </c:pt>
              </c:strCache>
            </c:strRef>
          </c:cat>
          <c:val>
            <c:numRef>
              <c:f>Budget!$C$8:$O$8</c:f>
              <c:numCache>
                <c:formatCode>0</c:formatCode>
                <c:ptCount val="13"/>
                <c:pt idx="0">
                  <c:v>7575</c:v>
                </c:pt>
                <c:pt idx="1">
                  <c:v>-916</c:v>
                </c:pt>
                <c:pt idx="2">
                  <c:v>-2630</c:v>
                </c:pt>
                <c:pt idx="3">
                  <c:v>3762</c:v>
                </c:pt>
                <c:pt idx="4">
                  <c:v>-1347</c:v>
                </c:pt>
                <c:pt idx="5">
                  <c:v>-1965</c:v>
                </c:pt>
                <c:pt idx="6">
                  <c:v>-1291</c:v>
                </c:pt>
                <c:pt idx="7">
                  <c:v>-1071</c:v>
                </c:pt>
                <c:pt idx="8">
                  <c:v>-2568</c:v>
                </c:pt>
                <c:pt idx="9">
                  <c:v>9307</c:v>
                </c:pt>
                <c:pt idx="10">
                  <c:v>-1555</c:v>
                </c:pt>
                <c:pt idx="11">
                  <c:v>-6315</c:v>
                </c:pt>
                <c:pt idx="12">
                  <c:v>986</c:v>
                </c:pt>
              </c:numCache>
            </c:numRef>
          </c:val>
          <c:smooth val="0"/>
          <c:extLst>
            <c:ext xmlns:c16="http://schemas.microsoft.com/office/drawing/2014/chart" uri="{C3380CC4-5D6E-409C-BE32-E72D297353CC}">
              <c16:uniqueId val="{00000000-D294-4EE8-9630-5D759C3E48FD}"/>
            </c:ext>
          </c:extLst>
        </c:ser>
        <c:dLbls>
          <c:showLegendKey val="0"/>
          <c:showVal val="0"/>
          <c:showCatName val="0"/>
          <c:showSerName val="0"/>
          <c:showPercent val="0"/>
          <c:showBubbleSize val="0"/>
        </c:dLbls>
        <c:marker val="1"/>
        <c:smooth val="0"/>
        <c:axId val="242654696"/>
        <c:axId val="242655480"/>
      </c:lineChart>
      <c:scatterChart>
        <c:scatterStyle val="lineMarker"/>
        <c:varyColors val="0"/>
        <c:ser>
          <c:idx val="1"/>
          <c:order val="1"/>
          <c:tx>
            <c:v>Positive Selected Period</c:v>
          </c:tx>
          <c:spPr>
            <a:ln w="28575">
              <a:noFill/>
            </a:ln>
          </c:spPr>
          <c:marker>
            <c:symbol val="circle"/>
            <c:size val="11"/>
            <c:spPr>
              <a:solidFill>
                <a:schemeClr val="accent1"/>
              </a:solidFill>
              <a:ln>
                <a:noFill/>
              </a:ln>
            </c:spPr>
          </c:marker>
          <c:yVal>
            <c:numRef>
              <c:f>'chart data'!$C$28:$O$28</c:f>
              <c:numCache>
                <c:formatCode>#,##0</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986</c:v>
                </c:pt>
              </c:numCache>
            </c:numRef>
          </c:yVal>
          <c:smooth val="0"/>
          <c:extLst>
            <c:ext xmlns:c16="http://schemas.microsoft.com/office/drawing/2014/chart" uri="{C3380CC4-5D6E-409C-BE32-E72D297353CC}">
              <c16:uniqueId val="{00000001-D294-4EE8-9630-5D759C3E48FD}"/>
            </c:ext>
          </c:extLst>
        </c:ser>
        <c:ser>
          <c:idx val="2"/>
          <c:order val="2"/>
          <c:tx>
            <c:v>Negative Selected Period</c:v>
          </c:tx>
          <c:spPr>
            <a:ln w="28575">
              <a:noFill/>
            </a:ln>
          </c:spPr>
          <c:marker>
            <c:symbol val="circle"/>
            <c:size val="11"/>
            <c:spPr>
              <a:solidFill>
                <a:schemeClr val="accent2">
                  <a:lumMod val="60000"/>
                  <a:lumOff val="40000"/>
                </a:schemeClr>
              </a:solidFill>
              <a:ln>
                <a:noFill/>
              </a:ln>
            </c:spPr>
          </c:marker>
          <c:yVal>
            <c:numRef>
              <c:f>'chart data'!$C$29:$O$29</c:f>
              <c:numCache>
                <c:formatCode>#,##0</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yVal>
          <c:smooth val="0"/>
          <c:extLst>
            <c:ext xmlns:c16="http://schemas.microsoft.com/office/drawing/2014/chart" uri="{C3380CC4-5D6E-409C-BE32-E72D297353CC}">
              <c16:uniqueId val="{00000002-D294-4EE8-9630-5D759C3E48FD}"/>
            </c:ext>
          </c:extLst>
        </c:ser>
        <c:dLbls>
          <c:showLegendKey val="0"/>
          <c:showVal val="0"/>
          <c:showCatName val="0"/>
          <c:showSerName val="0"/>
          <c:showPercent val="0"/>
          <c:showBubbleSize val="0"/>
        </c:dLbls>
        <c:axId val="242654696"/>
        <c:axId val="242655480"/>
      </c:scatterChart>
      <c:catAx>
        <c:axId val="242654696"/>
        <c:scaling>
          <c:orientation val="minMax"/>
        </c:scaling>
        <c:delete val="0"/>
        <c:axPos val="b"/>
        <c:numFmt formatCode="General" sourceLinked="1"/>
        <c:majorTickMark val="none"/>
        <c:minorTickMark val="none"/>
        <c:tickLblPos val="low"/>
        <c:spPr>
          <a:ln w="31750">
            <a:solidFill>
              <a:schemeClr val="bg1"/>
            </a:solidFill>
          </a:ln>
        </c:spPr>
        <c:txPr>
          <a:bodyPr/>
          <a:lstStyle/>
          <a:p>
            <a:pPr>
              <a:defRPr sz="900" b="1" kern="0" spc="50" baseline="0">
                <a:solidFill>
                  <a:schemeClr val="bg1"/>
                </a:solidFill>
                <a:latin typeface="+mj-lt"/>
              </a:defRPr>
            </a:pPr>
            <a:endParaRPr lang="en-US"/>
          </a:p>
        </c:txPr>
        <c:crossAx val="242655480"/>
        <c:crosses val="autoZero"/>
        <c:auto val="1"/>
        <c:lblAlgn val="ctr"/>
        <c:lblOffset val="100"/>
        <c:noMultiLvlLbl val="0"/>
      </c:catAx>
      <c:valAx>
        <c:axId val="242655480"/>
        <c:scaling>
          <c:orientation val="minMax"/>
        </c:scaling>
        <c:delete val="1"/>
        <c:axPos val="l"/>
        <c:numFmt formatCode="&quot;$&quot;#,##0" sourceLinked="0"/>
        <c:majorTickMark val="out"/>
        <c:minorTickMark val="none"/>
        <c:tickLblPos val="nextTo"/>
        <c:crossAx val="24265469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15979002624671"/>
          <c:y val="4.3889317756849025E-2"/>
          <c:w val="0.64796955380577426"/>
          <c:h val="0.83170775221724735"/>
        </c:manualLayout>
      </c:layout>
      <c:barChart>
        <c:barDir val="bar"/>
        <c:grouping val="clustered"/>
        <c:varyColors val="0"/>
        <c:ser>
          <c:idx val="0"/>
          <c:order val="0"/>
          <c:tx>
            <c:v>Expenses</c:v>
          </c:tx>
          <c:spPr>
            <a:solidFill>
              <a:schemeClr val="accent1">
                <a:lumMod val="75000"/>
              </a:schemeClr>
            </a:solidFill>
          </c:spPr>
          <c:invertIfNegative val="0"/>
          <c:cat>
            <c:strRef>
              <c:f>[0]!displayed_expense_categories</c:f>
              <c:strCache>
                <c:ptCount val="10"/>
                <c:pt idx="0">
                  <c:v>miscellaneous</c:v>
                </c:pt>
                <c:pt idx="1">
                  <c:v>equipment</c:v>
                </c:pt>
                <c:pt idx="2">
                  <c:v>subscriptions</c:v>
                </c:pt>
                <c:pt idx="3">
                  <c:v>morale</c:v>
                </c:pt>
                <c:pt idx="4">
                  <c:v>entertainment</c:v>
                </c:pt>
                <c:pt idx="5">
                  <c:v>obligations</c:v>
                </c:pt>
                <c:pt idx="6">
                  <c:v>charity</c:v>
                </c:pt>
                <c:pt idx="7">
                  <c:v>training</c:v>
                </c:pt>
                <c:pt idx="8">
                  <c:v>transportation</c:v>
                </c:pt>
                <c:pt idx="9">
                  <c:v>office supplies</c:v>
                </c:pt>
              </c:strCache>
            </c:strRef>
          </c:cat>
          <c:val>
            <c:numRef>
              <c:f>[0]!displayed_expense_categories_period_values</c:f>
              <c:numCache>
                <c:formatCode>#,##0</c:formatCode>
                <c:ptCount val="10"/>
                <c:pt idx="0">
                  <c:v>0</c:v>
                </c:pt>
                <c:pt idx="1">
                  <c:v>12498</c:v>
                </c:pt>
                <c:pt idx="2">
                  <c:v>11232</c:v>
                </c:pt>
                <c:pt idx="3">
                  <c:v>1700</c:v>
                </c:pt>
                <c:pt idx="4">
                  <c:v>2515</c:v>
                </c:pt>
                <c:pt idx="5">
                  <c:v>0</c:v>
                </c:pt>
                <c:pt idx="6">
                  <c:v>1200</c:v>
                </c:pt>
                <c:pt idx="7">
                  <c:v>5008</c:v>
                </c:pt>
                <c:pt idx="8">
                  <c:v>7201</c:v>
                </c:pt>
                <c:pt idx="9">
                  <c:v>1073</c:v>
                </c:pt>
              </c:numCache>
            </c:numRef>
          </c:val>
          <c:extLst>
            <c:ext xmlns:c16="http://schemas.microsoft.com/office/drawing/2014/chart" uri="{C3380CC4-5D6E-409C-BE32-E72D297353CC}">
              <c16:uniqueId val="{00000000-0F5C-47E2-A316-BD711058A29E}"/>
            </c:ext>
          </c:extLst>
        </c:ser>
        <c:dLbls>
          <c:showLegendKey val="0"/>
          <c:showVal val="0"/>
          <c:showCatName val="0"/>
          <c:showSerName val="0"/>
          <c:showPercent val="0"/>
          <c:showBubbleSize val="0"/>
        </c:dLbls>
        <c:gapWidth val="101"/>
        <c:axId val="242655872"/>
        <c:axId val="506359608"/>
      </c:barChart>
      <c:catAx>
        <c:axId val="242655872"/>
        <c:scaling>
          <c:orientation val="minMax"/>
        </c:scaling>
        <c:delete val="0"/>
        <c:axPos val="l"/>
        <c:numFmt formatCode="General" sourceLinked="0"/>
        <c:majorTickMark val="none"/>
        <c:minorTickMark val="none"/>
        <c:tickLblPos val="nextTo"/>
        <c:spPr>
          <a:ln>
            <a:solidFill>
              <a:schemeClr val="tx1">
                <a:lumMod val="50000"/>
                <a:lumOff val="50000"/>
              </a:schemeClr>
            </a:solidFill>
          </a:ln>
        </c:spPr>
        <c:txPr>
          <a:bodyPr/>
          <a:lstStyle/>
          <a:p>
            <a:pPr>
              <a:defRPr sz="950" b="1" kern="0" spc="100" baseline="0">
                <a:solidFill>
                  <a:schemeClr val="tx2"/>
                </a:solidFill>
                <a:latin typeface="+mj-lt"/>
              </a:defRPr>
            </a:pPr>
            <a:endParaRPr lang="en-US"/>
          </a:p>
        </c:txPr>
        <c:crossAx val="506359608"/>
        <c:crosses val="autoZero"/>
        <c:auto val="1"/>
        <c:lblAlgn val="ctr"/>
        <c:lblOffset val="100"/>
        <c:noMultiLvlLbl val="0"/>
      </c:catAx>
      <c:valAx>
        <c:axId val="506359608"/>
        <c:scaling>
          <c:orientation val="minMax"/>
        </c:scaling>
        <c:delete val="0"/>
        <c:axPos val="b"/>
        <c:majorGridlines>
          <c:spPr>
            <a:ln>
              <a:solidFill>
                <a:schemeClr val="tx1">
                  <a:lumMod val="50000"/>
                  <a:lumOff val="50000"/>
                </a:schemeClr>
              </a:solidFill>
            </a:ln>
          </c:spPr>
        </c:majorGridlines>
        <c:numFmt formatCode="0" sourceLinked="0"/>
        <c:majorTickMark val="none"/>
        <c:minorTickMark val="none"/>
        <c:tickLblPos val="nextTo"/>
        <c:spPr>
          <a:ln>
            <a:solidFill>
              <a:schemeClr val="tx1">
                <a:lumMod val="50000"/>
                <a:lumOff val="50000"/>
              </a:schemeClr>
            </a:solidFill>
          </a:ln>
        </c:spPr>
        <c:txPr>
          <a:bodyPr/>
          <a:lstStyle/>
          <a:p>
            <a:pPr>
              <a:defRPr sz="900" b="1" kern="0" spc="100" baseline="0">
                <a:solidFill>
                  <a:schemeClr val="tx2"/>
                </a:solidFill>
                <a:latin typeface="+mj-lt"/>
              </a:defRPr>
            </a:pPr>
            <a:endParaRPr lang="en-US"/>
          </a:p>
        </c:txPr>
        <c:crossAx val="242655872"/>
        <c:crosses val="autoZero"/>
        <c:crossBetween val="between"/>
      </c:valAx>
      <c:spPr>
        <a:gradFill>
          <a:gsLst>
            <a:gs pos="3000">
              <a:schemeClr val="bg1">
                <a:lumMod val="95000"/>
                <a:alpha val="40000"/>
              </a:schemeClr>
            </a:gs>
            <a:gs pos="100000">
              <a:schemeClr val="accent1">
                <a:lumMod val="100000"/>
                <a:alpha val="40000"/>
              </a:schemeClr>
            </a:gs>
          </a:gsLst>
          <a:lin ang="5400000" scaled="0"/>
        </a:gradFill>
      </c:spPr>
    </c:plotArea>
    <c:plotVisOnly val="1"/>
    <c:dispBlanksAs val="gap"/>
    <c:showDLblsOverMax val="0"/>
  </c:chart>
  <c:spPr>
    <a:noFill/>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Scroll" dx="16" fmlaLink="period" horiz="1" max="13" min="1" page="0" val="13"/>
</file>

<file path=xl/drawings/_rels/drawing1.xml.rels><?xml version="1.0" encoding="UTF-8" standalone="yes"?>
<Relationships xmlns="http://schemas.openxmlformats.org/package/2006/relationships"><Relationship Id="rId3" Type="http://schemas.openxmlformats.org/officeDocument/2006/relationships/hyperlink" Target="#Budget!A1"/><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104775</xdr:rowOff>
    </xdr:from>
    <xdr:to>
      <xdr:col>13</xdr:col>
      <xdr:colOff>609599</xdr:colOff>
      <xdr:row>23</xdr:row>
      <xdr:rowOff>57150</xdr:rowOff>
    </xdr:to>
    <xdr:graphicFrame macro="">
      <xdr:nvGraphicFramePr>
        <xdr:cNvPr id="13" name="Yearly Cash Flow Details" descr="Line chart comparing income to expenses for 12 months." title="Cash flow detail">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0</xdr:colOff>
          <xdr:row>24</xdr:row>
          <xdr:rowOff>0</xdr:rowOff>
        </xdr:from>
        <xdr:to>
          <xdr:col>16383</xdr:col>
          <xdr:colOff>0</xdr:colOff>
          <xdr:row>1048575</xdr:row>
          <xdr:rowOff>0</xdr:rowOff>
        </xdr:to>
        <xdr:sp macro="" textlink="">
          <xdr:nvSpPr>
            <xdr:cNvPr id="4098" name="Month Scroll" descr="Click to cycle the Expense Details by month"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5</xdr:col>
      <xdr:colOff>333375</xdr:colOff>
      <xdr:row>2</xdr:row>
      <xdr:rowOff>47626</xdr:rowOff>
    </xdr:from>
    <xdr:to>
      <xdr:col>14</xdr:col>
      <xdr:colOff>238125</xdr:colOff>
      <xdr:row>16</xdr:row>
      <xdr:rowOff>57150</xdr:rowOff>
    </xdr:to>
    <xdr:graphicFrame macro="">
      <xdr:nvGraphicFramePr>
        <xdr:cNvPr id="6" name="Expense Details" descr="Bar chart showing a breakdown of expenses by category." title="Expense Details">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461012</xdr:colOff>
      <xdr:row>0</xdr:row>
      <xdr:rowOff>4762</xdr:rowOff>
    </xdr:from>
    <xdr:to>
      <xdr:col>2</xdr:col>
      <xdr:colOff>581027</xdr:colOff>
      <xdr:row>2</xdr:row>
      <xdr:rowOff>114299</xdr:rowOff>
    </xdr:to>
    <xdr:grpSp>
      <xdr:nvGrpSpPr>
        <xdr:cNvPr id="40" name="Month Overview Artwork" descr="&quot;&quot;" title="Monthly Overview artwork">
          <a:extLst>
            <a:ext uri="{FF2B5EF4-FFF2-40B4-BE49-F238E27FC236}">
              <a16:creationId xmlns:a16="http://schemas.microsoft.com/office/drawing/2014/main" id="{00000000-0008-0000-0000-000028000000}"/>
            </a:ext>
          </a:extLst>
        </xdr:cNvPr>
        <xdr:cNvGrpSpPr/>
      </xdr:nvGrpSpPr>
      <xdr:grpSpPr>
        <a:xfrm>
          <a:off x="461012" y="4762"/>
          <a:ext cx="1234440" cy="728662"/>
          <a:chOff x="522042" y="4762"/>
          <a:chExt cx="1354386" cy="757237"/>
        </a:xfrm>
      </xdr:grpSpPr>
      <xdr:sp macro="" textlink="">
        <xdr:nvSpPr>
          <xdr:cNvPr id="23" name="Pentagon 22">
            <a:extLst>
              <a:ext uri="{FF2B5EF4-FFF2-40B4-BE49-F238E27FC236}">
                <a16:creationId xmlns:a16="http://schemas.microsoft.com/office/drawing/2014/main" id="{00000000-0008-0000-0000-000017000000}"/>
              </a:ext>
            </a:extLst>
          </xdr:cNvPr>
          <xdr:cNvSpPr/>
        </xdr:nvSpPr>
        <xdr:spPr>
          <a:xfrm rot="5400000">
            <a:off x="820616" y="-293812"/>
            <a:ext cx="757237" cy="1354386"/>
          </a:xfrm>
          <a:prstGeom prst="homePlate">
            <a:avLst>
              <a:gd name="adj" fmla="val 2158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l"/>
            <a:endParaRPr lang="en-US" sz="1100"/>
          </a:p>
        </xdr:txBody>
      </xdr:sp>
      <xdr:grpSp>
        <xdr:nvGrpSpPr>
          <xdr:cNvPr id="25" name="Group 24">
            <a:extLst>
              <a:ext uri="{FF2B5EF4-FFF2-40B4-BE49-F238E27FC236}">
                <a16:creationId xmlns:a16="http://schemas.microsoft.com/office/drawing/2014/main" id="{00000000-0008-0000-0000-000019000000}"/>
              </a:ext>
            </a:extLst>
          </xdr:cNvPr>
          <xdr:cNvGrpSpPr/>
        </xdr:nvGrpSpPr>
        <xdr:grpSpPr>
          <a:xfrm>
            <a:off x="528309" y="123825"/>
            <a:ext cx="1337664" cy="466725"/>
            <a:chOff x="680709" y="104775"/>
            <a:chExt cx="1337664" cy="466725"/>
          </a:xfrm>
        </xdr:grpSpPr>
        <xdr:sp macro="" textlink="'chart data'!B37">
          <xdr:nvSpPr>
            <xdr:cNvPr id="24" name="TextBox 23">
              <a:extLst>
                <a:ext uri="{FF2B5EF4-FFF2-40B4-BE49-F238E27FC236}">
                  <a16:creationId xmlns:a16="http://schemas.microsoft.com/office/drawing/2014/main" id="{00000000-0008-0000-0000-000018000000}"/>
                </a:ext>
              </a:extLst>
            </xdr:cNvPr>
            <xdr:cNvSpPr txBox="1"/>
          </xdr:nvSpPr>
          <xdr:spPr>
            <a:xfrm>
              <a:off x="680709" y="104775"/>
              <a:ext cx="133766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BBAD2830-67D4-49A6-892D-796766AF9AC7}" type="TxLink">
                <a:rPr lang="en-US" sz="1500" b="1" i="0" u="none" strike="noStrike" spc="50" baseline="0">
                  <a:solidFill>
                    <a:schemeClr val="bg1"/>
                  </a:solidFill>
                  <a:latin typeface="+mj-lt"/>
                </a:rPr>
                <a:pPr algn="ctr"/>
                <a:t>year</a:t>
              </a:fld>
              <a:endParaRPr lang="en-US" sz="1500" b="1" spc="50" baseline="0">
                <a:solidFill>
                  <a:schemeClr val="bg1"/>
                </a:solidFill>
                <a:latin typeface="+mj-lt"/>
              </a:endParaRPr>
            </a:p>
          </xdr:txBody>
        </xdr:sp>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680709" y="333375"/>
              <a:ext cx="133766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US" sz="1500" b="1" spc="50" baseline="0">
                  <a:solidFill>
                    <a:schemeClr val="bg1"/>
                  </a:solidFill>
                  <a:latin typeface="+mj-lt"/>
                </a:rPr>
                <a:t>overview</a:t>
              </a:r>
            </a:p>
          </xdr:txBody>
        </xdr:sp>
      </xdr:grpSp>
    </xdr:grpSp>
    <xdr:clientData/>
  </xdr:twoCellAnchor>
  <xdr:twoCellAnchor>
    <xdr:from>
      <xdr:col>4</xdr:col>
      <xdr:colOff>486820</xdr:colOff>
      <xdr:row>2</xdr:row>
      <xdr:rowOff>85725</xdr:rowOff>
    </xdr:from>
    <xdr:to>
      <xdr:col>6</xdr:col>
      <xdr:colOff>114300</xdr:colOff>
      <xdr:row>14</xdr:row>
      <xdr:rowOff>161925</xdr:rowOff>
    </xdr:to>
    <xdr:grpSp>
      <xdr:nvGrpSpPr>
        <xdr:cNvPr id="39" name="Expenses Bracket" descr="&quot;&quot;" title="Expenses bracket">
          <a:extLst>
            <a:ext uri="{FF2B5EF4-FFF2-40B4-BE49-F238E27FC236}">
              <a16:creationId xmlns:a16="http://schemas.microsoft.com/office/drawing/2014/main" id="{00000000-0008-0000-0000-000027000000}"/>
            </a:ext>
          </a:extLst>
        </xdr:cNvPr>
        <xdr:cNvGrpSpPr/>
      </xdr:nvGrpSpPr>
      <xdr:grpSpPr>
        <a:xfrm>
          <a:off x="2820445" y="704850"/>
          <a:ext cx="846680" cy="2447925"/>
          <a:chOff x="3257550" y="752475"/>
          <a:chExt cx="962025" cy="2600325"/>
        </a:xfrm>
      </xdr:grpSpPr>
      <xdr:cxnSp macro="">
        <xdr:nvCxnSpPr>
          <xdr:cNvPr id="33" name="Straight Connector 32">
            <a:extLst>
              <a:ext uri="{FF2B5EF4-FFF2-40B4-BE49-F238E27FC236}">
                <a16:creationId xmlns:a16="http://schemas.microsoft.com/office/drawing/2014/main" id="{00000000-0008-0000-0000-000021000000}"/>
              </a:ext>
            </a:extLst>
          </xdr:cNvPr>
          <xdr:cNvCxnSpPr/>
        </xdr:nvCxnSpPr>
        <xdr:spPr>
          <a:xfrm>
            <a:off x="3810000" y="752475"/>
            <a:ext cx="0" cy="2600325"/>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800475" y="771525"/>
            <a:ext cx="419100"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19" name="Straight Connector 118">
            <a:extLst>
              <a:ext uri="{FF2B5EF4-FFF2-40B4-BE49-F238E27FC236}">
                <a16:creationId xmlns:a16="http://schemas.microsoft.com/office/drawing/2014/main" id="{00000000-0008-0000-0000-000077000000}"/>
              </a:ext>
            </a:extLst>
          </xdr:cNvPr>
          <xdr:cNvCxnSpPr/>
        </xdr:nvCxnSpPr>
        <xdr:spPr>
          <a:xfrm>
            <a:off x="3790950" y="3343275"/>
            <a:ext cx="419100"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00000000-0008-0000-0000-000078000000}"/>
              </a:ext>
            </a:extLst>
          </xdr:cNvPr>
          <xdr:cNvCxnSpPr/>
        </xdr:nvCxnSpPr>
        <xdr:spPr>
          <a:xfrm>
            <a:off x="3257550" y="2019300"/>
            <a:ext cx="548640"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xdr:col>
      <xdr:colOff>278896</xdr:colOff>
      <xdr:row>17</xdr:row>
      <xdr:rowOff>2647</xdr:rowOff>
    </xdr:from>
    <xdr:ext cx="1626104" cy="267637"/>
    <xdr:sp macro="" textlink="">
      <xdr:nvSpPr>
        <xdr:cNvPr id="125" name="Cash Flow Detail">
          <a:hlinkClick xmlns:r="http://schemas.openxmlformats.org/officeDocument/2006/relationships" r:id="rId3" tooltip="Click to view Budget details"/>
          <a:extLst>
            <a:ext uri="{FF2B5EF4-FFF2-40B4-BE49-F238E27FC236}">
              <a16:creationId xmlns:a16="http://schemas.microsoft.com/office/drawing/2014/main" id="{00000000-0008-0000-0000-00007D000000}"/>
            </a:ext>
          </a:extLst>
        </xdr:cNvPr>
        <xdr:cNvSpPr txBox="1"/>
      </xdr:nvSpPr>
      <xdr:spPr>
        <a:xfrm>
          <a:off x="780659" y="3685080"/>
          <a:ext cx="1626104" cy="267637"/>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91440" tIns="0" rIns="91440" bIns="45720" rtlCol="0" anchor="ctr" anchorCtr="1">
          <a:noAutofit/>
        </a:bodyPr>
        <a:lstStyle/>
        <a:p>
          <a:pPr algn="ctr"/>
          <a:r>
            <a:rPr lang="en-US" sz="1275" b="1" spc="40" baseline="0">
              <a:solidFill>
                <a:schemeClr val="bg1"/>
              </a:solidFill>
              <a:latin typeface="+mj-lt"/>
            </a:rPr>
            <a:t>budget details</a:t>
          </a:r>
        </a:p>
      </xdr:txBody>
    </xdr:sp>
    <xdr:clientData/>
  </xdr:oneCellAnchor>
  <xdr:twoCellAnchor>
    <xdr:from>
      <xdr:col>0</xdr:col>
      <xdr:colOff>466727</xdr:colOff>
      <xdr:row>16</xdr:row>
      <xdr:rowOff>104784</xdr:rowOff>
    </xdr:from>
    <xdr:to>
      <xdr:col>1</xdr:col>
      <xdr:colOff>373382</xdr:colOff>
      <xdr:row>18</xdr:row>
      <xdr:rowOff>154314</xdr:rowOff>
    </xdr:to>
    <xdr:grpSp>
      <xdr:nvGrpSpPr>
        <xdr:cNvPr id="126" name="shpDollar" descr="&quot;&quot;" title="Cash Flow icon">
          <a:extLst>
            <a:ext uri="{FF2B5EF4-FFF2-40B4-BE49-F238E27FC236}">
              <a16:creationId xmlns:a16="http://schemas.microsoft.com/office/drawing/2014/main" id="{00000000-0008-0000-0000-00007E000000}"/>
            </a:ext>
          </a:extLst>
        </xdr:cNvPr>
        <xdr:cNvGrpSpPr>
          <a:grpSpLocks noChangeAspect="1"/>
        </xdr:cNvGrpSpPr>
      </xdr:nvGrpSpPr>
      <xdr:grpSpPr bwMode="auto">
        <a:xfrm>
          <a:off x="466727" y="3457584"/>
          <a:ext cx="411480" cy="411480"/>
          <a:chOff x="430" y="820"/>
          <a:chExt cx="56" cy="56"/>
        </a:xfrm>
      </xdr:grpSpPr>
      <xdr:sp macro="" textlink="">
        <xdr:nvSpPr>
          <xdr:cNvPr id="127" name="Rectangle 54">
            <a:extLst>
              <a:ext uri="{FF2B5EF4-FFF2-40B4-BE49-F238E27FC236}">
                <a16:creationId xmlns:a16="http://schemas.microsoft.com/office/drawing/2014/main" id="{00000000-0008-0000-0000-00007F000000}"/>
              </a:ext>
            </a:extLst>
          </xdr:cNvPr>
          <xdr:cNvSpPr>
            <a:spLocks noChangeArrowheads="1"/>
          </xdr:cNvSpPr>
        </xdr:nvSpPr>
        <xdr:spPr bwMode="auto">
          <a:xfrm>
            <a:off x="430" y="820"/>
            <a:ext cx="56" cy="56"/>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8" name="Freeform 55">
            <a:extLst>
              <a:ext uri="{FF2B5EF4-FFF2-40B4-BE49-F238E27FC236}">
                <a16:creationId xmlns:a16="http://schemas.microsoft.com/office/drawing/2014/main" id="{00000000-0008-0000-0000-000080000000}"/>
              </a:ext>
            </a:extLst>
          </xdr:cNvPr>
          <xdr:cNvSpPr>
            <a:spLocks/>
          </xdr:cNvSpPr>
        </xdr:nvSpPr>
        <xdr:spPr bwMode="auto">
          <a:xfrm>
            <a:off x="430" y="821"/>
            <a:ext cx="55" cy="55"/>
          </a:xfrm>
          <a:custGeom>
            <a:avLst/>
            <a:gdLst>
              <a:gd name="T0" fmla="*/ 1676 w 3245"/>
              <a:gd name="T1" fmla="*/ 19 h 3231"/>
              <a:gd name="T2" fmla="*/ 2102 w 3245"/>
              <a:gd name="T3" fmla="*/ 90 h 3231"/>
              <a:gd name="T4" fmla="*/ 2170 w 3245"/>
              <a:gd name="T5" fmla="*/ 96 h 3231"/>
              <a:gd name="T6" fmla="*/ 2278 w 3245"/>
              <a:gd name="T7" fmla="*/ 421 h 3231"/>
              <a:gd name="T8" fmla="*/ 2608 w 3245"/>
              <a:gd name="T9" fmla="*/ 337 h 3231"/>
              <a:gd name="T10" fmla="*/ 2651 w 3245"/>
              <a:gd name="T11" fmla="*/ 391 h 3231"/>
              <a:gd name="T12" fmla="*/ 2941 w 3245"/>
              <a:gd name="T13" fmla="*/ 711 h 3231"/>
              <a:gd name="T14" fmla="*/ 2993 w 3245"/>
              <a:gd name="T15" fmla="*/ 758 h 3231"/>
              <a:gd name="T16" fmla="*/ 2879 w 3245"/>
              <a:gd name="T17" fmla="*/ 1074 h 3231"/>
              <a:gd name="T18" fmla="*/ 3192 w 3245"/>
              <a:gd name="T19" fmla="*/ 1212 h 3231"/>
              <a:gd name="T20" fmla="*/ 3192 w 3245"/>
              <a:gd name="T21" fmla="*/ 1280 h 3231"/>
              <a:gd name="T22" fmla="*/ 3232 w 3245"/>
              <a:gd name="T23" fmla="*/ 1712 h 3231"/>
              <a:gd name="T24" fmla="*/ 3241 w 3245"/>
              <a:gd name="T25" fmla="*/ 1780 h 3231"/>
              <a:gd name="T26" fmla="*/ 2950 w 3245"/>
              <a:gd name="T27" fmla="*/ 1957 h 3231"/>
              <a:gd name="T28" fmla="*/ 3120 w 3245"/>
              <a:gd name="T29" fmla="*/ 2261 h 3231"/>
              <a:gd name="T30" fmla="*/ 3079 w 3245"/>
              <a:gd name="T31" fmla="*/ 2316 h 3231"/>
              <a:gd name="T32" fmla="*/ 2841 w 3245"/>
              <a:gd name="T33" fmla="*/ 2684 h 3231"/>
              <a:gd name="T34" fmla="*/ 2808 w 3245"/>
              <a:gd name="T35" fmla="*/ 2744 h 3231"/>
              <a:gd name="T36" fmla="*/ 2472 w 3245"/>
              <a:gd name="T37" fmla="*/ 2714 h 3231"/>
              <a:gd name="T38" fmla="*/ 2414 w 3245"/>
              <a:gd name="T39" fmla="*/ 3047 h 3231"/>
              <a:gd name="T40" fmla="*/ 2348 w 3245"/>
              <a:gd name="T41" fmla="*/ 3064 h 3231"/>
              <a:gd name="T42" fmla="*/ 1938 w 3245"/>
              <a:gd name="T43" fmla="*/ 3203 h 3231"/>
              <a:gd name="T44" fmla="*/ 1886 w 3245"/>
              <a:gd name="T45" fmla="*/ 3230 h 3231"/>
              <a:gd name="T46" fmla="*/ 1838 w 3245"/>
              <a:gd name="T47" fmla="*/ 3217 h 3231"/>
              <a:gd name="T48" fmla="*/ 1405 w 3245"/>
              <a:gd name="T49" fmla="*/ 3220 h 3231"/>
              <a:gd name="T50" fmla="*/ 1336 w 3245"/>
              <a:gd name="T51" fmla="*/ 3224 h 3231"/>
              <a:gd name="T52" fmla="*/ 1176 w 3245"/>
              <a:gd name="T53" fmla="*/ 2926 h 3231"/>
              <a:gd name="T54" fmla="*/ 864 w 3245"/>
              <a:gd name="T55" fmla="*/ 3064 h 3231"/>
              <a:gd name="T56" fmla="*/ 813 w 3245"/>
              <a:gd name="T57" fmla="*/ 3018 h 3231"/>
              <a:gd name="T58" fmla="*/ 476 w 3245"/>
              <a:gd name="T59" fmla="*/ 2756 h 3231"/>
              <a:gd name="T60" fmla="*/ 419 w 3245"/>
              <a:gd name="T61" fmla="*/ 2718 h 3231"/>
              <a:gd name="T62" fmla="*/ 479 w 3245"/>
              <a:gd name="T63" fmla="*/ 2379 h 3231"/>
              <a:gd name="T64" fmla="*/ 140 w 3245"/>
              <a:gd name="T65" fmla="*/ 2294 h 3231"/>
              <a:gd name="T66" fmla="*/ 128 w 3245"/>
              <a:gd name="T67" fmla="*/ 2226 h 3231"/>
              <a:gd name="T68" fmla="*/ 24 w 3245"/>
              <a:gd name="T69" fmla="*/ 1810 h 3231"/>
              <a:gd name="T70" fmla="*/ 1 w 3245"/>
              <a:gd name="T71" fmla="*/ 1744 h 3231"/>
              <a:gd name="T72" fmla="*/ 257 w 3245"/>
              <a:gd name="T73" fmla="*/ 1506 h 3231"/>
              <a:gd name="T74" fmla="*/ 45 w 3245"/>
              <a:gd name="T75" fmla="*/ 1247 h 3231"/>
              <a:gd name="T76" fmla="*/ 77 w 3245"/>
              <a:gd name="T77" fmla="*/ 1186 h 3231"/>
              <a:gd name="T78" fmla="*/ 250 w 3245"/>
              <a:gd name="T79" fmla="*/ 793 h 3231"/>
              <a:gd name="T80" fmla="*/ 273 w 3245"/>
              <a:gd name="T81" fmla="*/ 728 h 3231"/>
              <a:gd name="T82" fmla="*/ 613 w 3245"/>
              <a:gd name="T83" fmla="*/ 702 h 3231"/>
              <a:gd name="T84" fmla="*/ 615 w 3245"/>
              <a:gd name="T85" fmla="*/ 358 h 3231"/>
              <a:gd name="T86" fmla="*/ 678 w 3245"/>
              <a:gd name="T87" fmla="*/ 330 h 3231"/>
              <a:gd name="T88" fmla="*/ 1053 w 3245"/>
              <a:gd name="T89" fmla="*/ 123 h 3231"/>
              <a:gd name="T90" fmla="*/ 1110 w 3245"/>
              <a:gd name="T91" fmla="*/ 85 h 3231"/>
              <a:gd name="T92" fmla="*/ 1397 w 3245"/>
              <a:gd name="T93" fmla="*/ 272 h 3231"/>
              <a:gd name="T94" fmla="*/ 1607 w 3245"/>
              <a:gd name="T95" fmla="*/ 4 h 32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45" h="3231">
                <a:moveTo>
                  <a:pt x="1626" y="0"/>
                </a:moveTo>
                <a:lnTo>
                  <a:pt x="1644" y="3"/>
                </a:lnTo>
                <a:lnTo>
                  <a:pt x="1661" y="9"/>
                </a:lnTo>
                <a:lnTo>
                  <a:pt x="1676" y="19"/>
                </a:lnTo>
                <a:lnTo>
                  <a:pt x="1687" y="33"/>
                </a:lnTo>
                <a:lnTo>
                  <a:pt x="1847" y="272"/>
                </a:lnTo>
                <a:lnTo>
                  <a:pt x="2086" y="98"/>
                </a:lnTo>
                <a:lnTo>
                  <a:pt x="2102" y="90"/>
                </a:lnTo>
                <a:lnTo>
                  <a:pt x="2118" y="85"/>
                </a:lnTo>
                <a:lnTo>
                  <a:pt x="2136" y="85"/>
                </a:lnTo>
                <a:lnTo>
                  <a:pt x="2154" y="89"/>
                </a:lnTo>
                <a:lnTo>
                  <a:pt x="2170" y="96"/>
                </a:lnTo>
                <a:lnTo>
                  <a:pt x="2183" y="108"/>
                </a:lnTo>
                <a:lnTo>
                  <a:pt x="2193" y="122"/>
                </a:lnTo>
                <a:lnTo>
                  <a:pt x="2200" y="139"/>
                </a:lnTo>
                <a:lnTo>
                  <a:pt x="2278" y="421"/>
                </a:lnTo>
                <a:lnTo>
                  <a:pt x="2556" y="333"/>
                </a:lnTo>
                <a:lnTo>
                  <a:pt x="2574" y="330"/>
                </a:lnTo>
                <a:lnTo>
                  <a:pt x="2591" y="331"/>
                </a:lnTo>
                <a:lnTo>
                  <a:pt x="2608" y="337"/>
                </a:lnTo>
                <a:lnTo>
                  <a:pt x="2624" y="346"/>
                </a:lnTo>
                <a:lnTo>
                  <a:pt x="2637" y="359"/>
                </a:lnTo>
                <a:lnTo>
                  <a:pt x="2646" y="374"/>
                </a:lnTo>
                <a:lnTo>
                  <a:pt x="2651" y="391"/>
                </a:lnTo>
                <a:lnTo>
                  <a:pt x="2652" y="409"/>
                </a:lnTo>
                <a:lnTo>
                  <a:pt x="2632" y="702"/>
                </a:lnTo>
                <a:lnTo>
                  <a:pt x="2924" y="708"/>
                </a:lnTo>
                <a:lnTo>
                  <a:pt x="2941" y="711"/>
                </a:lnTo>
                <a:lnTo>
                  <a:pt x="2958" y="718"/>
                </a:lnTo>
                <a:lnTo>
                  <a:pt x="2972" y="728"/>
                </a:lnTo>
                <a:lnTo>
                  <a:pt x="2985" y="742"/>
                </a:lnTo>
                <a:lnTo>
                  <a:pt x="2993" y="758"/>
                </a:lnTo>
                <a:lnTo>
                  <a:pt x="2996" y="776"/>
                </a:lnTo>
                <a:lnTo>
                  <a:pt x="2996" y="793"/>
                </a:lnTo>
                <a:lnTo>
                  <a:pt x="2991" y="811"/>
                </a:lnTo>
                <a:lnTo>
                  <a:pt x="2879" y="1074"/>
                </a:lnTo>
                <a:lnTo>
                  <a:pt x="3153" y="1177"/>
                </a:lnTo>
                <a:lnTo>
                  <a:pt x="3169" y="1185"/>
                </a:lnTo>
                <a:lnTo>
                  <a:pt x="3182" y="1197"/>
                </a:lnTo>
                <a:lnTo>
                  <a:pt x="3192" y="1212"/>
                </a:lnTo>
                <a:lnTo>
                  <a:pt x="3199" y="1229"/>
                </a:lnTo>
                <a:lnTo>
                  <a:pt x="3201" y="1246"/>
                </a:lnTo>
                <a:lnTo>
                  <a:pt x="3199" y="1264"/>
                </a:lnTo>
                <a:lnTo>
                  <a:pt x="3192" y="1280"/>
                </a:lnTo>
                <a:lnTo>
                  <a:pt x="3182" y="1295"/>
                </a:lnTo>
                <a:lnTo>
                  <a:pt x="2993" y="1506"/>
                </a:lnTo>
                <a:lnTo>
                  <a:pt x="3220" y="1699"/>
                </a:lnTo>
                <a:lnTo>
                  <a:pt x="3232" y="1712"/>
                </a:lnTo>
                <a:lnTo>
                  <a:pt x="3241" y="1727"/>
                </a:lnTo>
                <a:lnTo>
                  <a:pt x="3245" y="1745"/>
                </a:lnTo>
                <a:lnTo>
                  <a:pt x="3245" y="1763"/>
                </a:lnTo>
                <a:lnTo>
                  <a:pt x="3241" y="1780"/>
                </a:lnTo>
                <a:lnTo>
                  <a:pt x="3233" y="1796"/>
                </a:lnTo>
                <a:lnTo>
                  <a:pt x="3222" y="1810"/>
                </a:lnTo>
                <a:lnTo>
                  <a:pt x="3207" y="1820"/>
                </a:lnTo>
                <a:lnTo>
                  <a:pt x="2950" y="1957"/>
                </a:lnTo>
                <a:lnTo>
                  <a:pt x="3110" y="2209"/>
                </a:lnTo>
                <a:lnTo>
                  <a:pt x="3117" y="2225"/>
                </a:lnTo>
                <a:lnTo>
                  <a:pt x="3121" y="2244"/>
                </a:lnTo>
                <a:lnTo>
                  <a:pt x="3120" y="2261"/>
                </a:lnTo>
                <a:lnTo>
                  <a:pt x="3115" y="2278"/>
                </a:lnTo>
                <a:lnTo>
                  <a:pt x="3106" y="2294"/>
                </a:lnTo>
                <a:lnTo>
                  <a:pt x="3094" y="2307"/>
                </a:lnTo>
                <a:lnTo>
                  <a:pt x="3079" y="2316"/>
                </a:lnTo>
                <a:lnTo>
                  <a:pt x="3062" y="2322"/>
                </a:lnTo>
                <a:lnTo>
                  <a:pt x="2772" y="2379"/>
                </a:lnTo>
                <a:lnTo>
                  <a:pt x="2839" y="2666"/>
                </a:lnTo>
                <a:lnTo>
                  <a:pt x="2841" y="2684"/>
                </a:lnTo>
                <a:lnTo>
                  <a:pt x="2839" y="2702"/>
                </a:lnTo>
                <a:lnTo>
                  <a:pt x="2832" y="2718"/>
                </a:lnTo>
                <a:lnTo>
                  <a:pt x="2822" y="2733"/>
                </a:lnTo>
                <a:lnTo>
                  <a:pt x="2808" y="2744"/>
                </a:lnTo>
                <a:lnTo>
                  <a:pt x="2792" y="2752"/>
                </a:lnTo>
                <a:lnTo>
                  <a:pt x="2774" y="2756"/>
                </a:lnTo>
                <a:lnTo>
                  <a:pt x="2757" y="2756"/>
                </a:lnTo>
                <a:lnTo>
                  <a:pt x="2472" y="2714"/>
                </a:lnTo>
                <a:lnTo>
                  <a:pt x="2438" y="3001"/>
                </a:lnTo>
                <a:lnTo>
                  <a:pt x="2433" y="3018"/>
                </a:lnTo>
                <a:lnTo>
                  <a:pt x="2425" y="3034"/>
                </a:lnTo>
                <a:lnTo>
                  <a:pt x="2414" y="3047"/>
                </a:lnTo>
                <a:lnTo>
                  <a:pt x="2399" y="3057"/>
                </a:lnTo>
                <a:lnTo>
                  <a:pt x="2383" y="3064"/>
                </a:lnTo>
                <a:lnTo>
                  <a:pt x="2365" y="3066"/>
                </a:lnTo>
                <a:lnTo>
                  <a:pt x="2348" y="3064"/>
                </a:lnTo>
                <a:lnTo>
                  <a:pt x="2331" y="3058"/>
                </a:lnTo>
                <a:lnTo>
                  <a:pt x="2067" y="2926"/>
                </a:lnTo>
                <a:lnTo>
                  <a:pt x="1947" y="3187"/>
                </a:lnTo>
                <a:lnTo>
                  <a:pt x="1938" y="3203"/>
                </a:lnTo>
                <a:lnTo>
                  <a:pt x="1925" y="3215"/>
                </a:lnTo>
                <a:lnTo>
                  <a:pt x="1909" y="3225"/>
                </a:lnTo>
                <a:lnTo>
                  <a:pt x="1892" y="3230"/>
                </a:lnTo>
                <a:lnTo>
                  <a:pt x="1886" y="3230"/>
                </a:lnTo>
                <a:lnTo>
                  <a:pt x="1880" y="3231"/>
                </a:lnTo>
                <a:lnTo>
                  <a:pt x="1865" y="3229"/>
                </a:lnTo>
                <a:lnTo>
                  <a:pt x="1851" y="3225"/>
                </a:lnTo>
                <a:lnTo>
                  <a:pt x="1838" y="3217"/>
                </a:lnTo>
                <a:lnTo>
                  <a:pt x="1827" y="3207"/>
                </a:lnTo>
                <a:lnTo>
                  <a:pt x="1625" y="2997"/>
                </a:lnTo>
                <a:lnTo>
                  <a:pt x="1419" y="3208"/>
                </a:lnTo>
                <a:lnTo>
                  <a:pt x="1405" y="3220"/>
                </a:lnTo>
                <a:lnTo>
                  <a:pt x="1389" y="3227"/>
                </a:lnTo>
                <a:lnTo>
                  <a:pt x="1371" y="3231"/>
                </a:lnTo>
                <a:lnTo>
                  <a:pt x="1354" y="3229"/>
                </a:lnTo>
                <a:lnTo>
                  <a:pt x="1336" y="3224"/>
                </a:lnTo>
                <a:lnTo>
                  <a:pt x="1321" y="3215"/>
                </a:lnTo>
                <a:lnTo>
                  <a:pt x="1309" y="3203"/>
                </a:lnTo>
                <a:lnTo>
                  <a:pt x="1299" y="3188"/>
                </a:lnTo>
                <a:lnTo>
                  <a:pt x="1176" y="2926"/>
                </a:lnTo>
                <a:lnTo>
                  <a:pt x="916" y="3058"/>
                </a:lnTo>
                <a:lnTo>
                  <a:pt x="899" y="3064"/>
                </a:lnTo>
                <a:lnTo>
                  <a:pt x="881" y="3066"/>
                </a:lnTo>
                <a:lnTo>
                  <a:pt x="864" y="3064"/>
                </a:lnTo>
                <a:lnTo>
                  <a:pt x="847" y="3057"/>
                </a:lnTo>
                <a:lnTo>
                  <a:pt x="832" y="3047"/>
                </a:lnTo>
                <a:lnTo>
                  <a:pt x="821" y="3033"/>
                </a:lnTo>
                <a:lnTo>
                  <a:pt x="813" y="3018"/>
                </a:lnTo>
                <a:lnTo>
                  <a:pt x="809" y="3000"/>
                </a:lnTo>
                <a:lnTo>
                  <a:pt x="779" y="2714"/>
                </a:lnTo>
                <a:lnTo>
                  <a:pt x="495" y="2756"/>
                </a:lnTo>
                <a:lnTo>
                  <a:pt x="476" y="2756"/>
                </a:lnTo>
                <a:lnTo>
                  <a:pt x="459" y="2752"/>
                </a:lnTo>
                <a:lnTo>
                  <a:pt x="443" y="2744"/>
                </a:lnTo>
                <a:lnTo>
                  <a:pt x="429" y="2733"/>
                </a:lnTo>
                <a:lnTo>
                  <a:pt x="419" y="2718"/>
                </a:lnTo>
                <a:lnTo>
                  <a:pt x="412" y="2702"/>
                </a:lnTo>
                <a:lnTo>
                  <a:pt x="410" y="2684"/>
                </a:lnTo>
                <a:lnTo>
                  <a:pt x="412" y="2666"/>
                </a:lnTo>
                <a:lnTo>
                  <a:pt x="479" y="2379"/>
                </a:lnTo>
                <a:lnTo>
                  <a:pt x="184" y="2322"/>
                </a:lnTo>
                <a:lnTo>
                  <a:pt x="167" y="2316"/>
                </a:lnTo>
                <a:lnTo>
                  <a:pt x="152" y="2307"/>
                </a:lnTo>
                <a:lnTo>
                  <a:pt x="140" y="2294"/>
                </a:lnTo>
                <a:lnTo>
                  <a:pt x="131" y="2279"/>
                </a:lnTo>
                <a:lnTo>
                  <a:pt x="126" y="2261"/>
                </a:lnTo>
                <a:lnTo>
                  <a:pt x="125" y="2244"/>
                </a:lnTo>
                <a:lnTo>
                  <a:pt x="128" y="2226"/>
                </a:lnTo>
                <a:lnTo>
                  <a:pt x="136" y="2209"/>
                </a:lnTo>
                <a:lnTo>
                  <a:pt x="292" y="1957"/>
                </a:lnTo>
                <a:lnTo>
                  <a:pt x="39" y="1820"/>
                </a:lnTo>
                <a:lnTo>
                  <a:pt x="24" y="1810"/>
                </a:lnTo>
                <a:lnTo>
                  <a:pt x="12" y="1796"/>
                </a:lnTo>
                <a:lnTo>
                  <a:pt x="4" y="1780"/>
                </a:lnTo>
                <a:lnTo>
                  <a:pt x="0" y="1762"/>
                </a:lnTo>
                <a:lnTo>
                  <a:pt x="1" y="1744"/>
                </a:lnTo>
                <a:lnTo>
                  <a:pt x="6" y="1727"/>
                </a:lnTo>
                <a:lnTo>
                  <a:pt x="15" y="1711"/>
                </a:lnTo>
                <a:lnTo>
                  <a:pt x="27" y="1698"/>
                </a:lnTo>
                <a:lnTo>
                  <a:pt x="257" y="1506"/>
                </a:lnTo>
                <a:lnTo>
                  <a:pt x="64" y="1296"/>
                </a:lnTo>
                <a:lnTo>
                  <a:pt x="54" y="1281"/>
                </a:lnTo>
                <a:lnTo>
                  <a:pt x="47" y="1265"/>
                </a:lnTo>
                <a:lnTo>
                  <a:pt x="45" y="1247"/>
                </a:lnTo>
                <a:lnTo>
                  <a:pt x="47" y="1229"/>
                </a:lnTo>
                <a:lnTo>
                  <a:pt x="53" y="1212"/>
                </a:lnTo>
                <a:lnTo>
                  <a:pt x="63" y="1197"/>
                </a:lnTo>
                <a:lnTo>
                  <a:pt x="77" y="1186"/>
                </a:lnTo>
                <a:lnTo>
                  <a:pt x="93" y="1177"/>
                </a:lnTo>
                <a:lnTo>
                  <a:pt x="365" y="1074"/>
                </a:lnTo>
                <a:lnTo>
                  <a:pt x="255" y="810"/>
                </a:lnTo>
                <a:lnTo>
                  <a:pt x="250" y="793"/>
                </a:lnTo>
                <a:lnTo>
                  <a:pt x="250" y="775"/>
                </a:lnTo>
                <a:lnTo>
                  <a:pt x="253" y="758"/>
                </a:lnTo>
                <a:lnTo>
                  <a:pt x="261" y="742"/>
                </a:lnTo>
                <a:lnTo>
                  <a:pt x="273" y="728"/>
                </a:lnTo>
                <a:lnTo>
                  <a:pt x="287" y="718"/>
                </a:lnTo>
                <a:lnTo>
                  <a:pt x="303" y="711"/>
                </a:lnTo>
                <a:lnTo>
                  <a:pt x="321" y="708"/>
                </a:lnTo>
                <a:lnTo>
                  <a:pt x="613" y="702"/>
                </a:lnTo>
                <a:lnTo>
                  <a:pt x="599" y="407"/>
                </a:lnTo>
                <a:lnTo>
                  <a:pt x="600" y="389"/>
                </a:lnTo>
                <a:lnTo>
                  <a:pt x="606" y="373"/>
                </a:lnTo>
                <a:lnTo>
                  <a:pt x="615" y="358"/>
                </a:lnTo>
                <a:lnTo>
                  <a:pt x="628" y="345"/>
                </a:lnTo>
                <a:lnTo>
                  <a:pt x="643" y="336"/>
                </a:lnTo>
                <a:lnTo>
                  <a:pt x="660" y="331"/>
                </a:lnTo>
                <a:lnTo>
                  <a:pt x="678" y="330"/>
                </a:lnTo>
                <a:lnTo>
                  <a:pt x="695" y="333"/>
                </a:lnTo>
                <a:lnTo>
                  <a:pt x="971" y="420"/>
                </a:lnTo>
                <a:lnTo>
                  <a:pt x="1046" y="140"/>
                </a:lnTo>
                <a:lnTo>
                  <a:pt x="1053" y="123"/>
                </a:lnTo>
                <a:lnTo>
                  <a:pt x="1063" y="108"/>
                </a:lnTo>
                <a:lnTo>
                  <a:pt x="1076" y="97"/>
                </a:lnTo>
                <a:lnTo>
                  <a:pt x="1093" y="89"/>
                </a:lnTo>
                <a:lnTo>
                  <a:pt x="1110" y="85"/>
                </a:lnTo>
                <a:lnTo>
                  <a:pt x="1128" y="85"/>
                </a:lnTo>
                <a:lnTo>
                  <a:pt x="1145" y="90"/>
                </a:lnTo>
                <a:lnTo>
                  <a:pt x="1161" y="99"/>
                </a:lnTo>
                <a:lnTo>
                  <a:pt x="1397" y="272"/>
                </a:lnTo>
                <a:lnTo>
                  <a:pt x="1565" y="32"/>
                </a:lnTo>
                <a:lnTo>
                  <a:pt x="1576" y="19"/>
                </a:lnTo>
                <a:lnTo>
                  <a:pt x="1590" y="10"/>
                </a:lnTo>
                <a:lnTo>
                  <a:pt x="1607" y="4"/>
                </a:lnTo>
                <a:lnTo>
                  <a:pt x="1626" y="0"/>
                </a:lnTo>
                <a:close/>
              </a:path>
            </a:pathLst>
          </a:custGeom>
          <a:solidFill>
            <a:srgbClr val="FFFFFF"/>
          </a:solidFill>
          <a:ln w="0">
            <a:noFill/>
            <a:prstDash val="solid"/>
            <a:round/>
            <a:headEnd/>
            <a:tailEnd/>
          </a:ln>
        </xdr:spPr>
      </xdr:sp>
      <xdr:sp macro="" textlink="">
        <xdr:nvSpPr>
          <xdr:cNvPr id="129" name="Freeform 56">
            <a:extLst>
              <a:ext uri="{FF2B5EF4-FFF2-40B4-BE49-F238E27FC236}">
                <a16:creationId xmlns:a16="http://schemas.microsoft.com/office/drawing/2014/main" id="{00000000-0008-0000-0000-000081000000}"/>
              </a:ext>
            </a:extLst>
          </xdr:cNvPr>
          <xdr:cNvSpPr>
            <a:spLocks noEditPoints="1"/>
          </xdr:cNvSpPr>
        </xdr:nvSpPr>
        <xdr:spPr bwMode="auto">
          <a:xfrm>
            <a:off x="446" y="831"/>
            <a:ext cx="23" cy="36"/>
          </a:xfrm>
          <a:custGeom>
            <a:avLst/>
            <a:gdLst>
              <a:gd name="T0" fmla="*/ 873 w 1402"/>
              <a:gd name="T1" fmla="*/ 1607 h 2041"/>
              <a:gd name="T2" fmla="*/ 998 w 1402"/>
              <a:gd name="T3" fmla="*/ 1539 h 2041"/>
              <a:gd name="T4" fmla="*/ 1069 w 1402"/>
              <a:gd name="T5" fmla="*/ 1420 h 2041"/>
              <a:gd name="T6" fmla="*/ 1054 w 1402"/>
              <a:gd name="T7" fmla="*/ 1302 h 2041"/>
              <a:gd name="T8" fmla="*/ 969 w 1402"/>
              <a:gd name="T9" fmla="*/ 1220 h 2041"/>
              <a:gd name="T10" fmla="*/ 790 w 1402"/>
              <a:gd name="T11" fmla="*/ 1153 h 2041"/>
              <a:gd name="T12" fmla="*/ 504 w 1402"/>
              <a:gd name="T13" fmla="*/ 456 h 2041"/>
              <a:gd name="T14" fmla="*/ 411 w 1402"/>
              <a:gd name="T15" fmla="*/ 523 h 2041"/>
              <a:gd name="T16" fmla="*/ 384 w 1402"/>
              <a:gd name="T17" fmla="*/ 623 h 2041"/>
              <a:gd name="T18" fmla="*/ 409 w 1402"/>
              <a:gd name="T19" fmla="*/ 718 h 2041"/>
              <a:gd name="T20" fmla="*/ 499 w 1402"/>
              <a:gd name="T21" fmla="*/ 785 h 2041"/>
              <a:gd name="T22" fmla="*/ 620 w 1402"/>
              <a:gd name="T23" fmla="*/ 417 h 2041"/>
              <a:gd name="T24" fmla="*/ 763 w 1402"/>
              <a:gd name="T25" fmla="*/ 17 h 2041"/>
              <a:gd name="T26" fmla="*/ 790 w 1402"/>
              <a:gd name="T27" fmla="*/ 89 h 2041"/>
              <a:gd name="T28" fmla="*/ 947 w 1402"/>
              <a:gd name="T29" fmla="*/ 228 h 2041"/>
              <a:gd name="T30" fmla="*/ 1130 w 1402"/>
              <a:gd name="T31" fmla="*/ 298 h 2041"/>
              <a:gd name="T32" fmla="*/ 1280 w 1402"/>
              <a:gd name="T33" fmla="*/ 437 h 2041"/>
              <a:gd name="T34" fmla="*/ 1336 w 1402"/>
              <a:gd name="T35" fmla="*/ 558 h 2041"/>
              <a:gd name="T36" fmla="*/ 1310 w 1402"/>
              <a:gd name="T37" fmla="*/ 656 h 2041"/>
              <a:gd name="T38" fmla="*/ 1205 w 1402"/>
              <a:gd name="T39" fmla="*/ 713 h 2041"/>
              <a:gd name="T40" fmla="*/ 1086 w 1402"/>
              <a:gd name="T41" fmla="*/ 699 h 2041"/>
              <a:gd name="T42" fmla="*/ 1013 w 1402"/>
              <a:gd name="T43" fmla="*/ 628 h 2041"/>
              <a:gd name="T44" fmla="*/ 952 w 1402"/>
              <a:gd name="T45" fmla="*/ 513 h 2041"/>
              <a:gd name="T46" fmla="*/ 830 w 1402"/>
              <a:gd name="T47" fmla="*/ 434 h 2041"/>
              <a:gd name="T48" fmla="*/ 912 w 1402"/>
              <a:gd name="T49" fmla="*/ 900 h 2041"/>
              <a:gd name="T50" fmla="*/ 1101 w 1402"/>
              <a:gd name="T51" fmla="*/ 955 h 2041"/>
              <a:gd name="T52" fmla="*/ 1267 w 1402"/>
              <a:gd name="T53" fmla="*/ 1058 h 2041"/>
              <a:gd name="T54" fmla="*/ 1375 w 1402"/>
              <a:gd name="T55" fmla="*/ 1211 h 2041"/>
              <a:gd name="T56" fmla="*/ 1399 w 1402"/>
              <a:gd name="T57" fmla="*/ 1398 h 2041"/>
              <a:gd name="T58" fmla="*/ 1329 w 1402"/>
              <a:gd name="T59" fmla="*/ 1581 h 2041"/>
              <a:gd name="T60" fmla="*/ 1204 w 1402"/>
              <a:gd name="T61" fmla="*/ 1707 h 2041"/>
              <a:gd name="T62" fmla="*/ 1021 w 1402"/>
              <a:gd name="T63" fmla="*/ 1796 h 2041"/>
              <a:gd name="T64" fmla="*/ 790 w 1402"/>
              <a:gd name="T65" fmla="*/ 1838 h 2041"/>
              <a:gd name="T66" fmla="*/ 782 w 1402"/>
              <a:gd name="T67" fmla="*/ 1995 h 2041"/>
              <a:gd name="T68" fmla="*/ 744 w 1402"/>
              <a:gd name="T69" fmla="*/ 2036 h 2041"/>
              <a:gd name="T70" fmla="*/ 666 w 1402"/>
              <a:gd name="T71" fmla="*/ 2035 h 2041"/>
              <a:gd name="T72" fmla="*/ 625 w 1402"/>
              <a:gd name="T73" fmla="*/ 1987 h 2041"/>
              <a:gd name="T74" fmla="*/ 560 w 1402"/>
              <a:gd name="T75" fmla="*/ 1833 h 2041"/>
              <a:gd name="T76" fmla="*/ 348 w 1402"/>
              <a:gd name="T77" fmla="*/ 1781 h 2041"/>
              <a:gd name="T78" fmla="*/ 154 w 1402"/>
              <a:gd name="T79" fmla="*/ 1668 h 2041"/>
              <a:gd name="T80" fmla="*/ 38 w 1402"/>
              <a:gd name="T81" fmla="*/ 1526 h 2041"/>
              <a:gd name="T82" fmla="*/ 0 w 1402"/>
              <a:gd name="T83" fmla="*/ 1383 h 2041"/>
              <a:gd name="T84" fmla="*/ 50 w 1402"/>
              <a:gd name="T85" fmla="*/ 1290 h 2041"/>
              <a:gd name="T86" fmla="*/ 147 w 1402"/>
              <a:gd name="T87" fmla="*/ 1250 h 2041"/>
              <a:gd name="T88" fmla="*/ 255 w 1402"/>
              <a:gd name="T89" fmla="*/ 1261 h 2041"/>
              <a:gd name="T90" fmla="*/ 325 w 1402"/>
              <a:gd name="T91" fmla="*/ 1315 h 2041"/>
              <a:gd name="T92" fmla="*/ 383 w 1402"/>
              <a:gd name="T93" fmla="*/ 1444 h 2041"/>
              <a:gd name="T94" fmla="*/ 477 w 1402"/>
              <a:gd name="T95" fmla="*/ 1556 h 2041"/>
              <a:gd name="T96" fmla="*/ 620 w 1402"/>
              <a:gd name="T97" fmla="*/ 1616 h 2041"/>
              <a:gd name="T98" fmla="*/ 427 w 1402"/>
              <a:gd name="T99" fmla="*/ 1062 h 2041"/>
              <a:gd name="T100" fmla="*/ 234 w 1402"/>
              <a:gd name="T101" fmla="*/ 977 h 2041"/>
              <a:gd name="T102" fmla="*/ 105 w 1402"/>
              <a:gd name="T103" fmla="*/ 851 h 2041"/>
              <a:gd name="T104" fmla="*/ 54 w 1402"/>
              <a:gd name="T105" fmla="*/ 696 h 2041"/>
              <a:gd name="T106" fmla="*/ 74 w 1402"/>
              <a:gd name="T107" fmla="*/ 520 h 2041"/>
              <a:gd name="T108" fmla="*/ 165 w 1402"/>
              <a:gd name="T109" fmla="*/ 376 h 2041"/>
              <a:gd name="T110" fmla="*/ 327 w 1402"/>
              <a:gd name="T111" fmla="*/ 269 h 2041"/>
              <a:gd name="T112" fmla="*/ 553 w 1402"/>
              <a:gd name="T113" fmla="*/ 212 h 2041"/>
              <a:gd name="T114" fmla="*/ 627 w 1402"/>
              <a:gd name="T115" fmla="*/ 47 h 2041"/>
              <a:gd name="T116" fmla="*/ 682 w 1402"/>
              <a:gd name="T117" fmla="*/ 2 h 20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402" h="2041">
                <a:moveTo>
                  <a:pt x="790" y="1153"/>
                </a:moveTo>
                <a:lnTo>
                  <a:pt x="790" y="1627"/>
                </a:lnTo>
                <a:lnTo>
                  <a:pt x="834" y="1618"/>
                </a:lnTo>
                <a:lnTo>
                  <a:pt x="873" y="1607"/>
                </a:lnTo>
                <a:lnTo>
                  <a:pt x="910" y="1594"/>
                </a:lnTo>
                <a:lnTo>
                  <a:pt x="943" y="1578"/>
                </a:lnTo>
                <a:lnTo>
                  <a:pt x="972" y="1560"/>
                </a:lnTo>
                <a:lnTo>
                  <a:pt x="998" y="1539"/>
                </a:lnTo>
                <a:lnTo>
                  <a:pt x="1025" y="1512"/>
                </a:lnTo>
                <a:lnTo>
                  <a:pt x="1045" y="1483"/>
                </a:lnTo>
                <a:lnTo>
                  <a:pt x="1060" y="1452"/>
                </a:lnTo>
                <a:lnTo>
                  <a:pt x="1069" y="1420"/>
                </a:lnTo>
                <a:lnTo>
                  <a:pt x="1072" y="1385"/>
                </a:lnTo>
                <a:lnTo>
                  <a:pt x="1070" y="1355"/>
                </a:lnTo>
                <a:lnTo>
                  <a:pt x="1064" y="1327"/>
                </a:lnTo>
                <a:lnTo>
                  <a:pt x="1054" y="1302"/>
                </a:lnTo>
                <a:lnTo>
                  <a:pt x="1040" y="1279"/>
                </a:lnTo>
                <a:lnTo>
                  <a:pt x="1022" y="1259"/>
                </a:lnTo>
                <a:lnTo>
                  <a:pt x="1000" y="1240"/>
                </a:lnTo>
                <a:lnTo>
                  <a:pt x="969" y="1220"/>
                </a:lnTo>
                <a:lnTo>
                  <a:pt x="932" y="1202"/>
                </a:lnTo>
                <a:lnTo>
                  <a:pt x="890" y="1184"/>
                </a:lnTo>
                <a:lnTo>
                  <a:pt x="843" y="1168"/>
                </a:lnTo>
                <a:lnTo>
                  <a:pt x="790" y="1153"/>
                </a:lnTo>
                <a:close/>
                <a:moveTo>
                  <a:pt x="620" y="417"/>
                </a:moveTo>
                <a:lnTo>
                  <a:pt x="578" y="429"/>
                </a:lnTo>
                <a:lnTo>
                  <a:pt x="539" y="442"/>
                </a:lnTo>
                <a:lnTo>
                  <a:pt x="504" y="456"/>
                </a:lnTo>
                <a:lnTo>
                  <a:pt x="473" y="472"/>
                </a:lnTo>
                <a:lnTo>
                  <a:pt x="446" y="489"/>
                </a:lnTo>
                <a:lnTo>
                  <a:pt x="427" y="505"/>
                </a:lnTo>
                <a:lnTo>
                  <a:pt x="411" y="523"/>
                </a:lnTo>
                <a:lnTo>
                  <a:pt x="399" y="544"/>
                </a:lnTo>
                <a:lnTo>
                  <a:pt x="390" y="568"/>
                </a:lnTo>
                <a:lnTo>
                  <a:pt x="385" y="594"/>
                </a:lnTo>
                <a:lnTo>
                  <a:pt x="384" y="623"/>
                </a:lnTo>
                <a:lnTo>
                  <a:pt x="385" y="650"/>
                </a:lnTo>
                <a:lnTo>
                  <a:pt x="390" y="675"/>
                </a:lnTo>
                <a:lnTo>
                  <a:pt x="398" y="698"/>
                </a:lnTo>
                <a:lnTo>
                  <a:pt x="409" y="718"/>
                </a:lnTo>
                <a:lnTo>
                  <a:pt x="424" y="736"/>
                </a:lnTo>
                <a:lnTo>
                  <a:pt x="442" y="752"/>
                </a:lnTo>
                <a:lnTo>
                  <a:pt x="468" y="769"/>
                </a:lnTo>
                <a:lnTo>
                  <a:pt x="499" y="785"/>
                </a:lnTo>
                <a:lnTo>
                  <a:pt x="534" y="801"/>
                </a:lnTo>
                <a:lnTo>
                  <a:pt x="575" y="817"/>
                </a:lnTo>
                <a:lnTo>
                  <a:pt x="620" y="831"/>
                </a:lnTo>
                <a:lnTo>
                  <a:pt x="620" y="417"/>
                </a:lnTo>
                <a:close/>
                <a:moveTo>
                  <a:pt x="704" y="0"/>
                </a:moveTo>
                <a:lnTo>
                  <a:pt x="727" y="2"/>
                </a:lnTo>
                <a:lnTo>
                  <a:pt x="747" y="8"/>
                </a:lnTo>
                <a:lnTo>
                  <a:pt x="763" y="17"/>
                </a:lnTo>
                <a:lnTo>
                  <a:pt x="775" y="29"/>
                </a:lnTo>
                <a:lnTo>
                  <a:pt x="784" y="45"/>
                </a:lnTo>
                <a:lnTo>
                  <a:pt x="789" y="65"/>
                </a:lnTo>
                <a:lnTo>
                  <a:pt x="790" y="89"/>
                </a:lnTo>
                <a:lnTo>
                  <a:pt x="790" y="205"/>
                </a:lnTo>
                <a:lnTo>
                  <a:pt x="846" y="211"/>
                </a:lnTo>
                <a:lnTo>
                  <a:pt x="898" y="219"/>
                </a:lnTo>
                <a:lnTo>
                  <a:pt x="947" y="228"/>
                </a:lnTo>
                <a:lnTo>
                  <a:pt x="992" y="240"/>
                </a:lnTo>
                <a:lnTo>
                  <a:pt x="1035" y="253"/>
                </a:lnTo>
                <a:lnTo>
                  <a:pt x="1084" y="273"/>
                </a:lnTo>
                <a:lnTo>
                  <a:pt x="1130" y="298"/>
                </a:lnTo>
                <a:lnTo>
                  <a:pt x="1173" y="328"/>
                </a:lnTo>
                <a:lnTo>
                  <a:pt x="1213" y="362"/>
                </a:lnTo>
                <a:lnTo>
                  <a:pt x="1250" y="399"/>
                </a:lnTo>
                <a:lnTo>
                  <a:pt x="1280" y="437"/>
                </a:lnTo>
                <a:lnTo>
                  <a:pt x="1305" y="476"/>
                </a:lnTo>
                <a:lnTo>
                  <a:pt x="1319" y="504"/>
                </a:lnTo>
                <a:lnTo>
                  <a:pt x="1330" y="532"/>
                </a:lnTo>
                <a:lnTo>
                  <a:pt x="1336" y="558"/>
                </a:lnTo>
                <a:lnTo>
                  <a:pt x="1338" y="583"/>
                </a:lnTo>
                <a:lnTo>
                  <a:pt x="1335" y="609"/>
                </a:lnTo>
                <a:lnTo>
                  <a:pt x="1326" y="633"/>
                </a:lnTo>
                <a:lnTo>
                  <a:pt x="1310" y="656"/>
                </a:lnTo>
                <a:lnTo>
                  <a:pt x="1289" y="676"/>
                </a:lnTo>
                <a:lnTo>
                  <a:pt x="1264" y="693"/>
                </a:lnTo>
                <a:lnTo>
                  <a:pt x="1235" y="706"/>
                </a:lnTo>
                <a:lnTo>
                  <a:pt x="1205" y="713"/>
                </a:lnTo>
                <a:lnTo>
                  <a:pt x="1171" y="716"/>
                </a:lnTo>
                <a:lnTo>
                  <a:pt x="1140" y="714"/>
                </a:lnTo>
                <a:lnTo>
                  <a:pt x="1112" y="708"/>
                </a:lnTo>
                <a:lnTo>
                  <a:pt x="1086" y="699"/>
                </a:lnTo>
                <a:lnTo>
                  <a:pt x="1064" y="687"/>
                </a:lnTo>
                <a:lnTo>
                  <a:pt x="1044" y="671"/>
                </a:lnTo>
                <a:lnTo>
                  <a:pt x="1027" y="651"/>
                </a:lnTo>
                <a:lnTo>
                  <a:pt x="1013" y="628"/>
                </a:lnTo>
                <a:lnTo>
                  <a:pt x="1002" y="601"/>
                </a:lnTo>
                <a:lnTo>
                  <a:pt x="989" y="569"/>
                </a:lnTo>
                <a:lnTo>
                  <a:pt x="973" y="539"/>
                </a:lnTo>
                <a:lnTo>
                  <a:pt x="952" y="513"/>
                </a:lnTo>
                <a:lnTo>
                  <a:pt x="927" y="489"/>
                </a:lnTo>
                <a:lnTo>
                  <a:pt x="899" y="468"/>
                </a:lnTo>
                <a:lnTo>
                  <a:pt x="867" y="449"/>
                </a:lnTo>
                <a:lnTo>
                  <a:pt x="830" y="434"/>
                </a:lnTo>
                <a:lnTo>
                  <a:pt x="790" y="422"/>
                </a:lnTo>
                <a:lnTo>
                  <a:pt x="790" y="871"/>
                </a:lnTo>
                <a:lnTo>
                  <a:pt x="854" y="886"/>
                </a:lnTo>
                <a:lnTo>
                  <a:pt x="912" y="900"/>
                </a:lnTo>
                <a:lnTo>
                  <a:pt x="964" y="913"/>
                </a:lnTo>
                <a:lnTo>
                  <a:pt x="1012" y="926"/>
                </a:lnTo>
                <a:lnTo>
                  <a:pt x="1053" y="938"/>
                </a:lnTo>
                <a:lnTo>
                  <a:pt x="1101" y="955"/>
                </a:lnTo>
                <a:lnTo>
                  <a:pt x="1146" y="975"/>
                </a:lnTo>
                <a:lnTo>
                  <a:pt x="1189" y="1000"/>
                </a:lnTo>
                <a:lnTo>
                  <a:pt x="1229" y="1027"/>
                </a:lnTo>
                <a:lnTo>
                  <a:pt x="1267" y="1058"/>
                </a:lnTo>
                <a:lnTo>
                  <a:pt x="1302" y="1092"/>
                </a:lnTo>
                <a:lnTo>
                  <a:pt x="1331" y="1129"/>
                </a:lnTo>
                <a:lnTo>
                  <a:pt x="1356" y="1169"/>
                </a:lnTo>
                <a:lnTo>
                  <a:pt x="1375" y="1211"/>
                </a:lnTo>
                <a:lnTo>
                  <a:pt x="1389" y="1255"/>
                </a:lnTo>
                <a:lnTo>
                  <a:pt x="1399" y="1302"/>
                </a:lnTo>
                <a:lnTo>
                  <a:pt x="1402" y="1350"/>
                </a:lnTo>
                <a:lnTo>
                  <a:pt x="1399" y="1398"/>
                </a:lnTo>
                <a:lnTo>
                  <a:pt x="1389" y="1446"/>
                </a:lnTo>
                <a:lnTo>
                  <a:pt x="1375" y="1492"/>
                </a:lnTo>
                <a:lnTo>
                  <a:pt x="1355" y="1537"/>
                </a:lnTo>
                <a:lnTo>
                  <a:pt x="1329" y="1581"/>
                </a:lnTo>
                <a:lnTo>
                  <a:pt x="1304" y="1615"/>
                </a:lnTo>
                <a:lnTo>
                  <a:pt x="1274" y="1649"/>
                </a:lnTo>
                <a:lnTo>
                  <a:pt x="1241" y="1679"/>
                </a:lnTo>
                <a:lnTo>
                  <a:pt x="1204" y="1707"/>
                </a:lnTo>
                <a:lnTo>
                  <a:pt x="1164" y="1733"/>
                </a:lnTo>
                <a:lnTo>
                  <a:pt x="1120" y="1757"/>
                </a:lnTo>
                <a:lnTo>
                  <a:pt x="1072" y="1778"/>
                </a:lnTo>
                <a:lnTo>
                  <a:pt x="1021" y="1796"/>
                </a:lnTo>
                <a:lnTo>
                  <a:pt x="968" y="1811"/>
                </a:lnTo>
                <a:lnTo>
                  <a:pt x="912" y="1823"/>
                </a:lnTo>
                <a:lnTo>
                  <a:pt x="852" y="1832"/>
                </a:lnTo>
                <a:lnTo>
                  <a:pt x="790" y="1838"/>
                </a:lnTo>
                <a:lnTo>
                  <a:pt x="790" y="1919"/>
                </a:lnTo>
                <a:lnTo>
                  <a:pt x="789" y="1948"/>
                </a:lnTo>
                <a:lnTo>
                  <a:pt x="787" y="1974"/>
                </a:lnTo>
                <a:lnTo>
                  <a:pt x="782" y="1995"/>
                </a:lnTo>
                <a:lnTo>
                  <a:pt x="775" y="2012"/>
                </a:lnTo>
                <a:lnTo>
                  <a:pt x="768" y="2022"/>
                </a:lnTo>
                <a:lnTo>
                  <a:pt x="757" y="2030"/>
                </a:lnTo>
                <a:lnTo>
                  <a:pt x="744" y="2036"/>
                </a:lnTo>
                <a:lnTo>
                  <a:pt x="726" y="2040"/>
                </a:lnTo>
                <a:lnTo>
                  <a:pt x="707" y="2041"/>
                </a:lnTo>
                <a:lnTo>
                  <a:pt x="685" y="2039"/>
                </a:lnTo>
                <a:lnTo>
                  <a:pt x="666" y="2035"/>
                </a:lnTo>
                <a:lnTo>
                  <a:pt x="651" y="2028"/>
                </a:lnTo>
                <a:lnTo>
                  <a:pt x="640" y="2017"/>
                </a:lnTo>
                <a:lnTo>
                  <a:pt x="631" y="2004"/>
                </a:lnTo>
                <a:lnTo>
                  <a:pt x="625" y="1987"/>
                </a:lnTo>
                <a:lnTo>
                  <a:pt x="622" y="1967"/>
                </a:lnTo>
                <a:lnTo>
                  <a:pt x="620" y="1944"/>
                </a:lnTo>
                <a:lnTo>
                  <a:pt x="620" y="1840"/>
                </a:lnTo>
                <a:lnTo>
                  <a:pt x="560" y="1833"/>
                </a:lnTo>
                <a:lnTo>
                  <a:pt x="502" y="1824"/>
                </a:lnTo>
                <a:lnTo>
                  <a:pt x="448" y="1812"/>
                </a:lnTo>
                <a:lnTo>
                  <a:pt x="396" y="1798"/>
                </a:lnTo>
                <a:lnTo>
                  <a:pt x="348" y="1781"/>
                </a:lnTo>
                <a:lnTo>
                  <a:pt x="292" y="1757"/>
                </a:lnTo>
                <a:lnTo>
                  <a:pt x="241" y="1730"/>
                </a:lnTo>
                <a:lnTo>
                  <a:pt x="195" y="1700"/>
                </a:lnTo>
                <a:lnTo>
                  <a:pt x="154" y="1668"/>
                </a:lnTo>
                <a:lnTo>
                  <a:pt x="117" y="1633"/>
                </a:lnTo>
                <a:lnTo>
                  <a:pt x="86" y="1598"/>
                </a:lnTo>
                <a:lnTo>
                  <a:pt x="59" y="1563"/>
                </a:lnTo>
                <a:lnTo>
                  <a:pt x="38" y="1526"/>
                </a:lnTo>
                <a:lnTo>
                  <a:pt x="21" y="1490"/>
                </a:lnTo>
                <a:lnTo>
                  <a:pt x="10" y="1454"/>
                </a:lnTo>
                <a:lnTo>
                  <a:pt x="2" y="1419"/>
                </a:lnTo>
                <a:lnTo>
                  <a:pt x="0" y="1383"/>
                </a:lnTo>
                <a:lnTo>
                  <a:pt x="3" y="1358"/>
                </a:lnTo>
                <a:lnTo>
                  <a:pt x="13" y="1334"/>
                </a:lnTo>
                <a:lnTo>
                  <a:pt x="28" y="1311"/>
                </a:lnTo>
                <a:lnTo>
                  <a:pt x="50" y="1290"/>
                </a:lnTo>
                <a:lnTo>
                  <a:pt x="72" y="1275"/>
                </a:lnTo>
                <a:lnTo>
                  <a:pt x="95" y="1263"/>
                </a:lnTo>
                <a:lnTo>
                  <a:pt x="120" y="1255"/>
                </a:lnTo>
                <a:lnTo>
                  <a:pt x="147" y="1250"/>
                </a:lnTo>
                <a:lnTo>
                  <a:pt x="176" y="1248"/>
                </a:lnTo>
                <a:lnTo>
                  <a:pt x="205" y="1250"/>
                </a:lnTo>
                <a:lnTo>
                  <a:pt x="231" y="1254"/>
                </a:lnTo>
                <a:lnTo>
                  <a:pt x="255" y="1261"/>
                </a:lnTo>
                <a:lnTo>
                  <a:pt x="277" y="1271"/>
                </a:lnTo>
                <a:lnTo>
                  <a:pt x="296" y="1283"/>
                </a:lnTo>
                <a:lnTo>
                  <a:pt x="312" y="1298"/>
                </a:lnTo>
                <a:lnTo>
                  <a:pt x="325" y="1315"/>
                </a:lnTo>
                <a:lnTo>
                  <a:pt x="334" y="1335"/>
                </a:lnTo>
                <a:lnTo>
                  <a:pt x="352" y="1376"/>
                </a:lnTo>
                <a:lnTo>
                  <a:pt x="368" y="1413"/>
                </a:lnTo>
                <a:lnTo>
                  <a:pt x="383" y="1444"/>
                </a:lnTo>
                <a:lnTo>
                  <a:pt x="397" y="1470"/>
                </a:lnTo>
                <a:lnTo>
                  <a:pt x="418" y="1501"/>
                </a:lnTo>
                <a:lnTo>
                  <a:pt x="444" y="1529"/>
                </a:lnTo>
                <a:lnTo>
                  <a:pt x="477" y="1556"/>
                </a:lnTo>
                <a:lnTo>
                  <a:pt x="506" y="1574"/>
                </a:lnTo>
                <a:lnTo>
                  <a:pt x="540" y="1591"/>
                </a:lnTo>
                <a:lnTo>
                  <a:pt x="578" y="1604"/>
                </a:lnTo>
                <a:lnTo>
                  <a:pt x="620" y="1616"/>
                </a:lnTo>
                <a:lnTo>
                  <a:pt x="620" y="1113"/>
                </a:lnTo>
                <a:lnTo>
                  <a:pt x="551" y="1097"/>
                </a:lnTo>
                <a:lnTo>
                  <a:pt x="487" y="1080"/>
                </a:lnTo>
                <a:lnTo>
                  <a:pt x="427" y="1062"/>
                </a:lnTo>
                <a:lnTo>
                  <a:pt x="372" y="1043"/>
                </a:lnTo>
                <a:lnTo>
                  <a:pt x="322" y="1024"/>
                </a:lnTo>
                <a:lnTo>
                  <a:pt x="276" y="1003"/>
                </a:lnTo>
                <a:lnTo>
                  <a:pt x="234" y="977"/>
                </a:lnTo>
                <a:lnTo>
                  <a:pt x="195" y="949"/>
                </a:lnTo>
                <a:lnTo>
                  <a:pt x="159" y="918"/>
                </a:lnTo>
                <a:lnTo>
                  <a:pt x="128" y="883"/>
                </a:lnTo>
                <a:lnTo>
                  <a:pt x="105" y="851"/>
                </a:lnTo>
                <a:lnTo>
                  <a:pt x="86" y="817"/>
                </a:lnTo>
                <a:lnTo>
                  <a:pt x="72" y="779"/>
                </a:lnTo>
                <a:lnTo>
                  <a:pt x="61" y="739"/>
                </a:lnTo>
                <a:lnTo>
                  <a:pt x="54" y="696"/>
                </a:lnTo>
                <a:lnTo>
                  <a:pt x="52" y="650"/>
                </a:lnTo>
                <a:lnTo>
                  <a:pt x="55" y="604"/>
                </a:lnTo>
                <a:lnTo>
                  <a:pt x="61" y="561"/>
                </a:lnTo>
                <a:lnTo>
                  <a:pt x="74" y="520"/>
                </a:lnTo>
                <a:lnTo>
                  <a:pt x="90" y="481"/>
                </a:lnTo>
                <a:lnTo>
                  <a:pt x="110" y="444"/>
                </a:lnTo>
                <a:lnTo>
                  <a:pt x="135" y="409"/>
                </a:lnTo>
                <a:lnTo>
                  <a:pt x="165" y="376"/>
                </a:lnTo>
                <a:lnTo>
                  <a:pt x="199" y="345"/>
                </a:lnTo>
                <a:lnTo>
                  <a:pt x="238" y="316"/>
                </a:lnTo>
                <a:lnTo>
                  <a:pt x="280" y="291"/>
                </a:lnTo>
                <a:lnTo>
                  <a:pt x="327" y="269"/>
                </a:lnTo>
                <a:lnTo>
                  <a:pt x="377" y="250"/>
                </a:lnTo>
                <a:lnTo>
                  <a:pt x="432" y="234"/>
                </a:lnTo>
                <a:lnTo>
                  <a:pt x="491" y="221"/>
                </a:lnTo>
                <a:lnTo>
                  <a:pt x="553" y="212"/>
                </a:lnTo>
                <a:lnTo>
                  <a:pt x="620" y="205"/>
                </a:lnTo>
                <a:lnTo>
                  <a:pt x="620" y="91"/>
                </a:lnTo>
                <a:lnTo>
                  <a:pt x="622" y="67"/>
                </a:lnTo>
                <a:lnTo>
                  <a:pt x="627" y="47"/>
                </a:lnTo>
                <a:lnTo>
                  <a:pt x="636" y="30"/>
                </a:lnTo>
                <a:lnTo>
                  <a:pt x="648" y="17"/>
                </a:lnTo>
                <a:lnTo>
                  <a:pt x="663" y="8"/>
                </a:lnTo>
                <a:lnTo>
                  <a:pt x="682" y="2"/>
                </a:lnTo>
                <a:lnTo>
                  <a:pt x="704" y="0"/>
                </a:lnTo>
                <a:close/>
              </a:path>
            </a:pathLst>
          </a:custGeom>
          <a:solidFill>
            <a:schemeClr val="tx2"/>
          </a:solidFill>
          <a:ln w="0">
            <a:noFill/>
            <a:prstDash val="solid"/>
            <a:round/>
            <a:headEnd/>
            <a:tailEnd/>
          </a:ln>
        </xdr:spPr>
      </xdr:sp>
    </xdr:grpSp>
    <xdr:clientData/>
  </xdr:twoCellAnchor>
  <xdr:twoCellAnchor>
    <xdr:from>
      <xdr:col>8</xdr:col>
      <xdr:colOff>419099</xdr:colOff>
      <xdr:row>0</xdr:row>
      <xdr:rowOff>38100</xdr:rowOff>
    </xdr:from>
    <xdr:to>
      <xdr:col>14</xdr:col>
      <xdr:colOff>447674</xdr:colOff>
      <xdr:row>0</xdr:row>
      <xdr:rowOff>390525</xdr:rowOff>
    </xdr:to>
    <xdr:sp macro="" textlink="">
      <xdr:nvSpPr>
        <xdr:cNvPr id="2" name="Family Name" descr="&quot;&quot;" title="Click here to personalize this template for your family">
          <a:hlinkClick xmlns:r="http://schemas.openxmlformats.org/officeDocument/2006/relationships" r:id="rId4" tooltip="Click here to personalize this template for your family"/>
          <a:extLst>
            <a:ext uri="{FF2B5EF4-FFF2-40B4-BE49-F238E27FC236}">
              <a16:creationId xmlns:a16="http://schemas.microsoft.com/office/drawing/2014/main" id="{00000000-0008-0000-0000-000002000000}"/>
            </a:ext>
          </a:extLst>
        </xdr:cNvPr>
        <xdr:cNvSpPr/>
      </xdr:nvSpPr>
      <xdr:spPr>
        <a:xfrm>
          <a:off x="5791199" y="38100"/>
          <a:ext cx="414337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j-lt"/>
          </a:endParaRPr>
        </a:p>
      </xdr:txBody>
    </xdr:sp>
    <xdr:clientData/>
  </xdr:twoCellAnchor>
  <xdr:twoCellAnchor editAs="oneCell">
    <xdr:from>
      <xdr:col>0</xdr:col>
      <xdr:colOff>238125</xdr:colOff>
      <xdr:row>9</xdr:row>
      <xdr:rowOff>161925</xdr:rowOff>
    </xdr:from>
    <xdr:to>
      <xdr:col>4</xdr:col>
      <xdr:colOff>342900</xdr:colOff>
      <xdr:row>16</xdr:row>
      <xdr:rowOff>47625</xdr:rowOff>
    </xdr:to>
    <xdr:pic>
      <xdr:nvPicPr>
        <xdr:cNvPr id="21" name="Picture 20" hidden="1">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38125" y="2181225"/>
          <a:ext cx="2438400" cy="1219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0</xdr:row>
      <xdr:rowOff>0</xdr:rowOff>
    </xdr:from>
    <xdr:to>
      <xdr:col>20</xdr:col>
      <xdr:colOff>226695</xdr:colOff>
      <xdr:row>1</xdr:row>
      <xdr:rowOff>261</xdr:rowOff>
    </xdr:to>
    <xdr:sp macro="" textlink="">
      <xdr:nvSpPr>
        <xdr:cNvPr id="2" name="Header Border" descr="&quot;&quot;" title="Header border">
          <a:extLst>
            <a:ext uri="{FF2B5EF4-FFF2-40B4-BE49-F238E27FC236}">
              <a16:creationId xmlns:a16="http://schemas.microsoft.com/office/drawing/2014/main" id="{00000000-0008-0000-0100-000002000000}"/>
            </a:ext>
          </a:extLst>
        </xdr:cNvPr>
        <xdr:cNvSpPr/>
      </xdr:nvSpPr>
      <xdr:spPr>
        <a:xfrm>
          <a:off x="10715625" y="0"/>
          <a:ext cx="2103120" cy="438411"/>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xdr:from>
      <xdr:col>1</xdr:col>
      <xdr:colOff>180975</xdr:colOff>
      <xdr:row>0</xdr:row>
      <xdr:rowOff>0</xdr:rowOff>
    </xdr:from>
    <xdr:to>
      <xdr:col>1</xdr:col>
      <xdr:colOff>1433517</xdr:colOff>
      <xdr:row>2</xdr:row>
      <xdr:rowOff>109537</xdr:rowOff>
    </xdr:to>
    <xdr:grpSp>
      <xdr:nvGrpSpPr>
        <xdr:cNvPr id="4" name="Group 3" descr="&quot;&quot;" title="Starting Balance">
          <a:extLst>
            <a:ext uri="{FF2B5EF4-FFF2-40B4-BE49-F238E27FC236}">
              <a16:creationId xmlns:a16="http://schemas.microsoft.com/office/drawing/2014/main" id="{00000000-0008-0000-0100-000004000000}"/>
            </a:ext>
          </a:extLst>
        </xdr:cNvPr>
        <xdr:cNvGrpSpPr/>
      </xdr:nvGrpSpPr>
      <xdr:grpSpPr>
        <a:xfrm>
          <a:off x="304800" y="0"/>
          <a:ext cx="1252542" cy="757237"/>
          <a:chOff x="304800" y="0"/>
          <a:chExt cx="1252542" cy="757237"/>
        </a:xfrm>
      </xdr:grpSpPr>
      <xdr:sp macro="" textlink="">
        <xdr:nvSpPr>
          <xdr:cNvPr id="24" name="Pentagon 23" descr="&quot;&quot;" title="Starting Balance">
            <a:extLst>
              <a:ext uri="{FF2B5EF4-FFF2-40B4-BE49-F238E27FC236}">
                <a16:creationId xmlns:a16="http://schemas.microsoft.com/office/drawing/2014/main" id="{00000000-0008-0000-0100-000018000000}"/>
              </a:ext>
            </a:extLst>
          </xdr:cNvPr>
          <xdr:cNvSpPr/>
        </xdr:nvSpPr>
        <xdr:spPr>
          <a:xfrm rot="5400000">
            <a:off x="552452" y="-247652"/>
            <a:ext cx="757237" cy="1252542"/>
          </a:xfrm>
          <a:prstGeom prst="homePlate">
            <a:avLst>
              <a:gd name="adj" fmla="val 2158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5" name="Group 24">
            <a:extLst>
              <a:ext uri="{FF2B5EF4-FFF2-40B4-BE49-F238E27FC236}">
                <a16:creationId xmlns:a16="http://schemas.microsoft.com/office/drawing/2014/main" id="{00000000-0008-0000-0100-000019000000}"/>
              </a:ext>
            </a:extLst>
          </xdr:cNvPr>
          <xdr:cNvGrpSpPr/>
        </xdr:nvGrpSpPr>
        <xdr:grpSpPr>
          <a:xfrm>
            <a:off x="380561" y="33337"/>
            <a:ext cx="1097282" cy="576263"/>
            <a:chOff x="816249" y="19050"/>
            <a:chExt cx="1130659" cy="576263"/>
          </a:xfrm>
        </xdr:grpSpPr>
        <xdr:sp macro="" textlink="">
          <xdr:nvSpPr>
            <xdr:cNvPr id="26" name="TextBox25">
              <a:extLst>
                <a:ext uri="{FF2B5EF4-FFF2-40B4-BE49-F238E27FC236}">
                  <a16:creationId xmlns:a16="http://schemas.microsoft.com/office/drawing/2014/main" id="{00000000-0008-0000-0100-00001A000000}"/>
                </a:ext>
              </a:extLst>
            </xdr:cNvPr>
            <xdr:cNvSpPr txBox="1"/>
          </xdr:nvSpPr>
          <xdr:spPr>
            <a:xfrm>
              <a:off x="816250" y="19050"/>
              <a:ext cx="11306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1" spc="50" baseline="0">
                  <a:solidFill>
                    <a:schemeClr val="bg1"/>
                  </a:solidFill>
                  <a:latin typeface="+mj-lt"/>
                </a:rPr>
                <a:t>starting balance</a:t>
              </a:r>
            </a:p>
          </xdr:txBody>
        </xdr:sp>
        <xdr:sp macro="" textlink="StartingBalance">
          <xdr:nvSpPr>
            <xdr:cNvPr id="27" name="TextBox 26">
              <a:extLst>
                <a:ext uri="{FF2B5EF4-FFF2-40B4-BE49-F238E27FC236}">
                  <a16:creationId xmlns:a16="http://schemas.microsoft.com/office/drawing/2014/main" id="{00000000-0008-0000-0100-00001B000000}"/>
                </a:ext>
              </a:extLst>
            </xdr:cNvPr>
            <xdr:cNvSpPr txBox="1"/>
          </xdr:nvSpPr>
          <xdr:spPr>
            <a:xfrm>
              <a:off x="816249" y="242888"/>
              <a:ext cx="1130657"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2B216359-7D6C-4C16-9AE0-5BD22C726D6B}" type="TxLink">
                <a:rPr lang="en-US" sz="1800" b="1" i="0" u="none" strike="noStrike" spc="50" baseline="0">
                  <a:solidFill>
                    <a:schemeClr val="bg1"/>
                  </a:solidFill>
                  <a:latin typeface="+mj-lt"/>
                </a:rPr>
                <a:pPr algn="ctr"/>
                <a:t>15621</a:t>
              </a:fld>
              <a:endParaRPr lang="en-US" sz="1800" b="1" spc="50" baseline="0">
                <a:solidFill>
                  <a:schemeClr val="bg1"/>
                </a:solidFill>
                <a:latin typeface="+mj-lt"/>
              </a:endParaRPr>
            </a:p>
          </xdr:txBody>
        </xdr:sp>
      </xdr:grpSp>
    </xdr:grpSp>
    <xdr:clientData/>
  </xdr:twoCellAnchor>
  <xdr:twoCellAnchor>
    <xdr:from>
      <xdr:col>17</xdr:col>
      <xdr:colOff>443744</xdr:colOff>
      <xdr:row>0</xdr:row>
      <xdr:rowOff>95251</xdr:rowOff>
    </xdr:from>
    <xdr:to>
      <xdr:col>20</xdr:col>
      <xdr:colOff>77984</xdr:colOff>
      <xdr:row>0</xdr:row>
      <xdr:rowOff>333375</xdr:rowOff>
    </xdr:to>
    <xdr:sp macro="" textlink="">
      <xdr:nvSpPr>
        <xdr:cNvPr id="34" name="Back to Overview" descr="Click to return to the Dashboard sheet" title="Back to Overview">
          <a:hlinkClick xmlns:r="http://schemas.openxmlformats.org/officeDocument/2006/relationships" r:id="rId1" tooltip="Click to return to the Dashboard"/>
          <a:extLst>
            <a:ext uri="{FF2B5EF4-FFF2-40B4-BE49-F238E27FC236}">
              <a16:creationId xmlns:a16="http://schemas.microsoft.com/office/drawing/2014/main" id="{00000000-0008-0000-0100-000022000000}"/>
            </a:ext>
          </a:extLst>
        </xdr:cNvPr>
        <xdr:cNvSpPr txBox="1"/>
      </xdr:nvSpPr>
      <xdr:spPr>
        <a:xfrm>
          <a:off x="11206994" y="95251"/>
          <a:ext cx="1463040" cy="238124"/>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800" b="1" spc="40" baseline="0">
              <a:solidFill>
                <a:schemeClr val="bg1"/>
              </a:solidFill>
              <a:latin typeface="+mj-lt"/>
            </a:rPr>
            <a:t>back to overview</a:t>
          </a:r>
        </a:p>
      </xdr:txBody>
    </xdr:sp>
    <xdr:clientData fPrintsWithSheet="0"/>
  </xdr:twoCellAnchor>
  <xdr:twoCellAnchor editAs="oneCell">
    <xdr:from>
      <xdr:col>17</xdr:col>
      <xdr:colOff>180975</xdr:colOff>
      <xdr:row>0</xdr:row>
      <xdr:rowOff>28575</xdr:rowOff>
    </xdr:from>
    <xdr:to>
      <xdr:col>17</xdr:col>
      <xdr:colOff>546735</xdr:colOff>
      <xdr:row>0</xdr:row>
      <xdr:rowOff>394335</xdr:rowOff>
    </xdr:to>
    <xdr:grpSp>
      <xdr:nvGrpSpPr>
        <xdr:cNvPr id="30" name="shpGauge" descr="&quot;&quot;" title="Dashboard icon">
          <a:extLst>
            <a:ext uri="{FF2B5EF4-FFF2-40B4-BE49-F238E27FC236}">
              <a16:creationId xmlns:a16="http://schemas.microsoft.com/office/drawing/2014/main" id="{00000000-0008-0000-0100-00001E000000}"/>
            </a:ext>
          </a:extLst>
        </xdr:cNvPr>
        <xdr:cNvGrpSpPr>
          <a:grpSpLocks noChangeAspect="1"/>
        </xdr:cNvGrpSpPr>
      </xdr:nvGrpSpPr>
      <xdr:grpSpPr bwMode="auto">
        <a:xfrm>
          <a:off x="10944225" y="28575"/>
          <a:ext cx="365760" cy="365760"/>
          <a:chOff x="695" y="842"/>
          <a:chExt cx="45" cy="45"/>
        </a:xfrm>
      </xdr:grpSpPr>
      <xdr:sp macro="" textlink="">
        <xdr:nvSpPr>
          <xdr:cNvPr id="31" name="Rectangle 60">
            <a:extLst>
              <a:ext uri="{FF2B5EF4-FFF2-40B4-BE49-F238E27FC236}">
                <a16:creationId xmlns:a16="http://schemas.microsoft.com/office/drawing/2014/main" id="{00000000-0008-0000-0100-00001F000000}"/>
              </a:ext>
            </a:extLst>
          </xdr:cNvPr>
          <xdr:cNvSpPr>
            <a:spLocks noChangeArrowheads="1"/>
          </xdr:cNvSpPr>
        </xdr:nvSpPr>
        <xdr:spPr bwMode="auto">
          <a:xfrm>
            <a:off x="695" y="842"/>
            <a:ext cx="45" cy="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2" name="Freeform 61">
            <a:extLst>
              <a:ext uri="{FF2B5EF4-FFF2-40B4-BE49-F238E27FC236}">
                <a16:creationId xmlns:a16="http://schemas.microsoft.com/office/drawing/2014/main" id="{00000000-0008-0000-0100-000020000000}"/>
              </a:ext>
            </a:extLst>
          </xdr:cNvPr>
          <xdr:cNvSpPr>
            <a:spLocks/>
          </xdr:cNvSpPr>
        </xdr:nvSpPr>
        <xdr:spPr bwMode="auto">
          <a:xfrm>
            <a:off x="695" y="842"/>
            <a:ext cx="44" cy="44"/>
          </a:xfrm>
          <a:custGeom>
            <a:avLst/>
            <a:gdLst>
              <a:gd name="T0" fmla="*/ 1672 w 3238"/>
              <a:gd name="T1" fmla="*/ 18 h 3203"/>
              <a:gd name="T2" fmla="*/ 2098 w 3238"/>
              <a:gd name="T3" fmla="*/ 88 h 3203"/>
              <a:gd name="T4" fmla="*/ 2165 w 3238"/>
              <a:gd name="T5" fmla="*/ 95 h 3203"/>
              <a:gd name="T6" fmla="*/ 2274 w 3238"/>
              <a:gd name="T7" fmla="*/ 416 h 3203"/>
              <a:gd name="T8" fmla="*/ 2603 w 3238"/>
              <a:gd name="T9" fmla="*/ 332 h 3203"/>
              <a:gd name="T10" fmla="*/ 2646 w 3238"/>
              <a:gd name="T11" fmla="*/ 386 h 3203"/>
              <a:gd name="T12" fmla="*/ 2936 w 3238"/>
              <a:gd name="T13" fmla="*/ 704 h 3203"/>
              <a:gd name="T14" fmla="*/ 2986 w 3238"/>
              <a:gd name="T15" fmla="*/ 751 h 3203"/>
              <a:gd name="T16" fmla="*/ 2874 w 3238"/>
              <a:gd name="T17" fmla="*/ 1064 h 3203"/>
              <a:gd name="T18" fmla="*/ 3186 w 3238"/>
              <a:gd name="T19" fmla="*/ 1201 h 3203"/>
              <a:gd name="T20" fmla="*/ 3186 w 3238"/>
              <a:gd name="T21" fmla="*/ 1269 h 3203"/>
              <a:gd name="T22" fmla="*/ 3225 w 3238"/>
              <a:gd name="T23" fmla="*/ 1696 h 3203"/>
              <a:gd name="T24" fmla="*/ 3234 w 3238"/>
              <a:gd name="T25" fmla="*/ 1765 h 3203"/>
              <a:gd name="T26" fmla="*/ 2944 w 3238"/>
              <a:gd name="T27" fmla="*/ 1940 h 3203"/>
              <a:gd name="T28" fmla="*/ 3114 w 3238"/>
              <a:gd name="T29" fmla="*/ 2241 h 3203"/>
              <a:gd name="T30" fmla="*/ 3073 w 3238"/>
              <a:gd name="T31" fmla="*/ 2295 h 3203"/>
              <a:gd name="T32" fmla="*/ 2835 w 3238"/>
              <a:gd name="T33" fmla="*/ 2661 h 3203"/>
              <a:gd name="T34" fmla="*/ 2802 w 3238"/>
              <a:gd name="T35" fmla="*/ 2722 h 3203"/>
              <a:gd name="T36" fmla="*/ 2466 w 3238"/>
              <a:gd name="T37" fmla="*/ 2690 h 3203"/>
              <a:gd name="T38" fmla="*/ 2408 w 3238"/>
              <a:gd name="T39" fmla="*/ 3020 h 3203"/>
              <a:gd name="T40" fmla="*/ 2343 w 3238"/>
              <a:gd name="T41" fmla="*/ 3037 h 3203"/>
              <a:gd name="T42" fmla="*/ 1933 w 3238"/>
              <a:gd name="T43" fmla="*/ 3176 h 3203"/>
              <a:gd name="T44" fmla="*/ 1883 w 3238"/>
              <a:gd name="T45" fmla="*/ 3203 h 3203"/>
              <a:gd name="T46" fmla="*/ 1834 w 3238"/>
              <a:gd name="T47" fmla="*/ 3190 h 3203"/>
              <a:gd name="T48" fmla="*/ 1402 w 3238"/>
              <a:gd name="T49" fmla="*/ 3192 h 3203"/>
              <a:gd name="T50" fmla="*/ 1333 w 3238"/>
              <a:gd name="T51" fmla="*/ 3197 h 3203"/>
              <a:gd name="T52" fmla="*/ 1174 w 3238"/>
              <a:gd name="T53" fmla="*/ 2900 h 3203"/>
              <a:gd name="T54" fmla="*/ 862 w 3238"/>
              <a:gd name="T55" fmla="*/ 3037 h 3203"/>
              <a:gd name="T56" fmla="*/ 812 w 3238"/>
              <a:gd name="T57" fmla="*/ 2991 h 3203"/>
              <a:gd name="T58" fmla="*/ 475 w 3238"/>
              <a:gd name="T59" fmla="*/ 2733 h 3203"/>
              <a:gd name="T60" fmla="*/ 418 w 3238"/>
              <a:gd name="T61" fmla="*/ 2694 h 3203"/>
              <a:gd name="T62" fmla="*/ 477 w 3238"/>
              <a:gd name="T63" fmla="*/ 2358 h 3203"/>
              <a:gd name="T64" fmla="*/ 140 w 3238"/>
              <a:gd name="T65" fmla="*/ 2274 h 3203"/>
              <a:gd name="T66" fmla="*/ 128 w 3238"/>
              <a:gd name="T67" fmla="*/ 2207 h 3203"/>
              <a:gd name="T68" fmla="*/ 24 w 3238"/>
              <a:gd name="T69" fmla="*/ 1794 h 3203"/>
              <a:gd name="T70" fmla="*/ 1 w 3238"/>
              <a:gd name="T71" fmla="*/ 1728 h 3203"/>
              <a:gd name="T72" fmla="*/ 257 w 3238"/>
              <a:gd name="T73" fmla="*/ 1494 h 3203"/>
              <a:gd name="T74" fmla="*/ 45 w 3238"/>
              <a:gd name="T75" fmla="*/ 1236 h 3203"/>
              <a:gd name="T76" fmla="*/ 77 w 3238"/>
              <a:gd name="T77" fmla="*/ 1175 h 3203"/>
              <a:gd name="T78" fmla="*/ 250 w 3238"/>
              <a:gd name="T79" fmla="*/ 785 h 3203"/>
              <a:gd name="T80" fmla="*/ 273 w 3238"/>
              <a:gd name="T81" fmla="*/ 721 h 3203"/>
              <a:gd name="T82" fmla="*/ 611 w 3238"/>
              <a:gd name="T83" fmla="*/ 695 h 3203"/>
              <a:gd name="T84" fmla="*/ 614 w 3238"/>
              <a:gd name="T85" fmla="*/ 354 h 3203"/>
              <a:gd name="T86" fmla="*/ 676 w 3238"/>
              <a:gd name="T87" fmla="*/ 326 h 3203"/>
              <a:gd name="T88" fmla="*/ 1050 w 3238"/>
              <a:gd name="T89" fmla="*/ 121 h 3203"/>
              <a:gd name="T90" fmla="*/ 1108 w 3238"/>
              <a:gd name="T91" fmla="*/ 83 h 3203"/>
              <a:gd name="T92" fmla="*/ 1394 w 3238"/>
              <a:gd name="T93" fmla="*/ 269 h 3203"/>
              <a:gd name="T94" fmla="*/ 1604 w 3238"/>
              <a:gd name="T95" fmla="*/ 3 h 3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38" h="3203">
                <a:moveTo>
                  <a:pt x="1623" y="0"/>
                </a:moveTo>
                <a:lnTo>
                  <a:pt x="1641" y="2"/>
                </a:lnTo>
                <a:lnTo>
                  <a:pt x="1657" y="8"/>
                </a:lnTo>
                <a:lnTo>
                  <a:pt x="1672" y="18"/>
                </a:lnTo>
                <a:lnTo>
                  <a:pt x="1684" y="32"/>
                </a:lnTo>
                <a:lnTo>
                  <a:pt x="1843" y="268"/>
                </a:lnTo>
                <a:lnTo>
                  <a:pt x="2081" y="96"/>
                </a:lnTo>
                <a:lnTo>
                  <a:pt x="2098" y="88"/>
                </a:lnTo>
                <a:lnTo>
                  <a:pt x="2115" y="84"/>
                </a:lnTo>
                <a:lnTo>
                  <a:pt x="2132" y="83"/>
                </a:lnTo>
                <a:lnTo>
                  <a:pt x="2150" y="87"/>
                </a:lnTo>
                <a:lnTo>
                  <a:pt x="2165" y="95"/>
                </a:lnTo>
                <a:lnTo>
                  <a:pt x="2179" y="106"/>
                </a:lnTo>
                <a:lnTo>
                  <a:pt x="2189" y="120"/>
                </a:lnTo>
                <a:lnTo>
                  <a:pt x="2196" y="136"/>
                </a:lnTo>
                <a:lnTo>
                  <a:pt x="2274" y="416"/>
                </a:lnTo>
                <a:lnTo>
                  <a:pt x="2551" y="329"/>
                </a:lnTo>
                <a:lnTo>
                  <a:pt x="2568" y="326"/>
                </a:lnTo>
                <a:lnTo>
                  <a:pt x="2586" y="327"/>
                </a:lnTo>
                <a:lnTo>
                  <a:pt x="2603" y="332"/>
                </a:lnTo>
                <a:lnTo>
                  <a:pt x="2618" y="342"/>
                </a:lnTo>
                <a:lnTo>
                  <a:pt x="2631" y="354"/>
                </a:lnTo>
                <a:lnTo>
                  <a:pt x="2641" y="369"/>
                </a:lnTo>
                <a:lnTo>
                  <a:pt x="2646" y="386"/>
                </a:lnTo>
                <a:lnTo>
                  <a:pt x="2647" y="404"/>
                </a:lnTo>
                <a:lnTo>
                  <a:pt x="2626" y="695"/>
                </a:lnTo>
                <a:lnTo>
                  <a:pt x="2918" y="701"/>
                </a:lnTo>
                <a:lnTo>
                  <a:pt x="2936" y="704"/>
                </a:lnTo>
                <a:lnTo>
                  <a:pt x="2952" y="711"/>
                </a:lnTo>
                <a:lnTo>
                  <a:pt x="2967" y="721"/>
                </a:lnTo>
                <a:lnTo>
                  <a:pt x="2979" y="735"/>
                </a:lnTo>
                <a:lnTo>
                  <a:pt x="2986" y="751"/>
                </a:lnTo>
                <a:lnTo>
                  <a:pt x="2990" y="768"/>
                </a:lnTo>
                <a:lnTo>
                  <a:pt x="2989" y="786"/>
                </a:lnTo>
                <a:lnTo>
                  <a:pt x="2984" y="804"/>
                </a:lnTo>
                <a:lnTo>
                  <a:pt x="2874" y="1064"/>
                </a:lnTo>
                <a:lnTo>
                  <a:pt x="3146" y="1166"/>
                </a:lnTo>
                <a:lnTo>
                  <a:pt x="3162" y="1175"/>
                </a:lnTo>
                <a:lnTo>
                  <a:pt x="3176" y="1187"/>
                </a:lnTo>
                <a:lnTo>
                  <a:pt x="3186" y="1201"/>
                </a:lnTo>
                <a:lnTo>
                  <a:pt x="3192" y="1218"/>
                </a:lnTo>
                <a:lnTo>
                  <a:pt x="3194" y="1235"/>
                </a:lnTo>
                <a:lnTo>
                  <a:pt x="3192" y="1253"/>
                </a:lnTo>
                <a:lnTo>
                  <a:pt x="3186" y="1269"/>
                </a:lnTo>
                <a:lnTo>
                  <a:pt x="3176" y="1284"/>
                </a:lnTo>
                <a:lnTo>
                  <a:pt x="2986" y="1494"/>
                </a:lnTo>
                <a:lnTo>
                  <a:pt x="3213" y="1683"/>
                </a:lnTo>
                <a:lnTo>
                  <a:pt x="3225" y="1696"/>
                </a:lnTo>
                <a:lnTo>
                  <a:pt x="3234" y="1712"/>
                </a:lnTo>
                <a:lnTo>
                  <a:pt x="3238" y="1729"/>
                </a:lnTo>
                <a:lnTo>
                  <a:pt x="3238" y="1746"/>
                </a:lnTo>
                <a:lnTo>
                  <a:pt x="3234" y="1765"/>
                </a:lnTo>
                <a:lnTo>
                  <a:pt x="3226" y="1781"/>
                </a:lnTo>
                <a:lnTo>
                  <a:pt x="3215" y="1794"/>
                </a:lnTo>
                <a:lnTo>
                  <a:pt x="3200" y="1805"/>
                </a:lnTo>
                <a:lnTo>
                  <a:pt x="2944" y="1940"/>
                </a:lnTo>
                <a:lnTo>
                  <a:pt x="3103" y="2190"/>
                </a:lnTo>
                <a:lnTo>
                  <a:pt x="3111" y="2206"/>
                </a:lnTo>
                <a:lnTo>
                  <a:pt x="3114" y="2224"/>
                </a:lnTo>
                <a:lnTo>
                  <a:pt x="3114" y="2241"/>
                </a:lnTo>
                <a:lnTo>
                  <a:pt x="3109" y="2258"/>
                </a:lnTo>
                <a:lnTo>
                  <a:pt x="3100" y="2274"/>
                </a:lnTo>
                <a:lnTo>
                  <a:pt x="3087" y="2286"/>
                </a:lnTo>
                <a:lnTo>
                  <a:pt x="3073" y="2295"/>
                </a:lnTo>
                <a:lnTo>
                  <a:pt x="3055" y="2301"/>
                </a:lnTo>
                <a:lnTo>
                  <a:pt x="2767" y="2358"/>
                </a:lnTo>
                <a:lnTo>
                  <a:pt x="2833" y="2643"/>
                </a:lnTo>
                <a:lnTo>
                  <a:pt x="2835" y="2661"/>
                </a:lnTo>
                <a:lnTo>
                  <a:pt x="2833" y="2678"/>
                </a:lnTo>
                <a:lnTo>
                  <a:pt x="2827" y="2694"/>
                </a:lnTo>
                <a:lnTo>
                  <a:pt x="2816" y="2709"/>
                </a:lnTo>
                <a:lnTo>
                  <a:pt x="2802" y="2722"/>
                </a:lnTo>
                <a:lnTo>
                  <a:pt x="2786" y="2729"/>
                </a:lnTo>
                <a:lnTo>
                  <a:pt x="2769" y="2733"/>
                </a:lnTo>
                <a:lnTo>
                  <a:pt x="2751" y="2733"/>
                </a:lnTo>
                <a:lnTo>
                  <a:pt x="2466" y="2690"/>
                </a:lnTo>
                <a:lnTo>
                  <a:pt x="2433" y="2975"/>
                </a:lnTo>
                <a:lnTo>
                  <a:pt x="2428" y="2992"/>
                </a:lnTo>
                <a:lnTo>
                  <a:pt x="2420" y="3007"/>
                </a:lnTo>
                <a:lnTo>
                  <a:pt x="2408" y="3020"/>
                </a:lnTo>
                <a:lnTo>
                  <a:pt x="2394" y="3031"/>
                </a:lnTo>
                <a:lnTo>
                  <a:pt x="2377" y="3037"/>
                </a:lnTo>
                <a:lnTo>
                  <a:pt x="2360" y="3039"/>
                </a:lnTo>
                <a:lnTo>
                  <a:pt x="2343" y="3037"/>
                </a:lnTo>
                <a:lnTo>
                  <a:pt x="2326" y="3032"/>
                </a:lnTo>
                <a:lnTo>
                  <a:pt x="2063" y="2900"/>
                </a:lnTo>
                <a:lnTo>
                  <a:pt x="1943" y="3160"/>
                </a:lnTo>
                <a:lnTo>
                  <a:pt x="1933" y="3176"/>
                </a:lnTo>
                <a:lnTo>
                  <a:pt x="1921" y="3188"/>
                </a:lnTo>
                <a:lnTo>
                  <a:pt x="1906" y="3197"/>
                </a:lnTo>
                <a:lnTo>
                  <a:pt x="1889" y="3202"/>
                </a:lnTo>
                <a:lnTo>
                  <a:pt x="1883" y="3203"/>
                </a:lnTo>
                <a:lnTo>
                  <a:pt x="1875" y="3203"/>
                </a:lnTo>
                <a:lnTo>
                  <a:pt x="1861" y="3201"/>
                </a:lnTo>
                <a:lnTo>
                  <a:pt x="1847" y="3197"/>
                </a:lnTo>
                <a:lnTo>
                  <a:pt x="1834" y="3190"/>
                </a:lnTo>
                <a:lnTo>
                  <a:pt x="1823" y="3180"/>
                </a:lnTo>
                <a:lnTo>
                  <a:pt x="1622" y="2970"/>
                </a:lnTo>
                <a:lnTo>
                  <a:pt x="1416" y="3181"/>
                </a:lnTo>
                <a:lnTo>
                  <a:pt x="1402" y="3192"/>
                </a:lnTo>
                <a:lnTo>
                  <a:pt x="1386" y="3200"/>
                </a:lnTo>
                <a:lnTo>
                  <a:pt x="1369" y="3203"/>
                </a:lnTo>
                <a:lnTo>
                  <a:pt x="1351" y="3202"/>
                </a:lnTo>
                <a:lnTo>
                  <a:pt x="1333" y="3197"/>
                </a:lnTo>
                <a:lnTo>
                  <a:pt x="1318" y="3188"/>
                </a:lnTo>
                <a:lnTo>
                  <a:pt x="1306" y="3176"/>
                </a:lnTo>
                <a:lnTo>
                  <a:pt x="1296" y="3161"/>
                </a:lnTo>
                <a:lnTo>
                  <a:pt x="1174" y="2900"/>
                </a:lnTo>
                <a:lnTo>
                  <a:pt x="915" y="3031"/>
                </a:lnTo>
                <a:lnTo>
                  <a:pt x="897" y="3037"/>
                </a:lnTo>
                <a:lnTo>
                  <a:pt x="879" y="3039"/>
                </a:lnTo>
                <a:lnTo>
                  <a:pt x="862" y="3037"/>
                </a:lnTo>
                <a:lnTo>
                  <a:pt x="846" y="3031"/>
                </a:lnTo>
                <a:lnTo>
                  <a:pt x="831" y="3020"/>
                </a:lnTo>
                <a:lnTo>
                  <a:pt x="820" y="3007"/>
                </a:lnTo>
                <a:lnTo>
                  <a:pt x="812" y="2991"/>
                </a:lnTo>
                <a:lnTo>
                  <a:pt x="808" y="2974"/>
                </a:lnTo>
                <a:lnTo>
                  <a:pt x="777" y="2690"/>
                </a:lnTo>
                <a:lnTo>
                  <a:pt x="494" y="2733"/>
                </a:lnTo>
                <a:lnTo>
                  <a:pt x="475" y="2733"/>
                </a:lnTo>
                <a:lnTo>
                  <a:pt x="458" y="2730"/>
                </a:lnTo>
                <a:lnTo>
                  <a:pt x="442" y="2722"/>
                </a:lnTo>
                <a:lnTo>
                  <a:pt x="428" y="2709"/>
                </a:lnTo>
                <a:lnTo>
                  <a:pt x="418" y="2694"/>
                </a:lnTo>
                <a:lnTo>
                  <a:pt x="411" y="2678"/>
                </a:lnTo>
                <a:lnTo>
                  <a:pt x="409" y="2661"/>
                </a:lnTo>
                <a:lnTo>
                  <a:pt x="411" y="2643"/>
                </a:lnTo>
                <a:lnTo>
                  <a:pt x="477" y="2358"/>
                </a:lnTo>
                <a:lnTo>
                  <a:pt x="184" y="2301"/>
                </a:lnTo>
                <a:lnTo>
                  <a:pt x="168" y="2295"/>
                </a:lnTo>
                <a:lnTo>
                  <a:pt x="152" y="2286"/>
                </a:lnTo>
                <a:lnTo>
                  <a:pt x="140" y="2274"/>
                </a:lnTo>
                <a:lnTo>
                  <a:pt x="131" y="2258"/>
                </a:lnTo>
                <a:lnTo>
                  <a:pt x="126" y="2241"/>
                </a:lnTo>
                <a:lnTo>
                  <a:pt x="125" y="2224"/>
                </a:lnTo>
                <a:lnTo>
                  <a:pt x="128" y="2207"/>
                </a:lnTo>
                <a:lnTo>
                  <a:pt x="136" y="2191"/>
                </a:lnTo>
                <a:lnTo>
                  <a:pt x="293" y="1940"/>
                </a:lnTo>
                <a:lnTo>
                  <a:pt x="38" y="1804"/>
                </a:lnTo>
                <a:lnTo>
                  <a:pt x="24" y="1794"/>
                </a:lnTo>
                <a:lnTo>
                  <a:pt x="12" y="1780"/>
                </a:lnTo>
                <a:lnTo>
                  <a:pt x="4" y="1765"/>
                </a:lnTo>
                <a:lnTo>
                  <a:pt x="0" y="1746"/>
                </a:lnTo>
                <a:lnTo>
                  <a:pt x="1" y="1728"/>
                </a:lnTo>
                <a:lnTo>
                  <a:pt x="6" y="1711"/>
                </a:lnTo>
                <a:lnTo>
                  <a:pt x="14" y="1696"/>
                </a:lnTo>
                <a:lnTo>
                  <a:pt x="27" y="1683"/>
                </a:lnTo>
                <a:lnTo>
                  <a:pt x="257" y="1494"/>
                </a:lnTo>
                <a:lnTo>
                  <a:pt x="65" y="1284"/>
                </a:lnTo>
                <a:lnTo>
                  <a:pt x="53" y="1270"/>
                </a:lnTo>
                <a:lnTo>
                  <a:pt x="47" y="1253"/>
                </a:lnTo>
                <a:lnTo>
                  <a:pt x="45" y="1236"/>
                </a:lnTo>
                <a:lnTo>
                  <a:pt x="47" y="1218"/>
                </a:lnTo>
                <a:lnTo>
                  <a:pt x="53" y="1202"/>
                </a:lnTo>
                <a:lnTo>
                  <a:pt x="64" y="1187"/>
                </a:lnTo>
                <a:lnTo>
                  <a:pt x="77" y="1175"/>
                </a:lnTo>
                <a:lnTo>
                  <a:pt x="93" y="1167"/>
                </a:lnTo>
                <a:lnTo>
                  <a:pt x="363" y="1064"/>
                </a:lnTo>
                <a:lnTo>
                  <a:pt x="254" y="804"/>
                </a:lnTo>
                <a:lnTo>
                  <a:pt x="250" y="785"/>
                </a:lnTo>
                <a:lnTo>
                  <a:pt x="249" y="768"/>
                </a:lnTo>
                <a:lnTo>
                  <a:pt x="253" y="751"/>
                </a:lnTo>
                <a:lnTo>
                  <a:pt x="260" y="735"/>
                </a:lnTo>
                <a:lnTo>
                  <a:pt x="273" y="721"/>
                </a:lnTo>
                <a:lnTo>
                  <a:pt x="287" y="711"/>
                </a:lnTo>
                <a:lnTo>
                  <a:pt x="304" y="704"/>
                </a:lnTo>
                <a:lnTo>
                  <a:pt x="321" y="701"/>
                </a:lnTo>
                <a:lnTo>
                  <a:pt x="611" y="695"/>
                </a:lnTo>
                <a:lnTo>
                  <a:pt x="598" y="402"/>
                </a:lnTo>
                <a:lnTo>
                  <a:pt x="600" y="385"/>
                </a:lnTo>
                <a:lnTo>
                  <a:pt x="605" y="368"/>
                </a:lnTo>
                <a:lnTo>
                  <a:pt x="614" y="354"/>
                </a:lnTo>
                <a:lnTo>
                  <a:pt x="627" y="341"/>
                </a:lnTo>
                <a:lnTo>
                  <a:pt x="642" y="332"/>
                </a:lnTo>
                <a:lnTo>
                  <a:pt x="659" y="327"/>
                </a:lnTo>
                <a:lnTo>
                  <a:pt x="676" y="326"/>
                </a:lnTo>
                <a:lnTo>
                  <a:pt x="693" y="329"/>
                </a:lnTo>
                <a:lnTo>
                  <a:pt x="970" y="416"/>
                </a:lnTo>
                <a:lnTo>
                  <a:pt x="1044" y="137"/>
                </a:lnTo>
                <a:lnTo>
                  <a:pt x="1050" y="121"/>
                </a:lnTo>
                <a:lnTo>
                  <a:pt x="1060" y="106"/>
                </a:lnTo>
                <a:lnTo>
                  <a:pt x="1074" y="95"/>
                </a:lnTo>
                <a:lnTo>
                  <a:pt x="1090" y="87"/>
                </a:lnTo>
                <a:lnTo>
                  <a:pt x="1108" y="83"/>
                </a:lnTo>
                <a:lnTo>
                  <a:pt x="1125" y="84"/>
                </a:lnTo>
                <a:lnTo>
                  <a:pt x="1143" y="88"/>
                </a:lnTo>
                <a:lnTo>
                  <a:pt x="1158" y="97"/>
                </a:lnTo>
                <a:lnTo>
                  <a:pt x="1394" y="269"/>
                </a:lnTo>
                <a:lnTo>
                  <a:pt x="1562" y="31"/>
                </a:lnTo>
                <a:lnTo>
                  <a:pt x="1574" y="18"/>
                </a:lnTo>
                <a:lnTo>
                  <a:pt x="1588" y="9"/>
                </a:lnTo>
                <a:lnTo>
                  <a:pt x="1604" y="3"/>
                </a:lnTo>
                <a:lnTo>
                  <a:pt x="1623" y="0"/>
                </a:lnTo>
                <a:close/>
              </a:path>
            </a:pathLst>
          </a:custGeom>
          <a:solidFill>
            <a:srgbClr val="FFFFFF"/>
          </a:solidFill>
          <a:ln w="0">
            <a:solidFill>
              <a:srgbClr val="FFFFFF"/>
            </a:solidFill>
            <a:prstDash val="solid"/>
            <a:round/>
            <a:headEnd/>
            <a:tailEnd/>
          </a:ln>
        </xdr:spPr>
      </xdr:sp>
      <xdr:sp macro="" textlink="">
        <xdr:nvSpPr>
          <xdr:cNvPr id="33" name="Freeform 62">
            <a:extLst>
              <a:ext uri="{FF2B5EF4-FFF2-40B4-BE49-F238E27FC236}">
                <a16:creationId xmlns:a16="http://schemas.microsoft.com/office/drawing/2014/main" id="{00000000-0008-0000-0100-000021000000}"/>
              </a:ext>
            </a:extLst>
          </xdr:cNvPr>
          <xdr:cNvSpPr>
            <a:spLocks noEditPoints="1"/>
          </xdr:cNvSpPr>
        </xdr:nvSpPr>
        <xdr:spPr bwMode="auto">
          <a:xfrm>
            <a:off x="704" y="851"/>
            <a:ext cx="26" cy="26"/>
          </a:xfrm>
          <a:custGeom>
            <a:avLst/>
            <a:gdLst>
              <a:gd name="T0" fmla="*/ 866 w 1889"/>
              <a:gd name="T1" fmla="*/ 1272 h 1877"/>
              <a:gd name="T2" fmla="*/ 799 w 1889"/>
              <a:gd name="T3" fmla="*/ 1339 h 1877"/>
              <a:gd name="T4" fmla="*/ 772 w 1889"/>
              <a:gd name="T5" fmla="*/ 1435 h 1877"/>
              <a:gd name="T6" fmla="*/ 798 w 1889"/>
              <a:gd name="T7" fmla="*/ 1530 h 1877"/>
              <a:gd name="T8" fmla="*/ 866 w 1889"/>
              <a:gd name="T9" fmla="*/ 1597 h 1877"/>
              <a:gd name="T10" fmla="*/ 961 w 1889"/>
              <a:gd name="T11" fmla="*/ 1622 h 1877"/>
              <a:gd name="T12" fmla="*/ 1057 w 1889"/>
              <a:gd name="T13" fmla="*/ 1597 h 1877"/>
              <a:gd name="T14" fmla="*/ 1125 w 1889"/>
              <a:gd name="T15" fmla="*/ 1530 h 1877"/>
              <a:gd name="T16" fmla="*/ 1150 w 1889"/>
              <a:gd name="T17" fmla="*/ 1435 h 1877"/>
              <a:gd name="T18" fmla="*/ 1128 w 1889"/>
              <a:gd name="T19" fmla="*/ 1347 h 1877"/>
              <a:gd name="T20" fmla="*/ 1070 w 1889"/>
              <a:gd name="T21" fmla="*/ 1281 h 1877"/>
              <a:gd name="T22" fmla="*/ 1017 w 1889"/>
              <a:gd name="T23" fmla="*/ 722 h 1877"/>
              <a:gd name="T24" fmla="*/ 1281 w 1889"/>
              <a:gd name="T25" fmla="*/ 532 h 1877"/>
              <a:gd name="T26" fmla="*/ 1448 w 1889"/>
              <a:gd name="T27" fmla="*/ 366 h 1877"/>
              <a:gd name="T28" fmla="*/ 540 w 1889"/>
              <a:gd name="T29" fmla="*/ 616 h 1877"/>
              <a:gd name="T30" fmla="*/ 709 w 1889"/>
              <a:gd name="T31" fmla="*/ 214 h 1877"/>
              <a:gd name="T32" fmla="*/ 808 w 1889"/>
              <a:gd name="T33" fmla="*/ 426 h 1877"/>
              <a:gd name="T34" fmla="*/ 1102 w 1889"/>
              <a:gd name="T35" fmla="*/ 426 h 1877"/>
              <a:gd name="T36" fmla="*/ 1201 w 1889"/>
              <a:gd name="T37" fmla="*/ 214 h 1877"/>
              <a:gd name="T38" fmla="*/ 1020 w 1889"/>
              <a:gd name="T39" fmla="*/ 412 h 1877"/>
              <a:gd name="T40" fmla="*/ 945 w 1889"/>
              <a:gd name="T41" fmla="*/ 0 h 1877"/>
              <a:gd name="T42" fmla="*/ 1171 w 1889"/>
              <a:gd name="T43" fmla="*/ 27 h 1877"/>
              <a:gd name="T44" fmla="*/ 1379 w 1889"/>
              <a:gd name="T45" fmla="*/ 104 h 1877"/>
              <a:gd name="T46" fmla="*/ 1559 w 1889"/>
              <a:gd name="T47" fmla="*/ 226 h 1877"/>
              <a:gd name="T48" fmla="*/ 1707 w 1889"/>
              <a:gd name="T49" fmla="*/ 384 h 1877"/>
              <a:gd name="T50" fmla="*/ 1815 w 1889"/>
              <a:gd name="T51" fmla="*/ 573 h 1877"/>
              <a:gd name="T52" fmla="*/ 1877 w 1889"/>
              <a:gd name="T53" fmla="*/ 787 h 1877"/>
              <a:gd name="T54" fmla="*/ 1886 w 1889"/>
              <a:gd name="T55" fmla="*/ 1015 h 1877"/>
              <a:gd name="T56" fmla="*/ 1840 w 1889"/>
              <a:gd name="T57" fmla="*/ 1235 h 1877"/>
              <a:gd name="T58" fmla="*/ 1748 w 1889"/>
              <a:gd name="T59" fmla="*/ 1433 h 1877"/>
              <a:gd name="T60" fmla="*/ 1612 w 1889"/>
              <a:gd name="T61" fmla="*/ 1602 h 1877"/>
              <a:gd name="T62" fmla="*/ 1442 w 1889"/>
              <a:gd name="T63" fmla="*/ 1736 h 1877"/>
              <a:gd name="T64" fmla="*/ 1243 w 1889"/>
              <a:gd name="T65" fmla="*/ 1829 h 1877"/>
              <a:gd name="T66" fmla="*/ 1022 w 1889"/>
              <a:gd name="T67" fmla="*/ 1874 h 1877"/>
              <a:gd name="T68" fmla="*/ 792 w 1889"/>
              <a:gd name="T69" fmla="*/ 1865 h 1877"/>
              <a:gd name="T70" fmla="*/ 577 w 1889"/>
              <a:gd name="T71" fmla="*/ 1804 h 1877"/>
              <a:gd name="T72" fmla="*/ 387 w 1889"/>
              <a:gd name="T73" fmla="*/ 1696 h 1877"/>
              <a:gd name="T74" fmla="*/ 227 w 1889"/>
              <a:gd name="T75" fmla="*/ 1549 h 1877"/>
              <a:gd name="T76" fmla="*/ 106 w 1889"/>
              <a:gd name="T77" fmla="*/ 1369 h 1877"/>
              <a:gd name="T78" fmla="*/ 28 w 1889"/>
              <a:gd name="T79" fmla="*/ 1164 h 1877"/>
              <a:gd name="T80" fmla="*/ 0 w 1889"/>
              <a:gd name="T81" fmla="*/ 939 h 1877"/>
              <a:gd name="T82" fmla="*/ 28 w 1889"/>
              <a:gd name="T83" fmla="*/ 713 h 1877"/>
              <a:gd name="T84" fmla="*/ 106 w 1889"/>
              <a:gd name="T85" fmla="*/ 508 h 1877"/>
              <a:gd name="T86" fmla="*/ 227 w 1889"/>
              <a:gd name="T87" fmla="*/ 328 h 1877"/>
              <a:gd name="T88" fmla="*/ 387 w 1889"/>
              <a:gd name="T89" fmla="*/ 181 h 1877"/>
              <a:gd name="T90" fmla="*/ 577 w 1889"/>
              <a:gd name="T91" fmla="*/ 73 h 1877"/>
              <a:gd name="T92" fmla="*/ 792 w 1889"/>
              <a:gd name="T93" fmla="*/ 12 h 18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1889" h="1877">
                <a:moveTo>
                  <a:pt x="897" y="722"/>
                </a:moveTo>
                <a:lnTo>
                  <a:pt x="897" y="1259"/>
                </a:lnTo>
                <a:lnTo>
                  <a:pt x="866" y="1272"/>
                </a:lnTo>
                <a:lnTo>
                  <a:pt x="840" y="1291"/>
                </a:lnTo>
                <a:lnTo>
                  <a:pt x="817" y="1313"/>
                </a:lnTo>
                <a:lnTo>
                  <a:pt x="799" y="1339"/>
                </a:lnTo>
                <a:lnTo>
                  <a:pt x="785" y="1369"/>
                </a:lnTo>
                <a:lnTo>
                  <a:pt x="775" y="1400"/>
                </a:lnTo>
                <a:lnTo>
                  <a:pt x="772" y="1435"/>
                </a:lnTo>
                <a:lnTo>
                  <a:pt x="775" y="1469"/>
                </a:lnTo>
                <a:lnTo>
                  <a:pt x="784" y="1500"/>
                </a:lnTo>
                <a:lnTo>
                  <a:pt x="798" y="1530"/>
                </a:lnTo>
                <a:lnTo>
                  <a:pt x="817" y="1556"/>
                </a:lnTo>
                <a:lnTo>
                  <a:pt x="839" y="1578"/>
                </a:lnTo>
                <a:lnTo>
                  <a:pt x="866" y="1597"/>
                </a:lnTo>
                <a:lnTo>
                  <a:pt x="896" y="1611"/>
                </a:lnTo>
                <a:lnTo>
                  <a:pt x="927" y="1619"/>
                </a:lnTo>
                <a:lnTo>
                  <a:pt x="961" y="1622"/>
                </a:lnTo>
                <a:lnTo>
                  <a:pt x="996" y="1619"/>
                </a:lnTo>
                <a:lnTo>
                  <a:pt x="1027" y="1611"/>
                </a:lnTo>
                <a:lnTo>
                  <a:pt x="1057" y="1597"/>
                </a:lnTo>
                <a:lnTo>
                  <a:pt x="1083" y="1578"/>
                </a:lnTo>
                <a:lnTo>
                  <a:pt x="1106" y="1556"/>
                </a:lnTo>
                <a:lnTo>
                  <a:pt x="1125" y="1530"/>
                </a:lnTo>
                <a:lnTo>
                  <a:pt x="1138" y="1500"/>
                </a:lnTo>
                <a:lnTo>
                  <a:pt x="1147" y="1469"/>
                </a:lnTo>
                <a:lnTo>
                  <a:pt x="1150" y="1435"/>
                </a:lnTo>
                <a:lnTo>
                  <a:pt x="1148" y="1403"/>
                </a:lnTo>
                <a:lnTo>
                  <a:pt x="1140" y="1374"/>
                </a:lnTo>
                <a:lnTo>
                  <a:pt x="1128" y="1347"/>
                </a:lnTo>
                <a:lnTo>
                  <a:pt x="1113" y="1322"/>
                </a:lnTo>
                <a:lnTo>
                  <a:pt x="1092" y="1300"/>
                </a:lnTo>
                <a:lnTo>
                  <a:pt x="1070" y="1281"/>
                </a:lnTo>
                <a:lnTo>
                  <a:pt x="1044" y="1266"/>
                </a:lnTo>
                <a:lnTo>
                  <a:pt x="1017" y="1255"/>
                </a:lnTo>
                <a:lnTo>
                  <a:pt x="1017" y="722"/>
                </a:lnTo>
                <a:lnTo>
                  <a:pt x="897" y="722"/>
                </a:lnTo>
                <a:close/>
                <a:moveTo>
                  <a:pt x="1448" y="366"/>
                </a:moveTo>
                <a:lnTo>
                  <a:pt x="1281" y="532"/>
                </a:lnTo>
                <a:lnTo>
                  <a:pt x="1366" y="616"/>
                </a:lnTo>
                <a:lnTo>
                  <a:pt x="1533" y="450"/>
                </a:lnTo>
                <a:lnTo>
                  <a:pt x="1448" y="366"/>
                </a:lnTo>
                <a:close/>
                <a:moveTo>
                  <a:pt x="459" y="366"/>
                </a:moveTo>
                <a:lnTo>
                  <a:pt x="374" y="450"/>
                </a:lnTo>
                <a:lnTo>
                  <a:pt x="540" y="616"/>
                </a:lnTo>
                <a:lnTo>
                  <a:pt x="625" y="532"/>
                </a:lnTo>
                <a:lnTo>
                  <a:pt x="459" y="366"/>
                </a:lnTo>
                <a:close/>
                <a:moveTo>
                  <a:pt x="709" y="214"/>
                </a:moveTo>
                <a:lnTo>
                  <a:pt x="600" y="264"/>
                </a:lnTo>
                <a:lnTo>
                  <a:pt x="699" y="477"/>
                </a:lnTo>
                <a:lnTo>
                  <a:pt x="808" y="426"/>
                </a:lnTo>
                <a:lnTo>
                  <a:pt x="709" y="214"/>
                </a:lnTo>
                <a:close/>
                <a:moveTo>
                  <a:pt x="1201" y="214"/>
                </a:moveTo>
                <a:lnTo>
                  <a:pt x="1102" y="426"/>
                </a:lnTo>
                <a:lnTo>
                  <a:pt x="1211" y="477"/>
                </a:lnTo>
                <a:lnTo>
                  <a:pt x="1310" y="264"/>
                </a:lnTo>
                <a:lnTo>
                  <a:pt x="1201" y="214"/>
                </a:lnTo>
                <a:close/>
                <a:moveTo>
                  <a:pt x="900" y="179"/>
                </a:moveTo>
                <a:lnTo>
                  <a:pt x="900" y="412"/>
                </a:lnTo>
                <a:lnTo>
                  <a:pt x="1020" y="412"/>
                </a:lnTo>
                <a:lnTo>
                  <a:pt x="1020" y="179"/>
                </a:lnTo>
                <a:lnTo>
                  <a:pt x="900" y="179"/>
                </a:lnTo>
                <a:close/>
                <a:moveTo>
                  <a:pt x="945" y="0"/>
                </a:moveTo>
                <a:lnTo>
                  <a:pt x="1022" y="3"/>
                </a:lnTo>
                <a:lnTo>
                  <a:pt x="1097" y="12"/>
                </a:lnTo>
                <a:lnTo>
                  <a:pt x="1171" y="27"/>
                </a:lnTo>
                <a:lnTo>
                  <a:pt x="1243" y="48"/>
                </a:lnTo>
                <a:lnTo>
                  <a:pt x="1312" y="73"/>
                </a:lnTo>
                <a:lnTo>
                  <a:pt x="1379" y="104"/>
                </a:lnTo>
                <a:lnTo>
                  <a:pt x="1442" y="141"/>
                </a:lnTo>
                <a:lnTo>
                  <a:pt x="1502" y="181"/>
                </a:lnTo>
                <a:lnTo>
                  <a:pt x="1559" y="226"/>
                </a:lnTo>
                <a:lnTo>
                  <a:pt x="1612" y="275"/>
                </a:lnTo>
                <a:lnTo>
                  <a:pt x="1662" y="328"/>
                </a:lnTo>
                <a:lnTo>
                  <a:pt x="1707" y="384"/>
                </a:lnTo>
                <a:lnTo>
                  <a:pt x="1748" y="444"/>
                </a:lnTo>
                <a:lnTo>
                  <a:pt x="1784" y="508"/>
                </a:lnTo>
                <a:lnTo>
                  <a:pt x="1815" y="573"/>
                </a:lnTo>
                <a:lnTo>
                  <a:pt x="1840" y="642"/>
                </a:lnTo>
                <a:lnTo>
                  <a:pt x="1862" y="713"/>
                </a:lnTo>
                <a:lnTo>
                  <a:pt x="1877" y="787"/>
                </a:lnTo>
                <a:lnTo>
                  <a:pt x="1886" y="862"/>
                </a:lnTo>
                <a:lnTo>
                  <a:pt x="1889" y="939"/>
                </a:lnTo>
                <a:lnTo>
                  <a:pt x="1886" y="1015"/>
                </a:lnTo>
                <a:lnTo>
                  <a:pt x="1877" y="1090"/>
                </a:lnTo>
                <a:lnTo>
                  <a:pt x="1862" y="1164"/>
                </a:lnTo>
                <a:lnTo>
                  <a:pt x="1840" y="1235"/>
                </a:lnTo>
                <a:lnTo>
                  <a:pt x="1815" y="1304"/>
                </a:lnTo>
                <a:lnTo>
                  <a:pt x="1784" y="1369"/>
                </a:lnTo>
                <a:lnTo>
                  <a:pt x="1748" y="1433"/>
                </a:lnTo>
                <a:lnTo>
                  <a:pt x="1707" y="1493"/>
                </a:lnTo>
                <a:lnTo>
                  <a:pt x="1662" y="1549"/>
                </a:lnTo>
                <a:lnTo>
                  <a:pt x="1612" y="1602"/>
                </a:lnTo>
                <a:lnTo>
                  <a:pt x="1559" y="1651"/>
                </a:lnTo>
                <a:lnTo>
                  <a:pt x="1502" y="1696"/>
                </a:lnTo>
                <a:lnTo>
                  <a:pt x="1442" y="1736"/>
                </a:lnTo>
                <a:lnTo>
                  <a:pt x="1379" y="1773"/>
                </a:lnTo>
                <a:lnTo>
                  <a:pt x="1312" y="1804"/>
                </a:lnTo>
                <a:lnTo>
                  <a:pt x="1243" y="1829"/>
                </a:lnTo>
                <a:lnTo>
                  <a:pt x="1171" y="1850"/>
                </a:lnTo>
                <a:lnTo>
                  <a:pt x="1097" y="1865"/>
                </a:lnTo>
                <a:lnTo>
                  <a:pt x="1022" y="1874"/>
                </a:lnTo>
                <a:lnTo>
                  <a:pt x="945" y="1877"/>
                </a:lnTo>
                <a:lnTo>
                  <a:pt x="867" y="1874"/>
                </a:lnTo>
                <a:lnTo>
                  <a:pt x="792" y="1865"/>
                </a:lnTo>
                <a:lnTo>
                  <a:pt x="718" y="1850"/>
                </a:lnTo>
                <a:lnTo>
                  <a:pt x="646" y="1829"/>
                </a:lnTo>
                <a:lnTo>
                  <a:pt x="577" y="1804"/>
                </a:lnTo>
                <a:lnTo>
                  <a:pt x="511" y="1773"/>
                </a:lnTo>
                <a:lnTo>
                  <a:pt x="447" y="1736"/>
                </a:lnTo>
                <a:lnTo>
                  <a:pt x="387" y="1696"/>
                </a:lnTo>
                <a:lnTo>
                  <a:pt x="330" y="1651"/>
                </a:lnTo>
                <a:lnTo>
                  <a:pt x="277" y="1602"/>
                </a:lnTo>
                <a:lnTo>
                  <a:pt x="227" y="1549"/>
                </a:lnTo>
                <a:lnTo>
                  <a:pt x="183" y="1493"/>
                </a:lnTo>
                <a:lnTo>
                  <a:pt x="142" y="1433"/>
                </a:lnTo>
                <a:lnTo>
                  <a:pt x="106" y="1369"/>
                </a:lnTo>
                <a:lnTo>
                  <a:pt x="75" y="1304"/>
                </a:lnTo>
                <a:lnTo>
                  <a:pt x="49" y="1235"/>
                </a:lnTo>
                <a:lnTo>
                  <a:pt x="28" y="1164"/>
                </a:lnTo>
                <a:lnTo>
                  <a:pt x="12" y="1090"/>
                </a:lnTo>
                <a:lnTo>
                  <a:pt x="3" y="1015"/>
                </a:lnTo>
                <a:lnTo>
                  <a:pt x="0" y="939"/>
                </a:lnTo>
                <a:lnTo>
                  <a:pt x="3" y="862"/>
                </a:lnTo>
                <a:lnTo>
                  <a:pt x="12" y="787"/>
                </a:lnTo>
                <a:lnTo>
                  <a:pt x="28" y="713"/>
                </a:lnTo>
                <a:lnTo>
                  <a:pt x="49" y="642"/>
                </a:lnTo>
                <a:lnTo>
                  <a:pt x="75" y="573"/>
                </a:lnTo>
                <a:lnTo>
                  <a:pt x="106" y="508"/>
                </a:lnTo>
                <a:lnTo>
                  <a:pt x="142" y="444"/>
                </a:lnTo>
                <a:lnTo>
                  <a:pt x="183" y="384"/>
                </a:lnTo>
                <a:lnTo>
                  <a:pt x="227" y="328"/>
                </a:lnTo>
                <a:lnTo>
                  <a:pt x="277" y="275"/>
                </a:lnTo>
                <a:lnTo>
                  <a:pt x="330" y="226"/>
                </a:lnTo>
                <a:lnTo>
                  <a:pt x="387" y="181"/>
                </a:lnTo>
                <a:lnTo>
                  <a:pt x="447" y="141"/>
                </a:lnTo>
                <a:lnTo>
                  <a:pt x="511" y="104"/>
                </a:lnTo>
                <a:lnTo>
                  <a:pt x="577" y="73"/>
                </a:lnTo>
                <a:lnTo>
                  <a:pt x="646" y="48"/>
                </a:lnTo>
                <a:lnTo>
                  <a:pt x="718" y="27"/>
                </a:lnTo>
                <a:lnTo>
                  <a:pt x="792" y="12"/>
                </a:lnTo>
                <a:lnTo>
                  <a:pt x="867" y="3"/>
                </a:lnTo>
                <a:lnTo>
                  <a:pt x="945" y="0"/>
                </a:lnTo>
                <a:close/>
              </a:path>
            </a:pathLst>
          </a:custGeom>
          <a:solidFill>
            <a:schemeClr val="tx2"/>
          </a:solidFill>
          <a:ln w="0">
            <a:solidFill>
              <a:schemeClr val="tx2"/>
            </a:solidFill>
            <a:prstDash val="solid"/>
            <a:round/>
            <a:headEnd/>
            <a:tailEnd/>
          </a:ln>
        </xdr:spPr>
      </xdr:sp>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0</xdr:row>
      <xdr:rowOff>361956</xdr:rowOff>
    </xdr:from>
    <xdr:to>
      <xdr:col>3</xdr:col>
      <xdr:colOff>235839</xdr:colOff>
      <xdr:row>2</xdr:row>
      <xdr:rowOff>45345</xdr:rowOff>
    </xdr:to>
    <xdr:grpSp>
      <xdr:nvGrpSpPr>
        <xdr:cNvPr id="2" name="Expenses icon" descr="&quot;&quot;" title="Expenses icon">
          <a:extLst>
            <a:ext uri="{FF2B5EF4-FFF2-40B4-BE49-F238E27FC236}">
              <a16:creationId xmlns:a16="http://schemas.microsoft.com/office/drawing/2014/main" id="{00000000-0008-0000-0200-000002000000}"/>
            </a:ext>
          </a:extLst>
        </xdr:cNvPr>
        <xdr:cNvGrpSpPr>
          <a:grpSpLocks noChangeAspect="1"/>
        </xdr:cNvGrpSpPr>
      </xdr:nvGrpSpPr>
      <xdr:grpSpPr bwMode="auto">
        <a:xfrm>
          <a:off x="2190750" y="361956"/>
          <a:ext cx="397764" cy="397764"/>
          <a:chOff x="436" y="814"/>
          <a:chExt cx="56" cy="56"/>
        </a:xfrm>
      </xdr:grpSpPr>
      <xdr:sp macro="" textlink="">
        <xdr:nvSpPr>
          <xdr:cNvPr id="3" name="Rectangle 42">
            <a:extLst>
              <a:ext uri="{FF2B5EF4-FFF2-40B4-BE49-F238E27FC236}">
                <a16:creationId xmlns:a16="http://schemas.microsoft.com/office/drawing/2014/main" id="{00000000-0008-0000-0200-000003000000}"/>
              </a:ext>
            </a:extLst>
          </xdr:cNvPr>
          <xdr:cNvSpPr>
            <a:spLocks noChangeArrowheads="1"/>
          </xdr:cNvSpPr>
        </xdr:nvSpPr>
        <xdr:spPr bwMode="auto">
          <a:xfrm>
            <a:off x="436" y="814"/>
            <a:ext cx="56" cy="56"/>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 name="Freeform 43">
            <a:extLst>
              <a:ext uri="{FF2B5EF4-FFF2-40B4-BE49-F238E27FC236}">
                <a16:creationId xmlns:a16="http://schemas.microsoft.com/office/drawing/2014/main" id="{00000000-0008-0000-0200-000004000000}"/>
              </a:ext>
            </a:extLst>
          </xdr:cNvPr>
          <xdr:cNvSpPr>
            <a:spLocks/>
          </xdr:cNvSpPr>
        </xdr:nvSpPr>
        <xdr:spPr bwMode="auto">
          <a:xfrm>
            <a:off x="436" y="815"/>
            <a:ext cx="55" cy="55"/>
          </a:xfrm>
          <a:custGeom>
            <a:avLst/>
            <a:gdLst>
              <a:gd name="T0" fmla="*/ 1676 w 3245"/>
              <a:gd name="T1" fmla="*/ 19 h 3231"/>
              <a:gd name="T2" fmla="*/ 2102 w 3245"/>
              <a:gd name="T3" fmla="*/ 90 h 3231"/>
              <a:gd name="T4" fmla="*/ 2170 w 3245"/>
              <a:gd name="T5" fmla="*/ 96 h 3231"/>
              <a:gd name="T6" fmla="*/ 2278 w 3245"/>
              <a:gd name="T7" fmla="*/ 421 h 3231"/>
              <a:gd name="T8" fmla="*/ 2608 w 3245"/>
              <a:gd name="T9" fmla="*/ 337 h 3231"/>
              <a:gd name="T10" fmla="*/ 2651 w 3245"/>
              <a:gd name="T11" fmla="*/ 391 h 3231"/>
              <a:gd name="T12" fmla="*/ 2941 w 3245"/>
              <a:gd name="T13" fmla="*/ 711 h 3231"/>
              <a:gd name="T14" fmla="*/ 2993 w 3245"/>
              <a:gd name="T15" fmla="*/ 758 h 3231"/>
              <a:gd name="T16" fmla="*/ 2879 w 3245"/>
              <a:gd name="T17" fmla="*/ 1074 h 3231"/>
              <a:gd name="T18" fmla="*/ 3192 w 3245"/>
              <a:gd name="T19" fmla="*/ 1212 h 3231"/>
              <a:gd name="T20" fmla="*/ 3192 w 3245"/>
              <a:gd name="T21" fmla="*/ 1280 h 3231"/>
              <a:gd name="T22" fmla="*/ 3232 w 3245"/>
              <a:gd name="T23" fmla="*/ 1712 h 3231"/>
              <a:gd name="T24" fmla="*/ 3241 w 3245"/>
              <a:gd name="T25" fmla="*/ 1780 h 3231"/>
              <a:gd name="T26" fmla="*/ 2950 w 3245"/>
              <a:gd name="T27" fmla="*/ 1957 h 3231"/>
              <a:gd name="T28" fmla="*/ 3120 w 3245"/>
              <a:gd name="T29" fmla="*/ 2261 h 3231"/>
              <a:gd name="T30" fmla="*/ 3079 w 3245"/>
              <a:gd name="T31" fmla="*/ 2316 h 3231"/>
              <a:gd name="T32" fmla="*/ 2841 w 3245"/>
              <a:gd name="T33" fmla="*/ 2684 h 3231"/>
              <a:gd name="T34" fmla="*/ 2808 w 3245"/>
              <a:gd name="T35" fmla="*/ 2744 h 3231"/>
              <a:gd name="T36" fmla="*/ 2472 w 3245"/>
              <a:gd name="T37" fmla="*/ 2714 h 3231"/>
              <a:gd name="T38" fmla="*/ 2414 w 3245"/>
              <a:gd name="T39" fmla="*/ 3047 h 3231"/>
              <a:gd name="T40" fmla="*/ 2348 w 3245"/>
              <a:gd name="T41" fmla="*/ 3064 h 3231"/>
              <a:gd name="T42" fmla="*/ 1938 w 3245"/>
              <a:gd name="T43" fmla="*/ 3203 h 3231"/>
              <a:gd name="T44" fmla="*/ 1886 w 3245"/>
              <a:gd name="T45" fmla="*/ 3230 h 3231"/>
              <a:gd name="T46" fmla="*/ 1827 w 3245"/>
              <a:gd name="T47" fmla="*/ 3207 h 3231"/>
              <a:gd name="T48" fmla="*/ 1389 w 3245"/>
              <a:gd name="T49" fmla="*/ 3227 h 3231"/>
              <a:gd name="T50" fmla="*/ 1321 w 3245"/>
              <a:gd name="T51" fmla="*/ 3215 h 3231"/>
              <a:gd name="T52" fmla="*/ 916 w 3245"/>
              <a:gd name="T53" fmla="*/ 3058 h 3231"/>
              <a:gd name="T54" fmla="*/ 847 w 3245"/>
              <a:gd name="T55" fmla="*/ 3057 h 3231"/>
              <a:gd name="T56" fmla="*/ 809 w 3245"/>
              <a:gd name="T57" fmla="*/ 3000 h 3231"/>
              <a:gd name="T58" fmla="*/ 459 w 3245"/>
              <a:gd name="T59" fmla="*/ 2752 h 3231"/>
              <a:gd name="T60" fmla="*/ 412 w 3245"/>
              <a:gd name="T61" fmla="*/ 2702 h 3231"/>
              <a:gd name="T62" fmla="*/ 184 w 3245"/>
              <a:gd name="T63" fmla="*/ 2322 h 3231"/>
              <a:gd name="T64" fmla="*/ 131 w 3245"/>
              <a:gd name="T65" fmla="*/ 2279 h 3231"/>
              <a:gd name="T66" fmla="*/ 136 w 3245"/>
              <a:gd name="T67" fmla="*/ 2209 h 3231"/>
              <a:gd name="T68" fmla="*/ 12 w 3245"/>
              <a:gd name="T69" fmla="*/ 1796 h 3231"/>
              <a:gd name="T70" fmla="*/ 6 w 3245"/>
              <a:gd name="T71" fmla="*/ 1727 h 3231"/>
              <a:gd name="T72" fmla="*/ 64 w 3245"/>
              <a:gd name="T73" fmla="*/ 1296 h 3231"/>
              <a:gd name="T74" fmla="*/ 47 w 3245"/>
              <a:gd name="T75" fmla="*/ 1229 h 3231"/>
              <a:gd name="T76" fmla="*/ 93 w 3245"/>
              <a:gd name="T77" fmla="*/ 1177 h 3231"/>
              <a:gd name="T78" fmla="*/ 250 w 3245"/>
              <a:gd name="T79" fmla="*/ 775 h 3231"/>
              <a:gd name="T80" fmla="*/ 287 w 3245"/>
              <a:gd name="T81" fmla="*/ 718 h 3231"/>
              <a:gd name="T82" fmla="*/ 599 w 3245"/>
              <a:gd name="T83" fmla="*/ 407 h 3231"/>
              <a:gd name="T84" fmla="*/ 628 w 3245"/>
              <a:gd name="T85" fmla="*/ 345 h 3231"/>
              <a:gd name="T86" fmla="*/ 695 w 3245"/>
              <a:gd name="T87" fmla="*/ 333 h 3231"/>
              <a:gd name="T88" fmla="*/ 1063 w 3245"/>
              <a:gd name="T89" fmla="*/ 108 h 3231"/>
              <a:gd name="T90" fmla="*/ 1128 w 3245"/>
              <a:gd name="T91" fmla="*/ 85 h 3231"/>
              <a:gd name="T92" fmla="*/ 1565 w 3245"/>
              <a:gd name="T93" fmla="*/ 32 h 3231"/>
              <a:gd name="T94" fmla="*/ 1626 w 3245"/>
              <a:gd name="T95" fmla="*/ 0 h 32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45" h="3231">
                <a:moveTo>
                  <a:pt x="1626" y="0"/>
                </a:moveTo>
                <a:lnTo>
                  <a:pt x="1644" y="3"/>
                </a:lnTo>
                <a:lnTo>
                  <a:pt x="1661" y="9"/>
                </a:lnTo>
                <a:lnTo>
                  <a:pt x="1676" y="19"/>
                </a:lnTo>
                <a:lnTo>
                  <a:pt x="1688" y="33"/>
                </a:lnTo>
                <a:lnTo>
                  <a:pt x="1847" y="272"/>
                </a:lnTo>
                <a:lnTo>
                  <a:pt x="2086" y="98"/>
                </a:lnTo>
                <a:lnTo>
                  <a:pt x="2102" y="90"/>
                </a:lnTo>
                <a:lnTo>
                  <a:pt x="2119" y="85"/>
                </a:lnTo>
                <a:lnTo>
                  <a:pt x="2136" y="85"/>
                </a:lnTo>
                <a:lnTo>
                  <a:pt x="2154" y="89"/>
                </a:lnTo>
                <a:lnTo>
                  <a:pt x="2170" y="96"/>
                </a:lnTo>
                <a:lnTo>
                  <a:pt x="2183" y="108"/>
                </a:lnTo>
                <a:lnTo>
                  <a:pt x="2193" y="122"/>
                </a:lnTo>
                <a:lnTo>
                  <a:pt x="2200" y="139"/>
                </a:lnTo>
                <a:lnTo>
                  <a:pt x="2278" y="421"/>
                </a:lnTo>
                <a:lnTo>
                  <a:pt x="2556" y="333"/>
                </a:lnTo>
                <a:lnTo>
                  <a:pt x="2574" y="330"/>
                </a:lnTo>
                <a:lnTo>
                  <a:pt x="2591" y="331"/>
                </a:lnTo>
                <a:lnTo>
                  <a:pt x="2608" y="337"/>
                </a:lnTo>
                <a:lnTo>
                  <a:pt x="2624" y="346"/>
                </a:lnTo>
                <a:lnTo>
                  <a:pt x="2637" y="359"/>
                </a:lnTo>
                <a:lnTo>
                  <a:pt x="2646" y="374"/>
                </a:lnTo>
                <a:lnTo>
                  <a:pt x="2651" y="391"/>
                </a:lnTo>
                <a:lnTo>
                  <a:pt x="2652" y="409"/>
                </a:lnTo>
                <a:lnTo>
                  <a:pt x="2632" y="702"/>
                </a:lnTo>
                <a:lnTo>
                  <a:pt x="2924" y="708"/>
                </a:lnTo>
                <a:lnTo>
                  <a:pt x="2941" y="711"/>
                </a:lnTo>
                <a:lnTo>
                  <a:pt x="2958" y="718"/>
                </a:lnTo>
                <a:lnTo>
                  <a:pt x="2972" y="728"/>
                </a:lnTo>
                <a:lnTo>
                  <a:pt x="2985" y="742"/>
                </a:lnTo>
                <a:lnTo>
                  <a:pt x="2993" y="758"/>
                </a:lnTo>
                <a:lnTo>
                  <a:pt x="2996" y="776"/>
                </a:lnTo>
                <a:lnTo>
                  <a:pt x="2996" y="793"/>
                </a:lnTo>
                <a:lnTo>
                  <a:pt x="2991" y="811"/>
                </a:lnTo>
                <a:lnTo>
                  <a:pt x="2879" y="1074"/>
                </a:lnTo>
                <a:lnTo>
                  <a:pt x="3153" y="1177"/>
                </a:lnTo>
                <a:lnTo>
                  <a:pt x="3169" y="1185"/>
                </a:lnTo>
                <a:lnTo>
                  <a:pt x="3182" y="1197"/>
                </a:lnTo>
                <a:lnTo>
                  <a:pt x="3192" y="1212"/>
                </a:lnTo>
                <a:lnTo>
                  <a:pt x="3199" y="1229"/>
                </a:lnTo>
                <a:lnTo>
                  <a:pt x="3201" y="1246"/>
                </a:lnTo>
                <a:lnTo>
                  <a:pt x="3199" y="1264"/>
                </a:lnTo>
                <a:lnTo>
                  <a:pt x="3192" y="1280"/>
                </a:lnTo>
                <a:lnTo>
                  <a:pt x="3182" y="1295"/>
                </a:lnTo>
                <a:lnTo>
                  <a:pt x="2993" y="1506"/>
                </a:lnTo>
                <a:lnTo>
                  <a:pt x="3220" y="1699"/>
                </a:lnTo>
                <a:lnTo>
                  <a:pt x="3232" y="1712"/>
                </a:lnTo>
                <a:lnTo>
                  <a:pt x="3241" y="1727"/>
                </a:lnTo>
                <a:lnTo>
                  <a:pt x="3245" y="1745"/>
                </a:lnTo>
                <a:lnTo>
                  <a:pt x="3245" y="1763"/>
                </a:lnTo>
                <a:lnTo>
                  <a:pt x="3241" y="1780"/>
                </a:lnTo>
                <a:lnTo>
                  <a:pt x="3233" y="1796"/>
                </a:lnTo>
                <a:lnTo>
                  <a:pt x="3222" y="1810"/>
                </a:lnTo>
                <a:lnTo>
                  <a:pt x="3207" y="1820"/>
                </a:lnTo>
                <a:lnTo>
                  <a:pt x="2950" y="1957"/>
                </a:lnTo>
                <a:lnTo>
                  <a:pt x="3110" y="2209"/>
                </a:lnTo>
                <a:lnTo>
                  <a:pt x="3117" y="2225"/>
                </a:lnTo>
                <a:lnTo>
                  <a:pt x="3121" y="2244"/>
                </a:lnTo>
                <a:lnTo>
                  <a:pt x="3120" y="2261"/>
                </a:lnTo>
                <a:lnTo>
                  <a:pt x="3115" y="2278"/>
                </a:lnTo>
                <a:lnTo>
                  <a:pt x="3106" y="2294"/>
                </a:lnTo>
                <a:lnTo>
                  <a:pt x="3094" y="2307"/>
                </a:lnTo>
                <a:lnTo>
                  <a:pt x="3079" y="2316"/>
                </a:lnTo>
                <a:lnTo>
                  <a:pt x="3062" y="2322"/>
                </a:lnTo>
                <a:lnTo>
                  <a:pt x="2772" y="2379"/>
                </a:lnTo>
                <a:lnTo>
                  <a:pt x="2839" y="2666"/>
                </a:lnTo>
                <a:lnTo>
                  <a:pt x="2841" y="2684"/>
                </a:lnTo>
                <a:lnTo>
                  <a:pt x="2839" y="2702"/>
                </a:lnTo>
                <a:lnTo>
                  <a:pt x="2832" y="2718"/>
                </a:lnTo>
                <a:lnTo>
                  <a:pt x="2822" y="2733"/>
                </a:lnTo>
                <a:lnTo>
                  <a:pt x="2808" y="2744"/>
                </a:lnTo>
                <a:lnTo>
                  <a:pt x="2792" y="2752"/>
                </a:lnTo>
                <a:lnTo>
                  <a:pt x="2774" y="2756"/>
                </a:lnTo>
                <a:lnTo>
                  <a:pt x="2757" y="2756"/>
                </a:lnTo>
                <a:lnTo>
                  <a:pt x="2472" y="2714"/>
                </a:lnTo>
                <a:lnTo>
                  <a:pt x="2438" y="3001"/>
                </a:lnTo>
                <a:lnTo>
                  <a:pt x="2433" y="3018"/>
                </a:lnTo>
                <a:lnTo>
                  <a:pt x="2425" y="3034"/>
                </a:lnTo>
                <a:lnTo>
                  <a:pt x="2414" y="3047"/>
                </a:lnTo>
                <a:lnTo>
                  <a:pt x="2399" y="3057"/>
                </a:lnTo>
                <a:lnTo>
                  <a:pt x="2383" y="3064"/>
                </a:lnTo>
                <a:lnTo>
                  <a:pt x="2365" y="3066"/>
                </a:lnTo>
                <a:lnTo>
                  <a:pt x="2348" y="3064"/>
                </a:lnTo>
                <a:lnTo>
                  <a:pt x="2331" y="3058"/>
                </a:lnTo>
                <a:lnTo>
                  <a:pt x="2067" y="2926"/>
                </a:lnTo>
                <a:lnTo>
                  <a:pt x="1947" y="3187"/>
                </a:lnTo>
                <a:lnTo>
                  <a:pt x="1938" y="3203"/>
                </a:lnTo>
                <a:lnTo>
                  <a:pt x="1925" y="3215"/>
                </a:lnTo>
                <a:lnTo>
                  <a:pt x="1909" y="3225"/>
                </a:lnTo>
                <a:lnTo>
                  <a:pt x="1892" y="3230"/>
                </a:lnTo>
                <a:lnTo>
                  <a:pt x="1886" y="3230"/>
                </a:lnTo>
                <a:lnTo>
                  <a:pt x="1880" y="3231"/>
                </a:lnTo>
                <a:lnTo>
                  <a:pt x="1860" y="3228"/>
                </a:lnTo>
                <a:lnTo>
                  <a:pt x="1842" y="3220"/>
                </a:lnTo>
                <a:lnTo>
                  <a:pt x="1827" y="3207"/>
                </a:lnTo>
                <a:lnTo>
                  <a:pt x="1625" y="2997"/>
                </a:lnTo>
                <a:lnTo>
                  <a:pt x="1419" y="3208"/>
                </a:lnTo>
                <a:lnTo>
                  <a:pt x="1405" y="3220"/>
                </a:lnTo>
                <a:lnTo>
                  <a:pt x="1389" y="3227"/>
                </a:lnTo>
                <a:lnTo>
                  <a:pt x="1371" y="3231"/>
                </a:lnTo>
                <a:lnTo>
                  <a:pt x="1354" y="3229"/>
                </a:lnTo>
                <a:lnTo>
                  <a:pt x="1337" y="3224"/>
                </a:lnTo>
                <a:lnTo>
                  <a:pt x="1321" y="3215"/>
                </a:lnTo>
                <a:lnTo>
                  <a:pt x="1309" y="3203"/>
                </a:lnTo>
                <a:lnTo>
                  <a:pt x="1299" y="3188"/>
                </a:lnTo>
                <a:lnTo>
                  <a:pt x="1176" y="2926"/>
                </a:lnTo>
                <a:lnTo>
                  <a:pt x="916" y="3058"/>
                </a:lnTo>
                <a:lnTo>
                  <a:pt x="899" y="3064"/>
                </a:lnTo>
                <a:lnTo>
                  <a:pt x="881" y="3066"/>
                </a:lnTo>
                <a:lnTo>
                  <a:pt x="864" y="3064"/>
                </a:lnTo>
                <a:lnTo>
                  <a:pt x="847" y="3057"/>
                </a:lnTo>
                <a:lnTo>
                  <a:pt x="832" y="3047"/>
                </a:lnTo>
                <a:lnTo>
                  <a:pt x="821" y="3033"/>
                </a:lnTo>
                <a:lnTo>
                  <a:pt x="813" y="3018"/>
                </a:lnTo>
                <a:lnTo>
                  <a:pt x="809" y="3000"/>
                </a:lnTo>
                <a:lnTo>
                  <a:pt x="779" y="2714"/>
                </a:lnTo>
                <a:lnTo>
                  <a:pt x="495" y="2756"/>
                </a:lnTo>
                <a:lnTo>
                  <a:pt x="476" y="2756"/>
                </a:lnTo>
                <a:lnTo>
                  <a:pt x="459" y="2752"/>
                </a:lnTo>
                <a:lnTo>
                  <a:pt x="443" y="2744"/>
                </a:lnTo>
                <a:lnTo>
                  <a:pt x="429" y="2733"/>
                </a:lnTo>
                <a:lnTo>
                  <a:pt x="419" y="2718"/>
                </a:lnTo>
                <a:lnTo>
                  <a:pt x="412" y="2702"/>
                </a:lnTo>
                <a:lnTo>
                  <a:pt x="410" y="2684"/>
                </a:lnTo>
                <a:lnTo>
                  <a:pt x="412" y="2666"/>
                </a:lnTo>
                <a:lnTo>
                  <a:pt x="479" y="2379"/>
                </a:lnTo>
                <a:lnTo>
                  <a:pt x="184" y="2322"/>
                </a:lnTo>
                <a:lnTo>
                  <a:pt x="167" y="2316"/>
                </a:lnTo>
                <a:lnTo>
                  <a:pt x="152" y="2307"/>
                </a:lnTo>
                <a:lnTo>
                  <a:pt x="140" y="2294"/>
                </a:lnTo>
                <a:lnTo>
                  <a:pt x="131" y="2279"/>
                </a:lnTo>
                <a:lnTo>
                  <a:pt x="126" y="2261"/>
                </a:lnTo>
                <a:lnTo>
                  <a:pt x="125" y="2244"/>
                </a:lnTo>
                <a:lnTo>
                  <a:pt x="128" y="2226"/>
                </a:lnTo>
                <a:lnTo>
                  <a:pt x="136" y="2209"/>
                </a:lnTo>
                <a:lnTo>
                  <a:pt x="292" y="1957"/>
                </a:lnTo>
                <a:lnTo>
                  <a:pt x="39" y="1820"/>
                </a:lnTo>
                <a:lnTo>
                  <a:pt x="24" y="1810"/>
                </a:lnTo>
                <a:lnTo>
                  <a:pt x="12" y="1796"/>
                </a:lnTo>
                <a:lnTo>
                  <a:pt x="4" y="1780"/>
                </a:lnTo>
                <a:lnTo>
                  <a:pt x="0" y="1762"/>
                </a:lnTo>
                <a:lnTo>
                  <a:pt x="1" y="1744"/>
                </a:lnTo>
                <a:lnTo>
                  <a:pt x="6" y="1727"/>
                </a:lnTo>
                <a:lnTo>
                  <a:pt x="15" y="1711"/>
                </a:lnTo>
                <a:lnTo>
                  <a:pt x="27" y="1698"/>
                </a:lnTo>
                <a:lnTo>
                  <a:pt x="258" y="1506"/>
                </a:lnTo>
                <a:lnTo>
                  <a:pt x="64" y="1296"/>
                </a:lnTo>
                <a:lnTo>
                  <a:pt x="54" y="1281"/>
                </a:lnTo>
                <a:lnTo>
                  <a:pt x="47" y="1265"/>
                </a:lnTo>
                <a:lnTo>
                  <a:pt x="45" y="1247"/>
                </a:lnTo>
                <a:lnTo>
                  <a:pt x="47" y="1229"/>
                </a:lnTo>
                <a:lnTo>
                  <a:pt x="53" y="1212"/>
                </a:lnTo>
                <a:lnTo>
                  <a:pt x="63" y="1197"/>
                </a:lnTo>
                <a:lnTo>
                  <a:pt x="77" y="1186"/>
                </a:lnTo>
                <a:lnTo>
                  <a:pt x="93" y="1177"/>
                </a:lnTo>
                <a:lnTo>
                  <a:pt x="365" y="1074"/>
                </a:lnTo>
                <a:lnTo>
                  <a:pt x="255" y="810"/>
                </a:lnTo>
                <a:lnTo>
                  <a:pt x="250" y="793"/>
                </a:lnTo>
                <a:lnTo>
                  <a:pt x="250" y="775"/>
                </a:lnTo>
                <a:lnTo>
                  <a:pt x="253" y="758"/>
                </a:lnTo>
                <a:lnTo>
                  <a:pt x="261" y="742"/>
                </a:lnTo>
                <a:lnTo>
                  <a:pt x="273" y="728"/>
                </a:lnTo>
                <a:lnTo>
                  <a:pt x="287" y="718"/>
                </a:lnTo>
                <a:lnTo>
                  <a:pt x="303" y="711"/>
                </a:lnTo>
                <a:lnTo>
                  <a:pt x="321" y="708"/>
                </a:lnTo>
                <a:lnTo>
                  <a:pt x="613" y="702"/>
                </a:lnTo>
                <a:lnTo>
                  <a:pt x="599" y="407"/>
                </a:lnTo>
                <a:lnTo>
                  <a:pt x="601" y="389"/>
                </a:lnTo>
                <a:lnTo>
                  <a:pt x="606" y="373"/>
                </a:lnTo>
                <a:lnTo>
                  <a:pt x="615" y="358"/>
                </a:lnTo>
                <a:lnTo>
                  <a:pt x="628" y="345"/>
                </a:lnTo>
                <a:lnTo>
                  <a:pt x="643" y="336"/>
                </a:lnTo>
                <a:lnTo>
                  <a:pt x="660" y="331"/>
                </a:lnTo>
                <a:lnTo>
                  <a:pt x="678" y="330"/>
                </a:lnTo>
                <a:lnTo>
                  <a:pt x="695" y="333"/>
                </a:lnTo>
                <a:lnTo>
                  <a:pt x="971" y="420"/>
                </a:lnTo>
                <a:lnTo>
                  <a:pt x="1046" y="140"/>
                </a:lnTo>
                <a:lnTo>
                  <a:pt x="1053" y="123"/>
                </a:lnTo>
                <a:lnTo>
                  <a:pt x="1063" y="108"/>
                </a:lnTo>
                <a:lnTo>
                  <a:pt x="1076" y="97"/>
                </a:lnTo>
                <a:lnTo>
                  <a:pt x="1093" y="89"/>
                </a:lnTo>
                <a:lnTo>
                  <a:pt x="1110" y="85"/>
                </a:lnTo>
                <a:lnTo>
                  <a:pt x="1128" y="85"/>
                </a:lnTo>
                <a:lnTo>
                  <a:pt x="1145" y="90"/>
                </a:lnTo>
                <a:lnTo>
                  <a:pt x="1161" y="99"/>
                </a:lnTo>
                <a:lnTo>
                  <a:pt x="1397" y="272"/>
                </a:lnTo>
                <a:lnTo>
                  <a:pt x="1565" y="32"/>
                </a:lnTo>
                <a:lnTo>
                  <a:pt x="1577" y="19"/>
                </a:lnTo>
                <a:lnTo>
                  <a:pt x="1590" y="10"/>
                </a:lnTo>
                <a:lnTo>
                  <a:pt x="1607" y="4"/>
                </a:lnTo>
                <a:lnTo>
                  <a:pt x="1626" y="0"/>
                </a:lnTo>
                <a:close/>
              </a:path>
            </a:pathLst>
          </a:custGeom>
          <a:solidFill>
            <a:srgbClr val="FFFFFF"/>
          </a:solidFill>
          <a:ln w="0">
            <a:noFill/>
            <a:prstDash val="solid"/>
            <a:round/>
            <a:headEnd/>
            <a:tailEnd/>
          </a:ln>
        </xdr:spPr>
      </xdr:sp>
      <xdr:sp macro="" textlink="">
        <xdr:nvSpPr>
          <xdr:cNvPr id="5" name="Freeform 44">
            <a:extLst>
              <a:ext uri="{FF2B5EF4-FFF2-40B4-BE49-F238E27FC236}">
                <a16:creationId xmlns:a16="http://schemas.microsoft.com/office/drawing/2014/main" id="{00000000-0008-0000-0200-000005000000}"/>
              </a:ext>
            </a:extLst>
          </xdr:cNvPr>
          <xdr:cNvSpPr>
            <a:spLocks/>
          </xdr:cNvSpPr>
        </xdr:nvSpPr>
        <xdr:spPr bwMode="auto">
          <a:xfrm>
            <a:off x="451" y="840"/>
            <a:ext cx="25" cy="6"/>
          </a:xfrm>
          <a:custGeom>
            <a:avLst/>
            <a:gdLst>
              <a:gd name="T0" fmla="*/ 70 w 1528"/>
              <a:gd name="T1" fmla="*/ 0 h 357"/>
              <a:gd name="T2" fmla="*/ 1455 w 1528"/>
              <a:gd name="T3" fmla="*/ 0 h 357"/>
              <a:gd name="T4" fmla="*/ 1471 w 1528"/>
              <a:gd name="T5" fmla="*/ 3 h 357"/>
              <a:gd name="T6" fmla="*/ 1485 w 1528"/>
              <a:gd name="T7" fmla="*/ 11 h 357"/>
              <a:gd name="T8" fmla="*/ 1497 w 1528"/>
              <a:gd name="T9" fmla="*/ 24 h 357"/>
              <a:gd name="T10" fmla="*/ 1508 w 1528"/>
              <a:gd name="T11" fmla="*/ 43 h 357"/>
              <a:gd name="T12" fmla="*/ 1515 w 1528"/>
              <a:gd name="T13" fmla="*/ 62 h 357"/>
              <a:gd name="T14" fmla="*/ 1521 w 1528"/>
              <a:gd name="T15" fmla="*/ 85 h 357"/>
              <a:gd name="T16" fmla="*/ 1525 w 1528"/>
              <a:gd name="T17" fmla="*/ 114 h 357"/>
              <a:gd name="T18" fmla="*/ 1527 w 1528"/>
              <a:gd name="T19" fmla="*/ 146 h 357"/>
              <a:gd name="T20" fmla="*/ 1528 w 1528"/>
              <a:gd name="T21" fmla="*/ 182 h 357"/>
              <a:gd name="T22" fmla="*/ 1527 w 1528"/>
              <a:gd name="T23" fmla="*/ 218 h 357"/>
              <a:gd name="T24" fmla="*/ 1524 w 1528"/>
              <a:gd name="T25" fmla="*/ 250 h 357"/>
              <a:gd name="T26" fmla="*/ 1520 w 1528"/>
              <a:gd name="T27" fmla="*/ 278 h 357"/>
              <a:gd name="T28" fmla="*/ 1513 w 1528"/>
              <a:gd name="T29" fmla="*/ 300 h 357"/>
              <a:gd name="T30" fmla="*/ 1504 w 1528"/>
              <a:gd name="T31" fmla="*/ 318 h 357"/>
              <a:gd name="T32" fmla="*/ 1492 w 1528"/>
              <a:gd name="T33" fmla="*/ 335 h 357"/>
              <a:gd name="T34" fmla="*/ 1480 w 1528"/>
              <a:gd name="T35" fmla="*/ 347 h 357"/>
              <a:gd name="T36" fmla="*/ 1467 w 1528"/>
              <a:gd name="T37" fmla="*/ 354 h 357"/>
              <a:gd name="T38" fmla="*/ 1452 w 1528"/>
              <a:gd name="T39" fmla="*/ 357 h 357"/>
              <a:gd name="T40" fmla="*/ 73 w 1528"/>
              <a:gd name="T41" fmla="*/ 357 h 357"/>
              <a:gd name="T42" fmla="*/ 59 w 1528"/>
              <a:gd name="T43" fmla="*/ 354 h 357"/>
              <a:gd name="T44" fmla="*/ 46 w 1528"/>
              <a:gd name="T45" fmla="*/ 347 h 357"/>
              <a:gd name="T46" fmla="*/ 34 w 1528"/>
              <a:gd name="T47" fmla="*/ 335 h 357"/>
              <a:gd name="T48" fmla="*/ 23 w 1528"/>
              <a:gd name="T49" fmla="*/ 318 h 357"/>
              <a:gd name="T50" fmla="*/ 15 w 1528"/>
              <a:gd name="T51" fmla="*/ 300 h 357"/>
              <a:gd name="T52" fmla="*/ 8 w 1528"/>
              <a:gd name="T53" fmla="*/ 278 h 357"/>
              <a:gd name="T54" fmla="*/ 4 w 1528"/>
              <a:gd name="T55" fmla="*/ 250 h 357"/>
              <a:gd name="T56" fmla="*/ 1 w 1528"/>
              <a:gd name="T57" fmla="*/ 218 h 357"/>
              <a:gd name="T58" fmla="*/ 0 w 1528"/>
              <a:gd name="T59" fmla="*/ 182 h 357"/>
              <a:gd name="T60" fmla="*/ 1 w 1528"/>
              <a:gd name="T61" fmla="*/ 146 h 357"/>
              <a:gd name="T62" fmla="*/ 3 w 1528"/>
              <a:gd name="T63" fmla="*/ 114 h 357"/>
              <a:gd name="T64" fmla="*/ 7 w 1528"/>
              <a:gd name="T65" fmla="*/ 85 h 357"/>
              <a:gd name="T66" fmla="*/ 12 w 1528"/>
              <a:gd name="T67" fmla="*/ 62 h 357"/>
              <a:gd name="T68" fmla="*/ 19 w 1528"/>
              <a:gd name="T69" fmla="*/ 43 h 357"/>
              <a:gd name="T70" fmla="*/ 29 w 1528"/>
              <a:gd name="T71" fmla="*/ 24 h 357"/>
              <a:gd name="T72" fmla="*/ 41 w 1528"/>
              <a:gd name="T73" fmla="*/ 11 h 357"/>
              <a:gd name="T74" fmla="*/ 55 w 1528"/>
              <a:gd name="T75" fmla="*/ 3 h 357"/>
              <a:gd name="T76" fmla="*/ 70 w 1528"/>
              <a:gd name="T77" fmla="*/ 0 h 3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Lst>
            <a:rect l="0" t="0" r="r" b="b"/>
            <a:pathLst>
              <a:path w="1528" h="357">
                <a:moveTo>
                  <a:pt x="70" y="0"/>
                </a:moveTo>
                <a:lnTo>
                  <a:pt x="1455" y="0"/>
                </a:lnTo>
                <a:lnTo>
                  <a:pt x="1471" y="3"/>
                </a:lnTo>
                <a:lnTo>
                  <a:pt x="1485" y="11"/>
                </a:lnTo>
                <a:lnTo>
                  <a:pt x="1497" y="24"/>
                </a:lnTo>
                <a:lnTo>
                  <a:pt x="1508" y="43"/>
                </a:lnTo>
                <a:lnTo>
                  <a:pt x="1515" y="62"/>
                </a:lnTo>
                <a:lnTo>
                  <a:pt x="1521" y="85"/>
                </a:lnTo>
                <a:lnTo>
                  <a:pt x="1525" y="114"/>
                </a:lnTo>
                <a:lnTo>
                  <a:pt x="1527" y="146"/>
                </a:lnTo>
                <a:lnTo>
                  <a:pt x="1528" y="182"/>
                </a:lnTo>
                <a:lnTo>
                  <a:pt x="1527" y="218"/>
                </a:lnTo>
                <a:lnTo>
                  <a:pt x="1524" y="250"/>
                </a:lnTo>
                <a:lnTo>
                  <a:pt x="1520" y="278"/>
                </a:lnTo>
                <a:lnTo>
                  <a:pt x="1513" y="300"/>
                </a:lnTo>
                <a:lnTo>
                  <a:pt x="1504" y="318"/>
                </a:lnTo>
                <a:lnTo>
                  <a:pt x="1492" y="335"/>
                </a:lnTo>
                <a:lnTo>
                  <a:pt x="1480" y="347"/>
                </a:lnTo>
                <a:lnTo>
                  <a:pt x="1467" y="354"/>
                </a:lnTo>
                <a:lnTo>
                  <a:pt x="1452" y="357"/>
                </a:lnTo>
                <a:lnTo>
                  <a:pt x="73" y="357"/>
                </a:lnTo>
                <a:lnTo>
                  <a:pt x="59" y="354"/>
                </a:lnTo>
                <a:lnTo>
                  <a:pt x="46" y="347"/>
                </a:lnTo>
                <a:lnTo>
                  <a:pt x="34" y="335"/>
                </a:lnTo>
                <a:lnTo>
                  <a:pt x="23" y="318"/>
                </a:lnTo>
                <a:lnTo>
                  <a:pt x="15" y="300"/>
                </a:lnTo>
                <a:lnTo>
                  <a:pt x="8" y="278"/>
                </a:lnTo>
                <a:lnTo>
                  <a:pt x="4" y="250"/>
                </a:lnTo>
                <a:lnTo>
                  <a:pt x="1" y="218"/>
                </a:lnTo>
                <a:lnTo>
                  <a:pt x="0" y="182"/>
                </a:lnTo>
                <a:lnTo>
                  <a:pt x="1" y="146"/>
                </a:lnTo>
                <a:lnTo>
                  <a:pt x="3" y="114"/>
                </a:lnTo>
                <a:lnTo>
                  <a:pt x="7" y="85"/>
                </a:lnTo>
                <a:lnTo>
                  <a:pt x="12" y="62"/>
                </a:lnTo>
                <a:lnTo>
                  <a:pt x="19" y="43"/>
                </a:lnTo>
                <a:lnTo>
                  <a:pt x="29" y="24"/>
                </a:lnTo>
                <a:lnTo>
                  <a:pt x="41" y="11"/>
                </a:lnTo>
                <a:lnTo>
                  <a:pt x="55" y="3"/>
                </a:lnTo>
                <a:lnTo>
                  <a:pt x="70" y="0"/>
                </a:lnTo>
                <a:close/>
              </a:path>
            </a:pathLst>
          </a:custGeom>
          <a:solidFill>
            <a:schemeClr val="tx2"/>
          </a:solidFill>
          <a:ln w="0">
            <a:noFill/>
            <a:prstDash val="solid"/>
            <a:round/>
            <a:headEnd/>
            <a:tailEnd/>
          </a:ln>
        </xdr:spPr>
      </xdr:sp>
    </xdr:grpSp>
    <xdr:clientData/>
  </xdr:twoCellAnchor>
  <xdr:twoCellAnchor>
    <xdr:from>
      <xdr:col>0</xdr:col>
      <xdr:colOff>247656</xdr:colOff>
      <xdr:row>0</xdr:row>
      <xdr:rowOff>361956</xdr:rowOff>
    </xdr:from>
    <xdr:to>
      <xdr:col>1</xdr:col>
      <xdr:colOff>197745</xdr:colOff>
      <xdr:row>2</xdr:row>
      <xdr:rowOff>45345</xdr:rowOff>
    </xdr:to>
    <xdr:grpSp>
      <xdr:nvGrpSpPr>
        <xdr:cNvPr id="6" name="Income icon" descr="&quot;&quot;" title="Income icon">
          <a:extLst>
            <a:ext uri="{FF2B5EF4-FFF2-40B4-BE49-F238E27FC236}">
              <a16:creationId xmlns:a16="http://schemas.microsoft.com/office/drawing/2014/main" id="{00000000-0008-0000-0200-000006000000}"/>
            </a:ext>
          </a:extLst>
        </xdr:cNvPr>
        <xdr:cNvGrpSpPr>
          <a:grpSpLocks noChangeAspect="1"/>
        </xdr:cNvGrpSpPr>
      </xdr:nvGrpSpPr>
      <xdr:grpSpPr bwMode="auto">
        <a:xfrm>
          <a:off x="247656" y="361956"/>
          <a:ext cx="397764" cy="397764"/>
          <a:chOff x="417" y="815"/>
          <a:chExt cx="56" cy="56"/>
        </a:xfrm>
      </xdr:grpSpPr>
      <xdr:sp macro="" textlink="">
        <xdr:nvSpPr>
          <xdr:cNvPr id="7" name="Rectangle 48">
            <a:extLst>
              <a:ext uri="{FF2B5EF4-FFF2-40B4-BE49-F238E27FC236}">
                <a16:creationId xmlns:a16="http://schemas.microsoft.com/office/drawing/2014/main" id="{00000000-0008-0000-0200-000007000000}"/>
              </a:ext>
            </a:extLst>
          </xdr:cNvPr>
          <xdr:cNvSpPr>
            <a:spLocks noChangeArrowheads="1"/>
          </xdr:cNvSpPr>
        </xdr:nvSpPr>
        <xdr:spPr bwMode="auto">
          <a:xfrm>
            <a:off x="417" y="815"/>
            <a:ext cx="56" cy="56"/>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Freeform 49">
            <a:extLst>
              <a:ext uri="{FF2B5EF4-FFF2-40B4-BE49-F238E27FC236}">
                <a16:creationId xmlns:a16="http://schemas.microsoft.com/office/drawing/2014/main" id="{00000000-0008-0000-0200-000008000000}"/>
              </a:ext>
            </a:extLst>
          </xdr:cNvPr>
          <xdr:cNvSpPr>
            <a:spLocks/>
          </xdr:cNvSpPr>
        </xdr:nvSpPr>
        <xdr:spPr bwMode="auto">
          <a:xfrm>
            <a:off x="417" y="816"/>
            <a:ext cx="55" cy="55"/>
          </a:xfrm>
          <a:custGeom>
            <a:avLst/>
            <a:gdLst>
              <a:gd name="T0" fmla="*/ 1676 w 3245"/>
              <a:gd name="T1" fmla="*/ 19 h 3231"/>
              <a:gd name="T2" fmla="*/ 2102 w 3245"/>
              <a:gd name="T3" fmla="*/ 90 h 3231"/>
              <a:gd name="T4" fmla="*/ 2170 w 3245"/>
              <a:gd name="T5" fmla="*/ 96 h 3231"/>
              <a:gd name="T6" fmla="*/ 2278 w 3245"/>
              <a:gd name="T7" fmla="*/ 421 h 3231"/>
              <a:gd name="T8" fmla="*/ 2608 w 3245"/>
              <a:gd name="T9" fmla="*/ 337 h 3231"/>
              <a:gd name="T10" fmla="*/ 2651 w 3245"/>
              <a:gd name="T11" fmla="*/ 391 h 3231"/>
              <a:gd name="T12" fmla="*/ 2941 w 3245"/>
              <a:gd name="T13" fmla="*/ 711 h 3231"/>
              <a:gd name="T14" fmla="*/ 2993 w 3245"/>
              <a:gd name="T15" fmla="*/ 758 h 3231"/>
              <a:gd name="T16" fmla="*/ 2879 w 3245"/>
              <a:gd name="T17" fmla="*/ 1074 h 3231"/>
              <a:gd name="T18" fmla="*/ 3192 w 3245"/>
              <a:gd name="T19" fmla="*/ 1212 h 3231"/>
              <a:gd name="T20" fmla="*/ 3192 w 3245"/>
              <a:gd name="T21" fmla="*/ 1280 h 3231"/>
              <a:gd name="T22" fmla="*/ 3232 w 3245"/>
              <a:gd name="T23" fmla="*/ 1712 h 3231"/>
              <a:gd name="T24" fmla="*/ 3241 w 3245"/>
              <a:gd name="T25" fmla="*/ 1780 h 3231"/>
              <a:gd name="T26" fmla="*/ 2950 w 3245"/>
              <a:gd name="T27" fmla="*/ 1957 h 3231"/>
              <a:gd name="T28" fmla="*/ 3120 w 3245"/>
              <a:gd name="T29" fmla="*/ 2261 h 3231"/>
              <a:gd name="T30" fmla="*/ 3079 w 3245"/>
              <a:gd name="T31" fmla="*/ 2316 h 3231"/>
              <a:gd name="T32" fmla="*/ 2841 w 3245"/>
              <a:gd name="T33" fmla="*/ 2684 h 3231"/>
              <a:gd name="T34" fmla="*/ 2808 w 3245"/>
              <a:gd name="T35" fmla="*/ 2744 h 3231"/>
              <a:gd name="T36" fmla="*/ 2472 w 3245"/>
              <a:gd name="T37" fmla="*/ 2714 h 3231"/>
              <a:gd name="T38" fmla="*/ 2414 w 3245"/>
              <a:gd name="T39" fmla="*/ 3047 h 3231"/>
              <a:gd name="T40" fmla="*/ 2348 w 3245"/>
              <a:gd name="T41" fmla="*/ 3064 h 3231"/>
              <a:gd name="T42" fmla="*/ 1938 w 3245"/>
              <a:gd name="T43" fmla="*/ 3203 h 3231"/>
              <a:gd name="T44" fmla="*/ 1886 w 3245"/>
              <a:gd name="T45" fmla="*/ 3230 h 3231"/>
              <a:gd name="T46" fmla="*/ 1827 w 3245"/>
              <a:gd name="T47" fmla="*/ 3207 h 3231"/>
              <a:gd name="T48" fmla="*/ 1389 w 3245"/>
              <a:gd name="T49" fmla="*/ 3227 h 3231"/>
              <a:gd name="T50" fmla="*/ 1321 w 3245"/>
              <a:gd name="T51" fmla="*/ 3215 h 3231"/>
              <a:gd name="T52" fmla="*/ 916 w 3245"/>
              <a:gd name="T53" fmla="*/ 3058 h 3231"/>
              <a:gd name="T54" fmla="*/ 847 w 3245"/>
              <a:gd name="T55" fmla="*/ 3057 h 3231"/>
              <a:gd name="T56" fmla="*/ 809 w 3245"/>
              <a:gd name="T57" fmla="*/ 3000 h 3231"/>
              <a:gd name="T58" fmla="*/ 459 w 3245"/>
              <a:gd name="T59" fmla="*/ 2752 h 3231"/>
              <a:gd name="T60" fmla="*/ 412 w 3245"/>
              <a:gd name="T61" fmla="*/ 2702 h 3231"/>
              <a:gd name="T62" fmla="*/ 184 w 3245"/>
              <a:gd name="T63" fmla="*/ 2322 h 3231"/>
              <a:gd name="T64" fmla="*/ 131 w 3245"/>
              <a:gd name="T65" fmla="*/ 2279 h 3231"/>
              <a:gd name="T66" fmla="*/ 136 w 3245"/>
              <a:gd name="T67" fmla="*/ 2209 h 3231"/>
              <a:gd name="T68" fmla="*/ 12 w 3245"/>
              <a:gd name="T69" fmla="*/ 1796 h 3231"/>
              <a:gd name="T70" fmla="*/ 6 w 3245"/>
              <a:gd name="T71" fmla="*/ 1727 h 3231"/>
              <a:gd name="T72" fmla="*/ 64 w 3245"/>
              <a:gd name="T73" fmla="*/ 1296 h 3231"/>
              <a:gd name="T74" fmla="*/ 47 w 3245"/>
              <a:gd name="T75" fmla="*/ 1229 h 3231"/>
              <a:gd name="T76" fmla="*/ 93 w 3245"/>
              <a:gd name="T77" fmla="*/ 1177 h 3231"/>
              <a:gd name="T78" fmla="*/ 250 w 3245"/>
              <a:gd name="T79" fmla="*/ 775 h 3231"/>
              <a:gd name="T80" fmla="*/ 287 w 3245"/>
              <a:gd name="T81" fmla="*/ 718 h 3231"/>
              <a:gd name="T82" fmla="*/ 599 w 3245"/>
              <a:gd name="T83" fmla="*/ 407 h 3231"/>
              <a:gd name="T84" fmla="*/ 628 w 3245"/>
              <a:gd name="T85" fmla="*/ 345 h 3231"/>
              <a:gd name="T86" fmla="*/ 695 w 3245"/>
              <a:gd name="T87" fmla="*/ 333 h 3231"/>
              <a:gd name="T88" fmla="*/ 1063 w 3245"/>
              <a:gd name="T89" fmla="*/ 108 h 3231"/>
              <a:gd name="T90" fmla="*/ 1128 w 3245"/>
              <a:gd name="T91" fmla="*/ 85 h 3231"/>
              <a:gd name="T92" fmla="*/ 1565 w 3245"/>
              <a:gd name="T93" fmla="*/ 32 h 3231"/>
              <a:gd name="T94" fmla="*/ 1626 w 3245"/>
              <a:gd name="T95" fmla="*/ 0 h 32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45" h="3231">
                <a:moveTo>
                  <a:pt x="1626" y="0"/>
                </a:moveTo>
                <a:lnTo>
                  <a:pt x="1644" y="3"/>
                </a:lnTo>
                <a:lnTo>
                  <a:pt x="1661" y="9"/>
                </a:lnTo>
                <a:lnTo>
                  <a:pt x="1676" y="19"/>
                </a:lnTo>
                <a:lnTo>
                  <a:pt x="1688" y="33"/>
                </a:lnTo>
                <a:lnTo>
                  <a:pt x="1847" y="272"/>
                </a:lnTo>
                <a:lnTo>
                  <a:pt x="2086" y="98"/>
                </a:lnTo>
                <a:lnTo>
                  <a:pt x="2102" y="90"/>
                </a:lnTo>
                <a:lnTo>
                  <a:pt x="2119" y="85"/>
                </a:lnTo>
                <a:lnTo>
                  <a:pt x="2136" y="85"/>
                </a:lnTo>
                <a:lnTo>
                  <a:pt x="2154" y="89"/>
                </a:lnTo>
                <a:lnTo>
                  <a:pt x="2170" y="96"/>
                </a:lnTo>
                <a:lnTo>
                  <a:pt x="2183" y="108"/>
                </a:lnTo>
                <a:lnTo>
                  <a:pt x="2193" y="122"/>
                </a:lnTo>
                <a:lnTo>
                  <a:pt x="2200" y="139"/>
                </a:lnTo>
                <a:lnTo>
                  <a:pt x="2278" y="421"/>
                </a:lnTo>
                <a:lnTo>
                  <a:pt x="2556" y="333"/>
                </a:lnTo>
                <a:lnTo>
                  <a:pt x="2574" y="330"/>
                </a:lnTo>
                <a:lnTo>
                  <a:pt x="2591" y="331"/>
                </a:lnTo>
                <a:lnTo>
                  <a:pt x="2608" y="337"/>
                </a:lnTo>
                <a:lnTo>
                  <a:pt x="2624" y="346"/>
                </a:lnTo>
                <a:lnTo>
                  <a:pt x="2637" y="359"/>
                </a:lnTo>
                <a:lnTo>
                  <a:pt x="2646" y="374"/>
                </a:lnTo>
                <a:lnTo>
                  <a:pt x="2651" y="391"/>
                </a:lnTo>
                <a:lnTo>
                  <a:pt x="2652" y="409"/>
                </a:lnTo>
                <a:lnTo>
                  <a:pt x="2632" y="702"/>
                </a:lnTo>
                <a:lnTo>
                  <a:pt x="2924" y="708"/>
                </a:lnTo>
                <a:lnTo>
                  <a:pt x="2941" y="711"/>
                </a:lnTo>
                <a:lnTo>
                  <a:pt x="2958" y="718"/>
                </a:lnTo>
                <a:lnTo>
                  <a:pt x="2972" y="728"/>
                </a:lnTo>
                <a:lnTo>
                  <a:pt x="2985" y="742"/>
                </a:lnTo>
                <a:lnTo>
                  <a:pt x="2993" y="758"/>
                </a:lnTo>
                <a:lnTo>
                  <a:pt x="2996" y="776"/>
                </a:lnTo>
                <a:lnTo>
                  <a:pt x="2996" y="793"/>
                </a:lnTo>
                <a:lnTo>
                  <a:pt x="2991" y="811"/>
                </a:lnTo>
                <a:lnTo>
                  <a:pt x="2879" y="1074"/>
                </a:lnTo>
                <a:lnTo>
                  <a:pt x="3153" y="1177"/>
                </a:lnTo>
                <a:lnTo>
                  <a:pt x="3169" y="1185"/>
                </a:lnTo>
                <a:lnTo>
                  <a:pt x="3182" y="1197"/>
                </a:lnTo>
                <a:lnTo>
                  <a:pt x="3192" y="1212"/>
                </a:lnTo>
                <a:lnTo>
                  <a:pt x="3199" y="1229"/>
                </a:lnTo>
                <a:lnTo>
                  <a:pt x="3201" y="1246"/>
                </a:lnTo>
                <a:lnTo>
                  <a:pt x="3199" y="1264"/>
                </a:lnTo>
                <a:lnTo>
                  <a:pt x="3192" y="1280"/>
                </a:lnTo>
                <a:lnTo>
                  <a:pt x="3182" y="1295"/>
                </a:lnTo>
                <a:lnTo>
                  <a:pt x="2993" y="1506"/>
                </a:lnTo>
                <a:lnTo>
                  <a:pt x="3220" y="1699"/>
                </a:lnTo>
                <a:lnTo>
                  <a:pt x="3232" y="1712"/>
                </a:lnTo>
                <a:lnTo>
                  <a:pt x="3241" y="1727"/>
                </a:lnTo>
                <a:lnTo>
                  <a:pt x="3245" y="1745"/>
                </a:lnTo>
                <a:lnTo>
                  <a:pt x="3245" y="1763"/>
                </a:lnTo>
                <a:lnTo>
                  <a:pt x="3241" y="1780"/>
                </a:lnTo>
                <a:lnTo>
                  <a:pt x="3233" y="1796"/>
                </a:lnTo>
                <a:lnTo>
                  <a:pt x="3222" y="1810"/>
                </a:lnTo>
                <a:lnTo>
                  <a:pt x="3207" y="1820"/>
                </a:lnTo>
                <a:lnTo>
                  <a:pt x="2950" y="1957"/>
                </a:lnTo>
                <a:lnTo>
                  <a:pt x="3110" y="2209"/>
                </a:lnTo>
                <a:lnTo>
                  <a:pt x="3117" y="2225"/>
                </a:lnTo>
                <a:lnTo>
                  <a:pt x="3121" y="2244"/>
                </a:lnTo>
                <a:lnTo>
                  <a:pt x="3120" y="2261"/>
                </a:lnTo>
                <a:lnTo>
                  <a:pt x="3115" y="2278"/>
                </a:lnTo>
                <a:lnTo>
                  <a:pt x="3106" y="2294"/>
                </a:lnTo>
                <a:lnTo>
                  <a:pt x="3094" y="2307"/>
                </a:lnTo>
                <a:lnTo>
                  <a:pt x="3079" y="2316"/>
                </a:lnTo>
                <a:lnTo>
                  <a:pt x="3062" y="2322"/>
                </a:lnTo>
                <a:lnTo>
                  <a:pt x="2772" y="2379"/>
                </a:lnTo>
                <a:lnTo>
                  <a:pt x="2839" y="2666"/>
                </a:lnTo>
                <a:lnTo>
                  <a:pt x="2841" y="2684"/>
                </a:lnTo>
                <a:lnTo>
                  <a:pt x="2839" y="2702"/>
                </a:lnTo>
                <a:lnTo>
                  <a:pt x="2832" y="2718"/>
                </a:lnTo>
                <a:lnTo>
                  <a:pt x="2822" y="2733"/>
                </a:lnTo>
                <a:lnTo>
                  <a:pt x="2808" y="2744"/>
                </a:lnTo>
                <a:lnTo>
                  <a:pt x="2792" y="2752"/>
                </a:lnTo>
                <a:lnTo>
                  <a:pt x="2774" y="2756"/>
                </a:lnTo>
                <a:lnTo>
                  <a:pt x="2757" y="2756"/>
                </a:lnTo>
                <a:lnTo>
                  <a:pt x="2472" y="2714"/>
                </a:lnTo>
                <a:lnTo>
                  <a:pt x="2438" y="3001"/>
                </a:lnTo>
                <a:lnTo>
                  <a:pt x="2433" y="3018"/>
                </a:lnTo>
                <a:lnTo>
                  <a:pt x="2425" y="3034"/>
                </a:lnTo>
                <a:lnTo>
                  <a:pt x="2414" y="3047"/>
                </a:lnTo>
                <a:lnTo>
                  <a:pt x="2399" y="3057"/>
                </a:lnTo>
                <a:lnTo>
                  <a:pt x="2383" y="3064"/>
                </a:lnTo>
                <a:lnTo>
                  <a:pt x="2365" y="3066"/>
                </a:lnTo>
                <a:lnTo>
                  <a:pt x="2348" y="3064"/>
                </a:lnTo>
                <a:lnTo>
                  <a:pt x="2331" y="3058"/>
                </a:lnTo>
                <a:lnTo>
                  <a:pt x="2067" y="2926"/>
                </a:lnTo>
                <a:lnTo>
                  <a:pt x="1947" y="3187"/>
                </a:lnTo>
                <a:lnTo>
                  <a:pt x="1938" y="3203"/>
                </a:lnTo>
                <a:lnTo>
                  <a:pt x="1925" y="3215"/>
                </a:lnTo>
                <a:lnTo>
                  <a:pt x="1909" y="3225"/>
                </a:lnTo>
                <a:lnTo>
                  <a:pt x="1892" y="3230"/>
                </a:lnTo>
                <a:lnTo>
                  <a:pt x="1886" y="3230"/>
                </a:lnTo>
                <a:lnTo>
                  <a:pt x="1880" y="3231"/>
                </a:lnTo>
                <a:lnTo>
                  <a:pt x="1860" y="3228"/>
                </a:lnTo>
                <a:lnTo>
                  <a:pt x="1842" y="3220"/>
                </a:lnTo>
                <a:lnTo>
                  <a:pt x="1827" y="3207"/>
                </a:lnTo>
                <a:lnTo>
                  <a:pt x="1625" y="2997"/>
                </a:lnTo>
                <a:lnTo>
                  <a:pt x="1419" y="3208"/>
                </a:lnTo>
                <a:lnTo>
                  <a:pt x="1405" y="3220"/>
                </a:lnTo>
                <a:lnTo>
                  <a:pt x="1389" y="3227"/>
                </a:lnTo>
                <a:lnTo>
                  <a:pt x="1371" y="3231"/>
                </a:lnTo>
                <a:lnTo>
                  <a:pt x="1354" y="3229"/>
                </a:lnTo>
                <a:lnTo>
                  <a:pt x="1337" y="3224"/>
                </a:lnTo>
                <a:lnTo>
                  <a:pt x="1321" y="3215"/>
                </a:lnTo>
                <a:lnTo>
                  <a:pt x="1309" y="3203"/>
                </a:lnTo>
                <a:lnTo>
                  <a:pt x="1299" y="3188"/>
                </a:lnTo>
                <a:lnTo>
                  <a:pt x="1176" y="2926"/>
                </a:lnTo>
                <a:lnTo>
                  <a:pt x="916" y="3058"/>
                </a:lnTo>
                <a:lnTo>
                  <a:pt x="899" y="3064"/>
                </a:lnTo>
                <a:lnTo>
                  <a:pt x="881" y="3066"/>
                </a:lnTo>
                <a:lnTo>
                  <a:pt x="864" y="3064"/>
                </a:lnTo>
                <a:lnTo>
                  <a:pt x="847" y="3057"/>
                </a:lnTo>
                <a:lnTo>
                  <a:pt x="832" y="3047"/>
                </a:lnTo>
                <a:lnTo>
                  <a:pt x="821" y="3033"/>
                </a:lnTo>
                <a:lnTo>
                  <a:pt x="813" y="3018"/>
                </a:lnTo>
                <a:lnTo>
                  <a:pt x="809" y="3000"/>
                </a:lnTo>
                <a:lnTo>
                  <a:pt x="779" y="2714"/>
                </a:lnTo>
                <a:lnTo>
                  <a:pt x="495" y="2756"/>
                </a:lnTo>
                <a:lnTo>
                  <a:pt x="476" y="2756"/>
                </a:lnTo>
                <a:lnTo>
                  <a:pt x="459" y="2752"/>
                </a:lnTo>
                <a:lnTo>
                  <a:pt x="443" y="2744"/>
                </a:lnTo>
                <a:lnTo>
                  <a:pt x="429" y="2733"/>
                </a:lnTo>
                <a:lnTo>
                  <a:pt x="419" y="2718"/>
                </a:lnTo>
                <a:lnTo>
                  <a:pt x="412" y="2702"/>
                </a:lnTo>
                <a:lnTo>
                  <a:pt x="410" y="2684"/>
                </a:lnTo>
                <a:lnTo>
                  <a:pt x="412" y="2666"/>
                </a:lnTo>
                <a:lnTo>
                  <a:pt x="479" y="2379"/>
                </a:lnTo>
                <a:lnTo>
                  <a:pt x="184" y="2322"/>
                </a:lnTo>
                <a:lnTo>
                  <a:pt x="167" y="2316"/>
                </a:lnTo>
                <a:lnTo>
                  <a:pt x="152" y="2307"/>
                </a:lnTo>
                <a:lnTo>
                  <a:pt x="140" y="2294"/>
                </a:lnTo>
                <a:lnTo>
                  <a:pt x="131" y="2279"/>
                </a:lnTo>
                <a:lnTo>
                  <a:pt x="126" y="2261"/>
                </a:lnTo>
                <a:lnTo>
                  <a:pt x="125" y="2244"/>
                </a:lnTo>
                <a:lnTo>
                  <a:pt x="128" y="2226"/>
                </a:lnTo>
                <a:lnTo>
                  <a:pt x="136" y="2209"/>
                </a:lnTo>
                <a:lnTo>
                  <a:pt x="292" y="1957"/>
                </a:lnTo>
                <a:lnTo>
                  <a:pt x="39" y="1820"/>
                </a:lnTo>
                <a:lnTo>
                  <a:pt x="24" y="1810"/>
                </a:lnTo>
                <a:lnTo>
                  <a:pt x="12" y="1796"/>
                </a:lnTo>
                <a:lnTo>
                  <a:pt x="4" y="1780"/>
                </a:lnTo>
                <a:lnTo>
                  <a:pt x="0" y="1762"/>
                </a:lnTo>
                <a:lnTo>
                  <a:pt x="1" y="1744"/>
                </a:lnTo>
                <a:lnTo>
                  <a:pt x="6" y="1727"/>
                </a:lnTo>
                <a:lnTo>
                  <a:pt x="15" y="1711"/>
                </a:lnTo>
                <a:lnTo>
                  <a:pt x="27" y="1698"/>
                </a:lnTo>
                <a:lnTo>
                  <a:pt x="258" y="1506"/>
                </a:lnTo>
                <a:lnTo>
                  <a:pt x="64" y="1296"/>
                </a:lnTo>
                <a:lnTo>
                  <a:pt x="54" y="1281"/>
                </a:lnTo>
                <a:lnTo>
                  <a:pt x="47" y="1265"/>
                </a:lnTo>
                <a:lnTo>
                  <a:pt x="45" y="1247"/>
                </a:lnTo>
                <a:lnTo>
                  <a:pt x="47" y="1229"/>
                </a:lnTo>
                <a:lnTo>
                  <a:pt x="53" y="1212"/>
                </a:lnTo>
                <a:lnTo>
                  <a:pt x="63" y="1197"/>
                </a:lnTo>
                <a:lnTo>
                  <a:pt x="77" y="1186"/>
                </a:lnTo>
                <a:lnTo>
                  <a:pt x="93" y="1177"/>
                </a:lnTo>
                <a:lnTo>
                  <a:pt x="365" y="1074"/>
                </a:lnTo>
                <a:lnTo>
                  <a:pt x="255" y="810"/>
                </a:lnTo>
                <a:lnTo>
                  <a:pt x="250" y="793"/>
                </a:lnTo>
                <a:lnTo>
                  <a:pt x="250" y="775"/>
                </a:lnTo>
                <a:lnTo>
                  <a:pt x="253" y="758"/>
                </a:lnTo>
                <a:lnTo>
                  <a:pt x="261" y="742"/>
                </a:lnTo>
                <a:lnTo>
                  <a:pt x="273" y="728"/>
                </a:lnTo>
                <a:lnTo>
                  <a:pt x="287" y="718"/>
                </a:lnTo>
                <a:lnTo>
                  <a:pt x="303" y="711"/>
                </a:lnTo>
                <a:lnTo>
                  <a:pt x="321" y="708"/>
                </a:lnTo>
                <a:lnTo>
                  <a:pt x="613" y="702"/>
                </a:lnTo>
                <a:lnTo>
                  <a:pt x="599" y="407"/>
                </a:lnTo>
                <a:lnTo>
                  <a:pt x="601" y="389"/>
                </a:lnTo>
                <a:lnTo>
                  <a:pt x="606" y="373"/>
                </a:lnTo>
                <a:lnTo>
                  <a:pt x="615" y="358"/>
                </a:lnTo>
                <a:lnTo>
                  <a:pt x="628" y="345"/>
                </a:lnTo>
                <a:lnTo>
                  <a:pt x="643" y="336"/>
                </a:lnTo>
                <a:lnTo>
                  <a:pt x="660" y="331"/>
                </a:lnTo>
                <a:lnTo>
                  <a:pt x="678" y="330"/>
                </a:lnTo>
                <a:lnTo>
                  <a:pt x="695" y="333"/>
                </a:lnTo>
                <a:lnTo>
                  <a:pt x="971" y="420"/>
                </a:lnTo>
                <a:lnTo>
                  <a:pt x="1046" y="140"/>
                </a:lnTo>
                <a:lnTo>
                  <a:pt x="1053" y="123"/>
                </a:lnTo>
                <a:lnTo>
                  <a:pt x="1063" y="108"/>
                </a:lnTo>
                <a:lnTo>
                  <a:pt x="1076" y="97"/>
                </a:lnTo>
                <a:lnTo>
                  <a:pt x="1093" y="89"/>
                </a:lnTo>
                <a:lnTo>
                  <a:pt x="1110" y="85"/>
                </a:lnTo>
                <a:lnTo>
                  <a:pt x="1128" y="85"/>
                </a:lnTo>
                <a:lnTo>
                  <a:pt x="1145" y="90"/>
                </a:lnTo>
                <a:lnTo>
                  <a:pt x="1161" y="99"/>
                </a:lnTo>
                <a:lnTo>
                  <a:pt x="1397" y="272"/>
                </a:lnTo>
                <a:lnTo>
                  <a:pt x="1565" y="32"/>
                </a:lnTo>
                <a:lnTo>
                  <a:pt x="1577" y="19"/>
                </a:lnTo>
                <a:lnTo>
                  <a:pt x="1590" y="10"/>
                </a:lnTo>
                <a:lnTo>
                  <a:pt x="1607" y="4"/>
                </a:lnTo>
                <a:lnTo>
                  <a:pt x="1626" y="0"/>
                </a:lnTo>
                <a:close/>
              </a:path>
            </a:pathLst>
          </a:custGeom>
          <a:solidFill>
            <a:srgbClr val="FFFFFF"/>
          </a:solidFill>
          <a:ln w="0">
            <a:noFill/>
            <a:prstDash val="solid"/>
            <a:round/>
            <a:headEnd/>
            <a:tailEnd/>
          </a:ln>
        </xdr:spPr>
      </xdr:sp>
      <xdr:sp macro="" textlink="">
        <xdr:nvSpPr>
          <xdr:cNvPr id="9" name="Freeform 50">
            <a:extLst>
              <a:ext uri="{FF2B5EF4-FFF2-40B4-BE49-F238E27FC236}">
                <a16:creationId xmlns:a16="http://schemas.microsoft.com/office/drawing/2014/main" id="{00000000-0008-0000-0200-000009000000}"/>
              </a:ext>
            </a:extLst>
          </xdr:cNvPr>
          <xdr:cNvSpPr>
            <a:spLocks/>
          </xdr:cNvSpPr>
        </xdr:nvSpPr>
        <xdr:spPr bwMode="auto">
          <a:xfrm>
            <a:off x="432" y="832"/>
            <a:ext cx="25" cy="25"/>
          </a:xfrm>
          <a:custGeom>
            <a:avLst/>
            <a:gdLst>
              <a:gd name="T0" fmla="*/ 807 w 1528"/>
              <a:gd name="T1" fmla="*/ 1 h 1465"/>
              <a:gd name="T2" fmla="*/ 875 w 1528"/>
              <a:gd name="T3" fmla="*/ 7 h 1465"/>
              <a:gd name="T4" fmla="*/ 922 w 1528"/>
              <a:gd name="T5" fmla="*/ 19 h 1465"/>
              <a:gd name="T6" fmla="*/ 957 w 1528"/>
              <a:gd name="T7" fmla="*/ 42 h 1465"/>
              <a:gd name="T8" fmla="*/ 969 w 1528"/>
              <a:gd name="T9" fmla="*/ 73 h 1465"/>
              <a:gd name="T10" fmla="*/ 1455 w 1528"/>
              <a:gd name="T11" fmla="*/ 551 h 1465"/>
              <a:gd name="T12" fmla="*/ 1485 w 1528"/>
              <a:gd name="T13" fmla="*/ 562 h 1465"/>
              <a:gd name="T14" fmla="*/ 1508 w 1528"/>
              <a:gd name="T15" fmla="*/ 594 h 1465"/>
              <a:gd name="T16" fmla="*/ 1521 w 1528"/>
              <a:gd name="T17" fmla="*/ 636 h 1465"/>
              <a:gd name="T18" fmla="*/ 1527 w 1528"/>
              <a:gd name="T19" fmla="*/ 697 h 1465"/>
              <a:gd name="T20" fmla="*/ 1527 w 1528"/>
              <a:gd name="T21" fmla="*/ 769 h 1465"/>
              <a:gd name="T22" fmla="*/ 1520 w 1528"/>
              <a:gd name="T23" fmla="*/ 829 h 1465"/>
              <a:gd name="T24" fmla="*/ 1504 w 1528"/>
              <a:gd name="T25" fmla="*/ 869 h 1465"/>
              <a:gd name="T26" fmla="*/ 1480 w 1528"/>
              <a:gd name="T27" fmla="*/ 898 h 1465"/>
              <a:gd name="T28" fmla="*/ 1452 w 1528"/>
              <a:gd name="T29" fmla="*/ 908 h 1465"/>
              <a:gd name="T30" fmla="*/ 969 w 1528"/>
              <a:gd name="T31" fmla="*/ 1392 h 1465"/>
              <a:gd name="T32" fmla="*/ 957 w 1528"/>
              <a:gd name="T33" fmla="*/ 1423 h 1465"/>
              <a:gd name="T34" fmla="*/ 922 w 1528"/>
              <a:gd name="T35" fmla="*/ 1446 h 1465"/>
              <a:gd name="T36" fmla="*/ 875 w 1528"/>
              <a:gd name="T37" fmla="*/ 1458 h 1465"/>
              <a:gd name="T38" fmla="*/ 807 w 1528"/>
              <a:gd name="T39" fmla="*/ 1464 h 1465"/>
              <a:gd name="T40" fmla="*/ 722 w 1528"/>
              <a:gd name="T41" fmla="*/ 1464 h 1465"/>
              <a:gd name="T42" fmla="*/ 651 w 1528"/>
              <a:gd name="T43" fmla="*/ 1458 h 1465"/>
              <a:gd name="T44" fmla="*/ 603 w 1528"/>
              <a:gd name="T45" fmla="*/ 1446 h 1465"/>
              <a:gd name="T46" fmla="*/ 569 w 1528"/>
              <a:gd name="T47" fmla="*/ 1423 h 1465"/>
              <a:gd name="T48" fmla="*/ 557 w 1528"/>
              <a:gd name="T49" fmla="*/ 1392 h 1465"/>
              <a:gd name="T50" fmla="*/ 73 w 1528"/>
              <a:gd name="T51" fmla="*/ 908 h 1465"/>
              <a:gd name="T52" fmla="*/ 46 w 1528"/>
              <a:gd name="T53" fmla="*/ 898 h 1465"/>
              <a:gd name="T54" fmla="*/ 23 w 1528"/>
              <a:gd name="T55" fmla="*/ 869 h 1465"/>
              <a:gd name="T56" fmla="*/ 8 w 1528"/>
              <a:gd name="T57" fmla="*/ 829 h 1465"/>
              <a:gd name="T58" fmla="*/ 1 w 1528"/>
              <a:gd name="T59" fmla="*/ 769 h 1465"/>
              <a:gd name="T60" fmla="*/ 1 w 1528"/>
              <a:gd name="T61" fmla="*/ 697 h 1465"/>
              <a:gd name="T62" fmla="*/ 7 w 1528"/>
              <a:gd name="T63" fmla="*/ 636 h 1465"/>
              <a:gd name="T64" fmla="*/ 19 w 1528"/>
              <a:gd name="T65" fmla="*/ 594 h 1465"/>
              <a:gd name="T66" fmla="*/ 41 w 1528"/>
              <a:gd name="T67" fmla="*/ 562 h 1465"/>
              <a:gd name="T68" fmla="*/ 70 w 1528"/>
              <a:gd name="T69" fmla="*/ 551 h 1465"/>
              <a:gd name="T70" fmla="*/ 557 w 1528"/>
              <a:gd name="T71" fmla="*/ 73 h 1465"/>
              <a:gd name="T72" fmla="*/ 569 w 1528"/>
              <a:gd name="T73" fmla="*/ 42 h 1465"/>
              <a:gd name="T74" fmla="*/ 603 w 1528"/>
              <a:gd name="T75" fmla="*/ 19 h 1465"/>
              <a:gd name="T76" fmla="*/ 651 w 1528"/>
              <a:gd name="T77" fmla="*/ 7 h 1465"/>
              <a:gd name="T78" fmla="*/ 722 w 1528"/>
              <a:gd name="T79" fmla="*/ 1 h 14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1528" h="1465">
                <a:moveTo>
                  <a:pt x="765" y="0"/>
                </a:moveTo>
                <a:lnTo>
                  <a:pt x="807" y="1"/>
                </a:lnTo>
                <a:lnTo>
                  <a:pt x="844" y="3"/>
                </a:lnTo>
                <a:lnTo>
                  <a:pt x="875" y="7"/>
                </a:lnTo>
                <a:lnTo>
                  <a:pt x="901" y="12"/>
                </a:lnTo>
                <a:lnTo>
                  <a:pt x="922" y="19"/>
                </a:lnTo>
                <a:lnTo>
                  <a:pt x="943" y="30"/>
                </a:lnTo>
                <a:lnTo>
                  <a:pt x="957" y="42"/>
                </a:lnTo>
                <a:lnTo>
                  <a:pt x="966" y="56"/>
                </a:lnTo>
                <a:lnTo>
                  <a:pt x="969" y="73"/>
                </a:lnTo>
                <a:lnTo>
                  <a:pt x="969" y="551"/>
                </a:lnTo>
                <a:lnTo>
                  <a:pt x="1455" y="551"/>
                </a:lnTo>
                <a:lnTo>
                  <a:pt x="1471" y="554"/>
                </a:lnTo>
                <a:lnTo>
                  <a:pt x="1485" y="562"/>
                </a:lnTo>
                <a:lnTo>
                  <a:pt x="1497" y="575"/>
                </a:lnTo>
                <a:lnTo>
                  <a:pt x="1508" y="594"/>
                </a:lnTo>
                <a:lnTo>
                  <a:pt x="1515" y="613"/>
                </a:lnTo>
                <a:lnTo>
                  <a:pt x="1521" y="636"/>
                </a:lnTo>
                <a:lnTo>
                  <a:pt x="1525" y="665"/>
                </a:lnTo>
                <a:lnTo>
                  <a:pt x="1527" y="697"/>
                </a:lnTo>
                <a:lnTo>
                  <a:pt x="1528" y="733"/>
                </a:lnTo>
                <a:lnTo>
                  <a:pt x="1527" y="769"/>
                </a:lnTo>
                <a:lnTo>
                  <a:pt x="1524" y="801"/>
                </a:lnTo>
                <a:lnTo>
                  <a:pt x="1520" y="829"/>
                </a:lnTo>
                <a:lnTo>
                  <a:pt x="1513" y="851"/>
                </a:lnTo>
                <a:lnTo>
                  <a:pt x="1504" y="869"/>
                </a:lnTo>
                <a:lnTo>
                  <a:pt x="1492" y="886"/>
                </a:lnTo>
                <a:lnTo>
                  <a:pt x="1480" y="898"/>
                </a:lnTo>
                <a:lnTo>
                  <a:pt x="1467" y="905"/>
                </a:lnTo>
                <a:lnTo>
                  <a:pt x="1452" y="908"/>
                </a:lnTo>
                <a:lnTo>
                  <a:pt x="969" y="908"/>
                </a:lnTo>
                <a:lnTo>
                  <a:pt x="969" y="1392"/>
                </a:lnTo>
                <a:lnTo>
                  <a:pt x="966" y="1409"/>
                </a:lnTo>
                <a:lnTo>
                  <a:pt x="957" y="1423"/>
                </a:lnTo>
                <a:lnTo>
                  <a:pt x="943" y="1436"/>
                </a:lnTo>
                <a:lnTo>
                  <a:pt x="922" y="1446"/>
                </a:lnTo>
                <a:lnTo>
                  <a:pt x="901" y="1453"/>
                </a:lnTo>
                <a:lnTo>
                  <a:pt x="875" y="1458"/>
                </a:lnTo>
                <a:lnTo>
                  <a:pt x="844" y="1462"/>
                </a:lnTo>
                <a:lnTo>
                  <a:pt x="807" y="1464"/>
                </a:lnTo>
                <a:lnTo>
                  <a:pt x="765" y="1465"/>
                </a:lnTo>
                <a:lnTo>
                  <a:pt x="722" y="1464"/>
                </a:lnTo>
                <a:lnTo>
                  <a:pt x="684" y="1462"/>
                </a:lnTo>
                <a:lnTo>
                  <a:pt x="651" y="1458"/>
                </a:lnTo>
                <a:lnTo>
                  <a:pt x="625" y="1453"/>
                </a:lnTo>
                <a:lnTo>
                  <a:pt x="603" y="1446"/>
                </a:lnTo>
                <a:lnTo>
                  <a:pt x="583" y="1436"/>
                </a:lnTo>
                <a:lnTo>
                  <a:pt x="569" y="1423"/>
                </a:lnTo>
                <a:lnTo>
                  <a:pt x="560" y="1409"/>
                </a:lnTo>
                <a:lnTo>
                  <a:pt x="557" y="1392"/>
                </a:lnTo>
                <a:lnTo>
                  <a:pt x="557" y="908"/>
                </a:lnTo>
                <a:lnTo>
                  <a:pt x="73" y="908"/>
                </a:lnTo>
                <a:lnTo>
                  <a:pt x="59" y="905"/>
                </a:lnTo>
                <a:lnTo>
                  <a:pt x="46" y="898"/>
                </a:lnTo>
                <a:lnTo>
                  <a:pt x="34" y="886"/>
                </a:lnTo>
                <a:lnTo>
                  <a:pt x="23" y="869"/>
                </a:lnTo>
                <a:lnTo>
                  <a:pt x="15" y="851"/>
                </a:lnTo>
                <a:lnTo>
                  <a:pt x="8" y="829"/>
                </a:lnTo>
                <a:lnTo>
                  <a:pt x="4" y="801"/>
                </a:lnTo>
                <a:lnTo>
                  <a:pt x="1" y="769"/>
                </a:lnTo>
                <a:lnTo>
                  <a:pt x="0" y="733"/>
                </a:lnTo>
                <a:lnTo>
                  <a:pt x="1" y="697"/>
                </a:lnTo>
                <a:lnTo>
                  <a:pt x="3" y="665"/>
                </a:lnTo>
                <a:lnTo>
                  <a:pt x="7" y="636"/>
                </a:lnTo>
                <a:lnTo>
                  <a:pt x="12" y="613"/>
                </a:lnTo>
                <a:lnTo>
                  <a:pt x="19" y="594"/>
                </a:lnTo>
                <a:lnTo>
                  <a:pt x="29" y="575"/>
                </a:lnTo>
                <a:lnTo>
                  <a:pt x="41" y="562"/>
                </a:lnTo>
                <a:lnTo>
                  <a:pt x="55" y="554"/>
                </a:lnTo>
                <a:lnTo>
                  <a:pt x="70" y="551"/>
                </a:lnTo>
                <a:lnTo>
                  <a:pt x="557" y="551"/>
                </a:lnTo>
                <a:lnTo>
                  <a:pt x="557" y="73"/>
                </a:lnTo>
                <a:lnTo>
                  <a:pt x="560" y="56"/>
                </a:lnTo>
                <a:lnTo>
                  <a:pt x="569" y="42"/>
                </a:lnTo>
                <a:lnTo>
                  <a:pt x="583" y="30"/>
                </a:lnTo>
                <a:lnTo>
                  <a:pt x="603" y="19"/>
                </a:lnTo>
                <a:lnTo>
                  <a:pt x="625" y="12"/>
                </a:lnTo>
                <a:lnTo>
                  <a:pt x="651" y="7"/>
                </a:lnTo>
                <a:lnTo>
                  <a:pt x="684" y="3"/>
                </a:lnTo>
                <a:lnTo>
                  <a:pt x="722" y="1"/>
                </a:lnTo>
                <a:lnTo>
                  <a:pt x="765" y="0"/>
                </a:lnTo>
                <a:close/>
              </a:path>
            </a:pathLst>
          </a:custGeom>
          <a:solidFill>
            <a:schemeClr val="tx2"/>
          </a:solidFill>
          <a:ln w="0">
            <a:noFill/>
            <a:prstDash val="solid"/>
            <a:round/>
            <a:headEnd/>
            <a:tailEnd/>
          </a:ln>
        </xdr:spPr>
      </xdr:sp>
    </xdr:grpSp>
    <xdr:clientData/>
  </xdr:twoCellAnchor>
  <xdr:twoCellAnchor>
    <xdr:from>
      <xdr:col>10</xdr:col>
      <xdr:colOff>148469</xdr:colOff>
      <xdr:row>0</xdr:row>
      <xdr:rowOff>95251</xdr:rowOff>
    </xdr:from>
    <xdr:to>
      <xdr:col>11</xdr:col>
      <xdr:colOff>754259</xdr:colOff>
      <xdr:row>0</xdr:row>
      <xdr:rowOff>333375</xdr:rowOff>
    </xdr:to>
    <xdr:sp macro="" textlink="">
      <xdr:nvSpPr>
        <xdr:cNvPr id="30" name="Back to Overview" descr="Click to return to the Dashboard sheet" title="Back to Overview">
          <a:hlinkClick xmlns:r="http://schemas.openxmlformats.org/officeDocument/2006/relationships" r:id="rId1" tooltip="Click to return to the Dashboard"/>
          <a:extLst>
            <a:ext uri="{FF2B5EF4-FFF2-40B4-BE49-F238E27FC236}">
              <a16:creationId xmlns:a16="http://schemas.microsoft.com/office/drawing/2014/main" id="{00000000-0008-0000-0200-00001E000000}"/>
            </a:ext>
          </a:extLst>
        </xdr:cNvPr>
        <xdr:cNvSpPr txBox="1"/>
      </xdr:nvSpPr>
      <xdr:spPr>
        <a:xfrm>
          <a:off x="8892419" y="95251"/>
          <a:ext cx="1463040" cy="238124"/>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800" b="1" spc="40" baseline="0">
              <a:solidFill>
                <a:schemeClr val="bg1"/>
              </a:solidFill>
              <a:latin typeface="+mj-lt"/>
            </a:rPr>
            <a:t>back to overview</a:t>
          </a:r>
        </a:p>
      </xdr:txBody>
    </xdr:sp>
    <xdr:clientData fPrintsWithSheet="0"/>
  </xdr:twoCellAnchor>
  <xdr:twoCellAnchor editAs="oneCell">
    <xdr:from>
      <xdr:col>9</xdr:col>
      <xdr:colOff>1162050</xdr:colOff>
      <xdr:row>0</xdr:row>
      <xdr:rowOff>28575</xdr:rowOff>
    </xdr:from>
    <xdr:to>
      <xdr:col>10</xdr:col>
      <xdr:colOff>203835</xdr:colOff>
      <xdr:row>0</xdr:row>
      <xdr:rowOff>394335</xdr:rowOff>
    </xdr:to>
    <xdr:grpSp>
      <xdr:nvGrpSpPr>
        <xdr:cNvPr id="32" name="shpGauge" descr="&quot;&quot;" title="Dashboard icon">
          <a:extLst>
            <a:ext uri="{FF2B5EF4-FFF2-40B4-BE49-F238E27FC236}">
              <a16:creationId xmlns:a16="http://schemas.microsoft.com/office/drawing/2014/main" id="{00000000-0008-0000-0200-000020000000}"/>
            </a:ext>
          </a:extLst>
        </xdr:cNvPr>
        <xdr:cNvGrpSpPr>
          <a:grpSpLocks noChangeAspect="1"/>
        </xdr:cNvGrpSpPr>
      </xdr:nvGrpSpPr>
      <xdr:grpSpPr bwMode="auto">
        <a:xfrm>
          <a:off x="8582025" y="28575"/>
          <a:ext cx="365760" cy="365760"/>
          <a:chOff x="695" y="842"/>
          <a:chExt cx="45" cy="45"/>
        </a:xfrm>
      </xdr:grpSpPr>
      <xdr:sp macro="" textlink="">
        <xdr:nvSpPr>
          <xdr:cNvPr id="33" name="Rectangle 60">
            <a:extLst>
              <a:ext uri="{FF2B5EF4-FFF2-40B4-BE49-F238E27FC236}">
                <a16:creationId xmlns:a16="http://schemas.microsoft.com/office/drawing/2014/main" id="{00000000-0008-0000-0200-000021000000}"/>
              </a:ext>
            </a:extLst>
          </xdr:cNvPr>
          <xdr:cNvSpPr>
            <a:spLocks noChangeArrowheads="1"/>
          </xdr:cNvSpPr>
        </xdr:nvSpPr>
        <xdr:spPr bwMode="auto">
          <a:xfrm>
            <a:off x="695" y="842"/>
            <a:ext cx="45" cy="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4" name="Freeform 61">
            <a:extLst>
              <a:ext uri="{FF2B5EF4-FFF2-40B4-BE49-F238E27FC236}">
                <a16:creationId xmlns:a16="http://schemas.microsoft.com/office/drawing/2014/main" id="{00000000-0008-0000-0200-000022000000}"/>
              </a:ext>
            </a:extLst>
          </xdr:cNvPr>
          <xdr:cNvSpPr>
            <a:spLocks/>
          </xdr:cNvSpPr>
        </xdr:nvSpPr>
        <xdr:spPr bwMode="auto">
          <a:xfrm>
            <a:off x="695" y="842"/>
            <a:ext cx="44" cy="44"/>
          </a:xfrm>
          <a:custGeom>
            <a:avLst/>
            <a:gdLst>
              <a:gd name="T0" fmla="*/ 1672 w 3238"/>
              <a:gd name="T1" fmla="*/ 18 h 3203"/>
              <a:gd name="T2" fmla="*/ 2098 w 3238"/>
              <a:gd name="T3" fmla="*/ 88 h 3203"/>
              <a:gd name="T4" fmla="*/ 2165 w 3238"/>
              <a:gd name="T5" fmla="*/ 95 h 3203"/>
              <a:gd name="T6" fmla="*/ 2274 w 3238"/>
              <a:gd name="T7" fmla="*/ 416 h 3203"/>
              <a:gd name="T8" fmla="*/ 2603 w 3238"/>
              <a:gd name="T9" fmla="*/ 332 h 3203"/>
              <a:gd name="T10" fmla="*/ 2646 w 3238"/>
              <a:gd name="T11" fmla="*/ 386 h 3203"/>
              <a:gd name="T12" fmla="*/ 2936 w 3238"/>
              <a:gd name="T13" fmla="*/ 704 h 3203"/>
              <a:gd name="T14" fmla="*/ 2986 w 3238"/>
              <a:gd name="T15" fmla="*/ 751 h 3203"/>
              <a:gd name="T16" fmla="*/ 2874 w 3238"/>
              <a:gd name="T17" fmla="*/ 1064 h 3203"/>
              <a:gd name="T18" fmla="*/ 3186 w 3238"/>
              <a:gd name="T19" fmla="*/ 1201 h 3203"/>
              <a:gd name="T20" fmla="*/ 3186 w 3238"/>
              <a:gd name="T21" fmla="*/ 1269 h 3203"/>
              <a:gd name="T22" fmla="*/ 3225 w 3238"/>
              <a:gd name="T23" fmla="*/ 1696 h 3203"/>
              <a:gd name="T24" fmla="*/ 3234 w 3238"/>
              <a:gd name="T25" fmla="*/ 1765 h 3203"/>
              <a:gd name="T26" fmla="*/ 2944 w 3238"/>
              <a:gd name="T27" fmla="*/ 1940 h 3203"/>
              <a:gd name="T28" fmla="*/ 3114 w 3238"/>
              <a:gd name="T29" fmla="*/ 2241 h 3203"/>
              <a:gd name="T30" fmla="*/ 3073 w 3238"/>
              <a:gd name="T31" fmla="*/ 2295 h 3203"/>
              <a:gd name="T32" fmla="*/ 2835 w 3238"/>
              <a:gd name="T33" fmla="*/ 2661 h 3203"/>
              <a:gd name="T34" fmla="*/ 2802 w 3238"/>
              <a:gd name="T35" fmla="*/ 2722 h 3203"/>
              <a:gd name="T36" fmla="*/ 2466 w 3238"/>
              <a:gd name="T37" fmla="*/ 2690 h 3203"/>
              <a:gd name="T38" fmla="*/ 2408 w 3238"/>
              <a:gd name="T39" fmla="*/ 3020 h 3203"/>
              <a:gd name="T40" fmla="*/ 2343 w 3238"/>
              <a:gd name="T41" fmla="*/ 3037 h 3203"/>
              <a:gd name="T42" fmla="*/ 1933 w 3238"/>
              <a:gd name="T43" fmla="*/ 3176 h 3203"/>
              <a:gd name="T44" fmla="*/ 1883 w 3238"/>
              <a:gd name="T45" fmla="*/ 3203 h 3203"/>
              <a:gd name="T46" fmla="*/ 1834 w 3238"/>
              <a:gd name="T47" fmla="*/ 3190 h 3203"/>
              <a:gd name="T48" fmla="*/ 1402 w 3238"/>
              <a:gd name="T49" fmla="*/ 3192 h 3203"/>
              <a:gd name="T50" fmla="*/ 1333 w 3238"/>
              <a:gd name="T51" fmla="*/ 3197 h 3203"/>
              <a:gd name="T52" fmla="*/ 1174 w 3238"/>
              <a:gd name="T53" fmla="*/ 2900 h 3203"/>
              <a:gd name="T54" fmla="*/ 862 w 3238"/>
              <a:gd name="T55" fmla="*/ 3037 h 3203"/>
              <a:gd name="T56" fmla="*/ 812 w 3238"/>
              <a:gd name="T57" fmla="*/ 2991 h 3203"/>
              <a:gd name="T58" fmla="*/ 475 w 3238"/>
              <a:gd name="T59" fmla="*/ 2733 h 3203"/>
              <a:gd name="T60" fmla="*/ 418 w 3238"/>
              <a:gd name="T61" fmla="*/ 2694 h 3203"/>
              <a:gd name="T62" fmla="*/ 477 w 3238"/>
              <a:gd name="T63" fmla="*/ 2358 h 3203"/>
              <a:gd name="T64" fmla="*/ 140 w 3238"/>
              <a:gd name="T65" fmla="*/ 2274 h 3203"/>
              <a:gd name="T66" fmla="*/ 128 w 3238"/>
              <a:gd name="T67" fmla="*/ 2207 h 3203"/>
              <a:gd name="T68" fmla="*/ 24 w 3238"/>
              <a:gd name="T69" fmla="*/ 1794 h 3203"/>
              <a:gd name="T70" fmla="*/ 1 w 3238"/>
              <a:gd name="T71" fmla="*/ 1728 h 3203"/>
              <a:gd name="T72" fmla="*/ 257 w 3238"/>
              <a:gd name="T73" fmla="*/ 1494 h 3203"/>
              <a:gd name="T74" fmla="*/ 45 w 3238"/>
              <a:gd name="T75" fmla="*/ 1236 h 3203"/>
              <a:gd name="T76" fmla="*/ 77 w 3238"/>
              <a:gd name="T77" fmla="*/ 1175 h 3203"/>
              <a:gd name="T78" fmla="*/ 250 w 3238"/>
              <a:gd name="T79" fmla="*/ 785 h 3203"/>
              <a:gd name="T80" fmla="*/ 273 w 3238"/>
              <a:gd name="T81" fmla="*/ 721 h 3203"/>
              <a:gd name="T82" fmla="*/ 611 w 3238"/>
              <a:gd name="T83" fmla="*/ 695 h 3203"/>
              <a:gd name="T84" fmla="*/ 614 w 3238"/>
              <a:gd name="T85" fmla="*/ 354 h 3203"/>
              <a:gd name="T86" fmla="*/ 676 w 3238"/>
              <a:gd name="T87" fmla="*/ 326 h 3203"/>
              <a:gd name="T88" fmla="*/ 1050 w 3238"/>
              <a:gd name="T89" fmla="*/ 121 h 3203"/>
              <a:gd name="T90" fmla="*/ 1108 w 3238"/>
              <a:gd name="T91" fmla="*/ 83 h 3203"/>
              <a:gd name="T92" fmla="*/ 1394 w 3238"/>
              <a:gd name="T93" fmla="*/ 269 h 3203"/>
              <a:gd name="T94" fmla="*/ 1604 w 3238"/>
              <a:gd name="T95" fmla="*/ 3 h 3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38" h="3203">
                <a:moveTo>
                  <a:pt x="1623" y="0"/>
                </a:moveTo>
                <a:lnTo>
                  <a:pt x="1641" y="2"/>
                </a:lnTo>
                <a:lnTo>
                  <a:pt x="1657" y="8"/>
                </a:lnTo>
                <a:lnTo>
                  <a:pt x="1672" y="18"/>
                </a:lnTo>
                <a:lnTo>
                  <a:pt x="1684" y="32"/>
                </a:lnTo>
                <a:lnTo>
                  <a:pt x="1843" y="268"/>
                </a:lnTo>
                <a:lnTo>
                  <a:pt x="2081" y="96"/>
                </a:lnTo>
                <a:lnTo>
                  <a:pt x="2098" y="88"/>
                </a:lnTo>
                <a:lnTo>
                  <a:pt x="2115" y="84"/>
                </a:lnTo>
                <a:lnTo>
                  <a:pt x="2132" y="83"/>
                </a:lnTo>
                <a:lnTo>
                  <a:pt x="2150" y="87"/>
                </a:lnTo>
                <a:lnTo>
                  <a:pt x="2165" y="95"/>
                </a:lnTo>
                <a:lnTo>
                  <a:pt x="2179" y="106"/>
                </a:lnTo>
                <a:lnTo>
                  <a:pt x="2189" y="120"/>
                </a:lnTo>
                <a:lnTo>
                  <a:pt x="2196" y="136"/>
                </a:lnTo>
                <a:lnTo>
                  <a:pt x="2274" y="416"/>
                </a:lnTo>
                <a:lnTo>
                  <a:pt x="2551" y="329"/>
                </a:lnTo>
                <a:lnTo>
                  <a:pt x="2568" y="326"/>
                </a:lnTo>
                <a:lnTo>
                  <a:pt x="2586" y="327"/>
                </a:lnTo>
                <a:lnTo>
                  <a:pt x="2603" y="332"/>
                </a:lnTo>
                <a:lnTo>
                  <a:pt x="2618" y="342"/>
                </a:lnTo>
                <a:lnTo>
                  <a:pt x="2631" y="354"/>
                </a:lnTo>
                <a:lnTo>
                  <a:pt x="2641" y="369"/>
                </a:lnTo>
                <a:lnTo>
                  <a:pt x="2646" y="386"/>
                </a:lnTo>
                <a:lnTo>
                  <a:pt x="2647" y="404"/>
                </a:lnTo>
                <a:lnTo>
                  <a:pt x="2626" y="695"/>
                </a:lnTo>
                <a:lnTo>
                  <a:pt x="2918" y="701"/>
                </a:lnTo>
                <a:lnTo>
                  <a:pt x="2936" y="704"/>
                </a:lnTo>
                <a:lnTo>
                  <a:pt x="2952" y="711"/>
                </a:lnTo>
                <a:lnTo>
                  <a:pt x="2967" y="721"/>
                </a:lnTo>
                <a:lnTo>
                  <a:pt x="2979" y="735"/>
                </a:lnTo>
                <a:lnTo>
                  <a:pt x="2986" y="751"/>
                </a:lnTo>
                <a:lnTo>
                  <a:pt x="2990" y="768"/>
                </a:lnTo>
                <a:lnTo>
                  <a:pt x="2989" y="786"/>
                </a:lnTo>
                <a:lnTo>
                  <a:pt x="2984" y="804"/>
                </a:lnTo>
                <a:lnTo>
                  <a:pt x="2874" y="1064"/>
                </a:lnTo>
                <a:lnTo>
                  <a:pt x="3146" y="1166"/>
                </a:lnTo>
                <a:lnTo>
                  <a:pt x="3162" y="1175"/>
                </a:lnTo>
                <a:lnTo>
                  <a:pt x="3176" y="1187"/>
                </a:lnTo>
                <a:lnTo>
                  <a:pt x="3186" y="1201"/>
                </a:lnTo>
                <a:lnTo>
                  <a:pt x="3192" y="1218"/>
                </a:lnTo>
                <a:lnTo>
                  <a:pt x="3194" y="1235"/>
                </a:lnTo>
                <a:lnTo>
                  <a:pt x="3192" y="1253"/>
                </a:lnTo>
                <a:lnTo>
                  <a:pt x="3186" y="1269"/>
                </a:lnTo>
                <a:lnTo>
                  <a:pt x="3176" y="1284"/>
                </a:lnTo>
                <a:lnTo>
                  <a:pt x="2986" y="1494"/>
                </a:lnTo>
                <a:lnTo>
                  <a:pt x="3213" y="1683"/>
                </a:lnTo>
                <a:lnTo>
                  <a:pt x="3225" y="1696"/>
                </a:lnTo>
                <a:lnTo>
                  <a:pt x="3234" y="1712"/>
                </a:lnTo>
                <a:lnTo>
                  <a:pt x="3238" y="1729"/>
                </a:lnTo>
                <a:lnTo>
                  <a:pt x="3238" y="1746"/>
                </a:lnTo>
                <a:lnTo>
                  <a:pt x="3234" y="1765"/>
                </a:lnTo>
                <a:lnTo>
                  <a:pt x="3226" y="1781"/>
                </a:lnTo>
                <a:lnTo>
                  <a:pt x="3215" y="1794"/>
                </a:lnTo>
                <a:lnTo>
                  <a:pt x="3200" y="1805"/>
                </a:lnTo>
                <a:lnTo>
                  <a:pt x="2944" y="1940"/>
                </a:lnTo>
                <a:lnTo>
                  <a:pt x="3103" y="2190"/>
                </a:lnTo>
                <a:lnTo>
                  <a:pt x="3111" y="2206"/>
                </a:lnTo>
                <a:lnTo>
                  <a:pt x="3114" y="2224"/>
                </a:lnTo>
                <a:lnTo>
                  <a:pt x="3114" y="2241"/>
                </a:lnTo>
                <a:lnTo>
                  <a:pt x="3109" y="2258"/>
                </a:lnTo>
                <a:lnTo>
                  <a:pt x="3100" y="2274"/>
                </a:lnTo>
                <a:lnTo>
                  <a:pt x="3087" y="2286"/>
                </a:lnTo>
                <a:lnTo>
                  <a:pt x="3073" y="2295"/>
                </a:lnTo>
                <a:lnTo>
                  <a:pt x="3055" y="2301"/>
                </a:lnTo>
                <a:lnTo>
                  <a:pt x="2767" y="2358"/>
                </a:lnTo>
                <a:lnTo>
                  <a:pt x="2833" y="2643"/>
                </a:lnTo>
                <a:lnTo>
                  <a:pt x="2835" y="2661"/>
                </a:lnTo>
                <a:lnTo>
                  <a:pt x="2833" y="2678"/>
                </a:lnTo>
                <a:lnTo>
                  <a:pt x="2827" y="2694"/>
                </a:lnTo>
                <a:lnTo>
                  <a:pt x="2816" y="2709"/>
                </a:lnTo>
                <a:lnTo>
                  <a:pt x="2802" y="2722"/>
                </a:lnTo>
                <a:lnTo>
                  <a:pt x="2786" y="2729"/>
                </a:lnTo>
                <a:lnTo>
                  <a:pt x="2769" y="2733"/>
                </a:lnTo>
                <a:lnTo>
                  <a:pt x="2751" y="2733"/>
                </a:lnTo>
                <a:lnTo>
                  <a:pt x="2466" y="2690"/>
                </a:lnTo>
                <a:lnTo>
                  <a:pt x="2433" y="2975"/>
                </a:lnTo>
                <a:lnTo>
                  <a:pt x="2428" y="2992"/>
                </a:lnTo>
                <a:lnTo>
                  <a:pt x="2420" y="3007"/>
                </a:lnTo>
                <a:lnTo>
                  <a:pt x="2408" y="3020"/>
                </a:lnTo>
                <a:lnTo>
                  <a:pt x="2394" y="3031"/>
                </a:lnTo>
                <a:lnTo>
                  <a:pt x="2377" y="3037"/>
                </a:lnTo>
                <a:lnTo>
                  <a:pt x="2360" y="3039"/>
                </a:lnTo>
                <a:lnTo>
                  <a:pt x="2343" y="3037"/>
                </a:lnTo>
                <a:lnTo>
                  <a:pt x="2326" y="3032"/>
                </a:lnTo>
                <a:lnTo>
                  <a:pt x="2063" y="2900"/>
                </a:lnTo>
                <a:lnTo>
                  <a:pt x="1943" y="3160"/>
                </a:lnTo>
                <a:lnTo>
                  <a:pt x="1933" y="3176"/>
                </a:lnTo>
                <a:lnTo>
                  <a:pt x="1921" y="3188"/>
                </a:lnTo>
                <a:lnTo>
                  <a:pt x="1906" y="3197"/>
                </a:lnTo>
                <a:lnTo>
                  <a:pt x="1889" y="3202"/>
                </a:lnTo>
                <a:lnTo>
                  <a:pt x="1883" y="3203"/>
                </a:lnTo>
                <a:lnTo>
                  <a:pt x="1875" y="3203"/>
                </a:lnTo>
                <a:lnTo>
                  <a:pt x="1861" y="3201"/>
                </a:lnTo>
                <a:lnTo>
                  <a:pt x="1847" y="3197"/>
                </a:lnTo>
                <a:lnTo>
                  <a:pt x="1834" y="3190"/>
                </a:lnTo>
                <a:lnTo>
                  <a:pt x="1823" y="3180"/>
                </a:lnTo>
                <a:lnTo>
                  <a:pt x="1622" y="2970"/>
                </a:lnTo>
                <a:lnTo>
                  <a:pt x="1416" y="3181"/>
                </a:lnTo>
                <a:lnTo>
                  <a:pt x="1402" y="3192"/>
                </a:lnTo>
                <a:lnTo>
                  <a:pt x="1386" y="3200"/>
                </a:lnTo>
                <a:lnTo>
                  <a:pt x="1369" y="3203"/>
                </a:lnTo>
                <a:lnTo>
                  <a:pt x="1351" y="3202"/>
                </a:lnTo>
                <a:lnTo>
                  <a:pt x="1333" y="3197"/>
                </a:lnTo>
                <a:lnTo>
                  <a:pt x="1318" y="3188"/>
                </a:lnTo>
                <a:lnTo>
                  <a:pt x="1306" y="3176"/>
                </a:lnTo>
                <a:lnTo>
                  <a:pt x="1296" y="3161"/>
                </a:lnTo>
                <a:lnTo>
                  <a:pt x="1174" y="2900"/>
                </a:lnTo>
                <a:lnTo>
                  <a:pt x="915" y="3031"/>
                </a:lnTo>
                <a:lnTo>
                  <a:pt x="897" y="3037"/>
                </a:lnTo>
                <a:lnTo>
                  <a:pt x="879" y="3039"/>
                </a:lnTo>
                <a:lnTo>
                  <a:pt x="862" y="3037"/>
                </a:lnTo>
                <a:lnTo>
                  <a:pt x="846" y="3031"/>
                </a:lnTo>
                <a:lnTo>
                  <a:pt x="831" y="3020"/>
                </a:lnTo>
                <a:lnTo>
                  <a:pt x="820" y="3007"/>
                </a:lnTo>
                <a:lnTo>
                  <a:pt x="812" y="2991"/>
                </a:lnTo>
                <a:lnTo>
                  <a:pt x="808" y="2974"/>
                </a:lnTo>
                <a:lnTo>
                  <a:pt x="777" y="2690"/>
                </a:lnTo>
                <a:lnTo>
                  <a:pt x="494" y="2733"/>
                </a:lnTo>
                <a:lnTo>
                  <a:pt x="475" y="2733"/>
                </a:lnTo>
                <a:lnTo>
                  <a:pt x="458" y="2730"/>
                </a:lnTo>
                <a:lnTo>
                  <a:pt x="442" y="2722"/>
                </a:lnTo>
                <a:lnTo>
                  <a:pt x="428" y="2709"/>
                </a:lnTo>
                <a:lnTo>
                  <a:pt x="418" y="2694"/>
                </a:lnTo>
                <a:lnTo>
                  <a:pt x="411" y="2678"/>
                </a:lnTo>
                <a:lnTo>
                  <a:pt x="409" y="2661"/>
                </a:lnTo>
                <a:lnTo>
                  <a:pt x="411" y="2643"/>
                </a:lnTo>
                <a:lnTo>
                  <a:pt x="477" y="2358"/>
                </a:lnTo>
                <a:lnTo>
                  <a:pt x="184" y="2301"/>
                </a:lnTo>
                <a:lnTo>
                  <a:pt x="168" y="2295"/>
                </a:lnTo>
                <a:lnTo>
                  <a:pt x="152" y="2286"/>
                </a:lnTo>
                <a:lnTo>
                  <a:pt x="140" y="2274"/>
                </a:lnTo>
                <a:lnTo>
                  <a:pt x="131" y="2258"/>
                </a:lnTo>
                <a:lnTo>
                  <a:pt x="126" y="2241"/>
                </a:lnTo>
                <a:lnTo>
                  <a:pt x="125" y="2224"/>
                </a:lnTo>
                <a:lnTo>
                  <a:pt x="128" y="2207"/>
                </a:lnTo>
                <a:lnTo>
                  <a:pt x="136" y="2191"/>
                </a:lnTo>
                <a:lnTo>
                  <a:pt x="293" y="1940"/>
                </a:lnTo>
                <a:lnTo>
                  <a:pt x="38" y="1804"/>
                </a:lnTo>
                <a:lnTo>
                  <a:pt x="24" y="1794"/>
                </a:lnTo>
                <a:lnTo>
                  <a:pt x="12" y="1780"/>
                </a:lnTo>
                <a:lnTo>
                  <a:pt x="4" y="1765"/>
                </a:lnTo>
                <a:lnTo>
                  <a:pt x="0" y="1746"/>
                </a:lnTo>
                <a:lnTo>
                  <a:pt x="1" y="1728"/>
                </a:lnTo>
                <a:lnTo>
                  <a:pt x="6" y="1711"/>
                </a:lnTo>
                <a:lnTo>
                  <a:pt x="14" y="1696"/>
                </a:lnTo>
                <a:lnTo>
                  <a:pt x="27" y="1683"/>
                </a:lnTo>
                <a:lnTo>
                  <a:pt x="257" y="1494"/>
                </a:lnTo>
                <a:lnTo>
                  <a:pt x="65" y="1284"/>
                </a:lnTo>
                <a:lnTo>
                  <a:pt x="53" y="1270"/>
                </a:lnTo>
                <a:lnTo>
                  <a:pt x="47" y="1253"/>
                </a:lnTo>
                <a:lnTo>
                  <a:pt x="45" y="1236"/>
                </a:lnTo>
                <a:lnTo>
                  <a:pt x="47" y="1218"/>
                </a:lnTo>
                <a:lnTo>
                  <a:pt x="53" y="1202"/>
                </a:lnTo>
                <a:lnTo>
                  <a:pt x="64" y="1187"/>
                </a:lnTo>
                <a:lnTo>
                  <a:pt x="77" y="1175"/>
                </a:lnTo>
                <a:lnTo>
                  <a:pt x="93" y="1167"/>
                </a:lnTo>
                <a:lnTo>
                  <a:pt x="363" y="1064"/>
                </a:lnTo>
                <a:lnTo>
                  <a:pt x="254" y="804"/>
                </a:lnTo>
                <a:lnTo>
                  <a:pt x="250" y="785"/>
                </a:lnTo>
                <a:lnTo>
                  <a:pt x="249" y="768"/>
                </a:lnTo>
                <a:lnTo>
                  <a:pt x="253" y="751"/>
                </a:lnTo>
                <a:lnTo>
                  <a:pt x="260" y="735"/>
                </a:lnTo>
                <a:lnTo>
                  <a:pt x="273" y="721"/>
                </a:lnTo>
                <a:lnTo>
                  <a:pt x="287" y="711"/>
                </a:lnTo>
                <a:lnTo>
                  <a:pt x="304" y="704"/>
                </a:lnTo>
                <a:lnTo>
                  <a:pt x="321" y="701"/>
                </a:lnTo>
                <a:lnTo>
                  <a:pt x="611" y="695"/>
                </a:lnTo>
                <a:lnTo>
                  <a:pt x="598" y="402"/>
                </a:lnTo>
                <a:lnTo>
                  <a:pt x="600" y="385"/>
                </a:lnTo>
                <a:lnTo>
                  <a:pt x="605" y="368"/>
                </a:lnTo>
                <a:lnTo>
                  <a:pt x="614" y="354"/>
                </a:lnTo>
                <a:lnTo>
                  <a:pt x="627" y="341"/>
                </a:lnTo>
                <a:lnTo>
                  <a:pt x="642" y="332"/>
                </a:lnTo>
                <a:lnTo>
                  <a:pt x="659" y="327"/>
                </a:lnTo>
                <a:lnTo>
                  <a:pt x="676" y="326"/>
                </a:lnTo>
                <a:lnTo>
                  <a:pt x="693" y="329"/>
                </a:lnTo>
                <a:lnTo>
                  <a:pt x="970" y="416"/>
                </a:lnTo>
                <a:lnTo>
                  <a:pt x="1044" y="137"/>
                </a:lnTo>
                <a:lnTo>
                  <a:pt x="1050" y="121"/>
                </a:lnTo>
                <a:lnTo>
                  <a:pt x="1060" y="106"/>
                </a:lnTo>
                <a:lnTo>
                  <a:pt x="1074" y="95"/>
                </a:lnTo>
                <a:lnTo>
                  <a:pt x="1090" y="87"/>
                </a:lnTo>
                <a:lnTo>
                  <a:pt x="1108" y="83"/>
                </a:lnTo>
                <a:lnTo>
                  <a:pt x="1125" y="84"/>
                </a:lnTo>
                <a:lnTo>
                  <a:pt x="1143" y="88"/>
                </a:lnTo>
                <a:lnTo>
                  <a:pt x="1158" y="97"/>
                </a:lnTo>
                <a:lnTo>
                  <a:pt x="1394" y="269"/>
                </a:lnTo>
                <a:lnTo>
                  <a:pt x="1562" y="31"/>
                </a:lnTo>
                <a:lnTo>
                  <a:pt x="1574" y="18"/>
                </a:lnTo>
                <a:lnTo>
                  <a:pt x="1588" y="9"/>
                </a:lnTo>
                <a:lnTo>
                  <a:pt x="1604" y="3"/>
                </a:lnTo>
                <a:lnTo>
                  <a:pt x="1623" y="0"/>
                </a:lnTo>
                <a:close/>
              </a:path>
            </a:pathLst>
          </a:custGeom>
          <a:solidFill>
            <a:srgbClr val="FFFFFF"/>
          </a:solidFill>
          <a:ln w="0">
            <a:solidFill>
              <a:srgbClr val="FFFFFF"/>
            </a:solidFill>
            <a:prstDash val="solid"/>
            <a:round/>
            <a:headEnd/>
            <a:tailEnd/>
          </a:ln>
        </xdr:spPr>
      </xdr:sp>
      <xdr:sp macro="" textlink="">
        <xdr:nvSpPr>
          <xdr:cNvPr id="35" name="Freeform 62">
            <a:extLst>
              <a:ext uri="{FF2B5EF4-FFF2-40B4-BE49-F238E27FC236}">
                <a16:creationId xmlns:a16="http://schemas.microsoft.com/office/drawing/2014/main" id="{00000000-0008-0000-0200-000023000000}"/>
              </a:ext>
            </a:extLst>
          </xdr:cNvPr>
          <xdr:cNvSpPr>
            <a:spLocks noEditPoints="1"/>
          </xdr:cNvSpPr>
        </xdr:nvSpPr>
        <xdr:spPr bwMode="auto">
          <a:xfrm>
            <a:off x="704" y="851"/>
            <a:ext cx="26" cy="26"/>
          </a:xfrm>
          <a:custGeom>
            <a:avLst/>
            <a:gdLst>
              <a:gd name="T0" fmla="*/ 866 w 1889"/>
              <a:gd name="T1" fmla="*/ 1272 h 1877"/>
              <a:gd name="T2" fmla="*/ 799 w 1889"/>
              <a:gd name="T3" fmla="*/ 1339 h 1877"/>
              <a:gd name="T4" fmla="*/ 772 w 1889"/>
              <a:gd name="T5" fmla="*/ 1435 h 1877"/>
              <a:gd name="T6" fmla="*/ 798 w 1889"/>
              <a:gd name="T7" fmla="*/ 1530 h 1877"/>
              <a:gd name="T8" fmla="*/ 866 w 1889"/>
              <a:gd name="T9" fmla="*/ 1597 h 1877"/>
              <a:gd name="T10" fmla="*/ 961 w 1889"/>
              <a:gd name="T11" fmla="*/ 1622 h 1877"/>
              <a:gd name="T12" fmla="*/ 1057 w 1889"/>
              <a:gd name="T13" fmla="*/ 1597 h 1877"/>
              <a:gd name="T14" fmla="*/ 1125 w 1889"/>
              <a:gd name="T15" fmla="*/ 1530 h 1877"/>
              <a:gd name="T16" fmla="*/ 1150 w 1889"/>
              <a:gd name="T17" fmla="*/ 1435 h 1877"/>
              <a:gd name="T18" fmla="*/ 1128 w 1889"/>
              <a:gd name="T19" fmla="*/ 1347 h 1877"/>
              <a:gd name="T20" fmla="*/ 1070 w 1889"/>
              <a:gd name="T21" fmla="*/ 1281 h 1877"/>
              <a:gd name="T22" fmla="*/ 1017 w 1889"/>
              <a:gd name="T23" fmla="*/ 722 h 1877"/>
              <a:gd name="T24" fmla="*/ 1281 w 1889"/>
              <a:gd name="T25" fmla="*/ 532 h 1877"/>
              <a:gd name="T26" fmla="*/ 1448 w 1889"/>
              <a:gd name="T27" fmla="*/ 366 h 1877"/>
              <a:gd name="T28" fmla="*/ 540 w 1889"/>
              <a:gd name="T29" fmla="*/ 616 h 1877"/>
              <a:gd name="T30" fmla="*/ 709 w 1889"/>
              <a:gd name="T31" fmla="*/ 214 h 1877"/>
              <a:gd name="T32" fmla="*/ 808 w 1889"/>
              <a:gd name="T33" fmla="*/ 426 h 1877"/>
              <a:gd name="T34" fmla="*/ 1102 w 1889"/>
              <a:gd name="T35" fmla="*/ 426 h 1877"/>
              <a:gd name="T36" fmla="*/ 1201 w 1889"/>
              <a:gd name="T37" fmla="*/ 214 h 1877"/>
              <a:gd name="T38" fmla="*/ 1020 w 1889"/>
              <a:gd name="T39" fmla="*/ 412 h 1877"/>
              <a:gd name="T40" fmla="*/ 945 w 1889"/>
              <a:gd name="T41" fmla="*/ 0 h 1877"/>
              <a:gd name="T42" fmla="*/ 1171 w 1889"/>
              <a:gd name="T43" fmla="*/ 27 h 1877"/>
              <a:gd name="T44" fmla="*/ 1379 w 1889"/>
              <a:gd name="T45" fmla="*/ 104 h 1877"/>
              <a:gd name="T46" fmla="*/ 1559 w 1889"/>
              <a:gd name="T47" fmla="*/ 226 h 1877"/>
              <a:gd name="T48" fmla="*/ 1707 w 1889"/>
              <a:gd name="T49" fmla="*/ 384 h 1877"/>
              <a:gd name="T50" fmla="*/ 1815 w 1889"/>
              <a:gd name="T51" fmla="*/ 573 h 1877"/>
              <a:gd name="T52" fmla="*/ 1877 w 1889"/>
              <a:gd name="T53" fmla="*/ 787 h 1877"/>
              <a:gd name="T54" fmla="*/ 1886 w 1889"/>
              <a:gd name="T55" fmla="*/ 1015 h 1877"/>
              <a:gd name="T56" fmla="*/ 1840 w 1889"/>
              <a:gd name="T57" fmla="*/ 1235 h 1877"/>
              <a:gd name="T58" fmla="*/ 1748 w 1889"/>
              <a:gd name="T59" fmla="*/ 1433 h 1877"/>
              <a:gd name="T60" fmla="*/ 1612 w 1889"/>
              <a:gd name="T61" fmla="*/ 1602 h 1877"/>
              <a:gd name="T62" fmla="*/ 1442 w 1889"/>
              <a:gd name="T63" fmla="*/ 1736 h 1877"/>
              <a:gd name="T64" fmla="*/ 1243 w 1889"/>
              <a:gd name="T65" fmla="*/ 1829 h 1877"/>
              <a:gd name="T66" fmla="*/ 1022 w 1889"/>
              <a:gd name="T67" fmla="*/ 1874 h 1877"/>
              <a:gd name="T68" fmla="*/ 792 w 1889"/>
              <a:gd name="T69" fmla="*/ 1865 h 1877"/>
              <a:gd name="T70" fmla="*/ 577 w 1889"/>
              <a:gd name="T71" fmla="*/ 1804 h 1877"/>
              <a:gd name="T72" fmla="*/ 387 w 1889"/>
              <a:gd name="T73" fmla="*/ 1696 h 1877"/>
              <a:gd name="T74" fmla="*/ 227 w 1889"/>
              <a:gd name="T75" fmla="*/ 1549 h 1877"/>
              <a:gd name="T76" fmla="*/ 106 w 1889"/>
              <a:gd name="T77" fmla="*/ 1369 h 1877"/>
              <a:gd name="T78" fmla="*/ 28 w 1889"/>
              <a:gd name="T79" fmla="*/ 1164 h 1877"/>
              <a:gd name="T80" fmla="*/ 0 w 1889"/>
              <a:gd name="T81" fmla="*/ 939 h 1877"/>
              <a:gd name="T82" fmla="*/ 28 w 1889"/>
              <a:gd name="T83" fmla="*/ 713 h 1877"/>
              <a:gd name="T84" fmla="*/ 106 w 1889"/>
              <a:gd name="T85" fmla="*/ 508 h 1877"/>
              <a:gd name="T86" fmla="*/ 227 w 1889"/>
              <a:gd name="T87" fmla="*/ 328 h 1877"/>
              <a:gd name="T88" fmla="*/ 387 w 1889"/>
              <a:gd name="T89" fmla="*/ 181 h 1877"/>
              <a:gd name="T90" fmla="*/ 577 w 1889"/>
              <a:gd name="T91" fmla="*/ 73 h 1877"/>
              <a:gd name="T92" fmla="*/ 792 w 1889"/>
              <a:gd name="T93" fmla="*/ 12 h 18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1889" h="1877">
                <a:moveTo>
                  <a:pt x="897" y="722"/>
                </a:moveTo>
                <a:lnTo>
                  <a:pt x="897" y="1259"/>
                </a:lnTo>
                <a:lnTo>
                  <a:pt x="866" y="1272"/>
                </a:lnTo>
                <a:lnTo>
                  <a:pt x="840" y="1291"/>
                </a:lnTo>
                <a:lnTo>
                  <a:pt x="817" y="1313"/>
                </a:lnTo>
                <a:lnTo>
                  <a:pt x="799" y="1339"/>
                </a:lnTo>
                <a:lnTo>
                  <a:pt x="785" y="1369"/>
                </a:lnTo>
                <a:lnTo>
                  <a:pt x="775" y="1400"/>
                </a:lnTo>
                <a:lnTo>
                  <a:pt x="772" y="1435"/>
                </a:lnTo>
                <a:lnTo>
                  <a:pt x="775" y="1469"/>
                </a:lnTo>
                <a:lnTo>
                  <a:pt x="784" y="1500"/>
                </a:lnTo>
                <a:lnTo>
                  <a:pt x="798" y="1530"/>
                </a:lnTo>
                <a:lnTo>
                  <a:pt x="817" y="1556"/>
                </a:lnTo>
                <a:lnTo>
                  <a:pt x="839" y="1578"/>
                </a:lnTo>
                <a:lnTo>
                  <a:pt x="866" y="1597"/>
                </a:lnTo>
                <a:lnTo>
                  <a:pt x="896" y="1611"/>
                </a:lnTo>
                <a:lnTo>
                  <a:pt x="927" y="1619"/>
                </a:lnTo>
                <a:lnTo>
                  <a:pt x="961" y="1622"/>
                </a:lnTo>
                <a:lnTo>
                  <a:pt x="996" y="1619"/>
                </a:lnTo>
                <a:lnTo>
                  <a:pt x="1027" y="1611"/>
                </a:lnTo>
                <a:lnTo>
                  <a:pt x="1057" y="1597"/>
                </a:lnTo>
                <a:lnTo>
                  <a:pt x="1083" y="1578"/>
                </a:lnTo>
                <a:lnTo>
                  <a:pt x="1106" y="1556"/>
                </a:lnTo>
                <a:lnTo>
                  <a:pt x="1125" y="1530"/>
                </a:lnTo>
                <a:lnTo>
                  <a:pt x="1138" y="1500"/>
                </a:lnTo>
                <a:lnTo>
                  <a:pt x="1147" y="1469"/>
                </a:lnTo>
                <a:lnTo>
                  <a:pt x="1150" y="1435"/>
                </a:lnTo>
                <a:lnTo>
                  <a:pt x="1148" y="1403"/>
                </a:lnTo>
                <a:lnTo>
                  <a:pt x="1140" y="1374"/>
                </a:lnTo>
                <a:lnTo>
                  <a:pt x="1128" y="1347"/>
                </a:lnTo>
                <a:lnTo>
                  <a:pt x="1113" y="1322"/>
                </a:lnTo>
                <a:lnTo>
                  <a:pt x="1092" y="1300"/>
                </a:lnTo>
                <a:lnTo>
                  <a:pt x="1070" y="1281"/>
                </a:lnTo>
                <a:lnTo>
                  <a:pt x="1044" y="1266"/>
                </a:lnTo>
                <a:lnTo>
                  <a:pt x="1017" y="1255"/>
                </a:lnTo>
                <a:lnTo>
                  <a:pt x="1017" y="722"/>
                </a:lnTo>
                <a:lnTo>
                  <a:pt x="897" y="722"/>
                </a:lnTo>
                <a:close/>
                <a:moveTo>
                  <a:pt x="1448" y="366"/>
                </a:moveTo>
                <a:lnTo>
                  <a:pt x="1281" y="532"/>
                </a:lnTo>
                <a:lnTo>
                  <a:pt x="1366" y="616"/>
                </a:lnTo>
                <a:lnTo>
                  <a:pt x="1533" y="450"/>
                </a:lnTo>
                <a:lnTo>
                  <a:pt x="1448" y="366"/>
                </a:lnTo>
                <a:close/>
                <a:moveTo>
                  <a:pt x="459" y="366"/>
                </a:moveTo>
                <a:lnTo>
                  <a:pt x="374" y="450"/>
                </a:lnTo>
                <a:lnTo>
                  <a:pt x="540" y="616"/>
                </a:lnTo>
                <a:lnTo>
                  <a:pt x="625" y="532"/>
                </a:lnTo>
                <a:lnTo>
                  <a:pt x="459" y="366"/>
                </a:lnTo>
                <a:close/>
                <a:moveTo>
                  <a:pt x="709" y="214"/>
                </a:moveTo>
                <a:lnTo>
                  <a:pt x="600" y="264"/>
                </a:lnTo>
                <a:lnTo>
                  <a:pt x="699" y="477"/>
                </a:lnTo>
                <a:lnTo>
                  <a:pt x="808" y="426"/>
                </a:lnTo>
                <a:lnTo>
                  <a:pt x="709" y="214"/>
                </a:lnTo>
                <a:close/>
                <a:moveTo>
                  <a:pt x="1201" y="214"/>
                </a:moveTo>
                <a:lnTo>
                  <a:pt x="1102" y="426"/>
                </a:lnTo>
                <a:lnTo>
                  <a:pt x="1211" y="477"/>
                </a:lnTo>
                <a:lnTo>
                  <a:pt x="1310" y="264"/>
                </a:lnTo>
                <a:lnTo>
                  <a:pt x="1201" y="214"/>
                </a:lnTo>
                <a:close/>
                <a:moveTo>
                  <a:pt x="900" y="179"/>
                </a:moveTo>
                <a:lnTo>
                  <a:pt x="900" y="412"/>
                </a:lnTo>
                <a:lnTo>
                  <a:pt x="1020" y="412"/>
                </a:lnTo>
                <a:lnTo>
                  <a:pt x="1020" y="179"/>
                </a:lnTo>
                <a:lnTo>
                  <a:pt x="900" y="179"/>
                </a:lnTo>
                <a:close/>
                <a:moveTo>
                  <a:pt x="945" y="0"/>
                </a:moveTo>
                <a:lnTo>
                  <a:pt x="1022" y="3"/>
                </a:lnTo>
                <a:lnTo>
                  <a:pt x="1097" y="12"/>
                </a:lnTo>
                <a:lnTo>
                  <a:pt x="1171" y="27"/>
                </a:lnTo>
                <a:lnTo>
                  <a:pt x="1243" y="48"/>
                </a:lnTo>
                <a:lnTo>
                  <a:pt x="1312" y="73"/>
                </a:lnTo>
                <a:lnTo>
                  <a:pt x="1379" y="104"/>
                </a:lnTo>
                <a:lnTo>
                  <a:pt x="1442" y="141"/>
                </a:lnTo>
                <a:lnTo>
                  <a:pt x="1502" y="181"/>
                </a:lnTo>
                <a:lnTo>
                  <a:pt x="1559" y="226"/>
                </a:lnTo>
                <a:lnTo>
                  <a:pt x="1612" y="275"/>
                </a:lnTo>
                <a:lnTo>
                  <a:pt x="1662" y="328"/>
                </a:lnTo>
                <a:lnTo>
                  <a:pt x="1707" y="384"/>
                </a:lnTo>
                <a:lnTo>
                  <a:pt x="1748" y="444"/>
                </a:lnTo>
                <a:lnTo>
                  <a:pt x="1784" y="508"/>
                </a:lnTo>
                <a:lnTo>
                  <a:pt x="1815" y="573"/>
                </a:lnTo>
                <a:lnTo>
                  <a:pt x="1840" y="642"/>
                </a:lnTo>
                <a:lnTo>
                  <a:pt x="1862" y="713"/>
                </a:lnTo>
                <a:lnTo>
                  <a:pt x="1877" y="787"/>
                </a:lnTo>
                <a:lnTo>
                  <a:pt x="1886" y="862"/>
                </a:lnTo>
                <a:lnTo>
                  <a:pt x="1889" y="939"/>
                </a:lnTo>
                <a:lnTo>
                  <a:pt x="1886" y="1015"/>
                </a:lnTo>
                <a:lnTo>
                  <a:pt x="1877" y="1090"/>
                </a:lnTo>
                <a:lnTo>
                  <a:pt x="1862" y="1164"/>
                </a:lnTo>
                <a:lnTo>
                  <a:pt x="1840" y="1235"/>
                </a:lnTo>
                <a:lnTo>
                  <a:pt x="1815" y="1304"/>
                </a:lnTo>
                <a:lnTo>
                  <a:pt x="1784" y="1369"/>
                </a:lnTo>
                <a:lnTo>
                  <a:pt x="1748" y="1433"/>
                </a:lnTo>
                <a:lnTo>
                  <a:pt x="1707" y="1493"/>
                </a:lnTo>
                <a:lnTo>
                  <a:pt x="1662" y="1549"/>
                </a:lnTo>
                <a:lnTo>
                  <a:pt x="1612" y="1602"/>
                </a:lnTo>
                <a:lnTo>
                  <a:pt x="1559" y="1651"/>
                </a:lnTo>
                <a:lnTo>
                  <a:pt x="1502" y="1696"/>
                </a:lnTo>
                <a:lnTo>
                  <a:pt x="1442" y="1736"/>
                </a:lnTo>
                <a:lnTo>
                  <a:pt x="1379" y="1773"/>
                </a:lnTo>
                <a:lnTo>
                  <a:pt x="1312" y="1804"/>
                </a:lnTo>
                <a:lnTo>
                  <a:pt x="1243" y="1829"/>
                </a:lnTo>
                <a:lnTo>
                  <a:pt x="1171" y="1850"/>
                </a:lnTo>
                <a:lnTo>
                  <a:pt x="1097" y="1865"/>
                </a:lnTo>
                <a:lnTo>
                  <a:pt x="1022" y="1874"/>
                </a:lnTo>
                <a:lnTo>
                  <a:pt x="945" y="1877"/>
                </a:lnTo>
                <a:lnTo>
                  <a:pt x="867" y="1874"/>
                </a:lnTo>
                <a:lnTo>
                  <a:pt x="792" y="1865"/>
                </a:lnTo>
                <a:lnTo>
                  <a:pt x="718" y="1850"/>
                </a:lnTo>
                <a:lnTo>
                  <a:pt x="646" y="1829"/>
                </a:lnTo>
                <a:lnTo>
                  <a:pt x="577" y="1804"/>
                </a:lnTo>
                <a:lnTo>
                  <a:pt x="511" y="1773"/>
                </a:lnTo>
                <a:lnTo>
                  <a:pt x="447" y="1736"/>
                </a:lnTo>
                <a:lnTo>
                  <a:pt x="387" y="1696"/>
                </a:lnTo>
                <a:lnTo>
                  <a:pt x="330" y="1651"/>
                </a:lnTo>
                <a:lnTo>
                  <a:pt x="277" y="1602"/>
                </a:lnTo>
                <a:lnTo>
                  <a:pt x="227" y="1549"/>
                </a:lnTo>
                <a:lnTo>
                  <a:pt x="183" y="1493"/>
                </a:lnTo>
                <a:lnTo>
                  <a:pt x="142" y="1433"/>
                </a:lnTo>
                <a:lnTo>
                  <a:pt x="106" y="1369"/>
                </a:lnTo>
                <a:lnTo>
                  <a:pt x="75" y="1304"/>
                </a:lnTo>
                <a:lnTo>
                  <a:pt x="49" y="1235"/>
                </a:lnTo>
                <a:lnTo>
                  <a:pt x="28" y="1164"/>
                </a:lnTo>
                <a:lnTo>
                  <a:pt x="12" y="1090"/>
                </a:lnTo>
                <a:lnTo>
                  <a:pt x="3" y="1015"/>
                </a:lnTo>
                <a:lnTo>
                  <a:pt x="0" y="939"/>
                </a:lnTo>
                <a:lnTo>
                  <a:pt x="3" y="862"/>
                </a:lnTo>
                <a:lnTo>
                  <a:pt x="12" y="787"/>
                </a:lnTo>
                <a:lnTo>
                  <a:pt x="28" y="713"/>
                </a:lnTo>
                <a:lnTo>
                  <a:pt x="49" y="642"/>
                </a:lnTo>
                <a:lnTo>
                  <a:pt x="75" y="573"/>
                </a:lnTo>
                <a:lnTo>
                  <a:pt x="106" y="508"/>
                </a:lnTo>
                <a:lnTo>
                  <a:pt x="142" y="444"/>
                </a:lnTo>
                <a:lnTo>
                  <a:pt x="183" y="384"/>
                </a:lnTo>
                <a:lnTo>
                  <a:pt x="227" y="328"/>
                </a:lnTo>
                <a:lnTo>
                  <a:pt x="277" y="275"/>
                </a:lnTo>
                <a:lnTo>
                  <a:pt x="330" y="226"/>
                </a:lnTo>
                <a:lnTo>
                  <a:pt x="387" y="181"/>
                </a:lnTo>
                <a:lnTo>
                  <a:pt x="447" y="141"/>
                </a:lnTo>
                <a:lnTo>
                  <a:pt x="511" y="104"/>
                </a:lnTo>
                <a:lnTo>
                  <a:pt x="577" y="73"/>
                </a:lnTo>
                <a:lnTo>
                  <a:pt x="646" y="48"/>
                </a:lnTo>
                <a:lnTo>
                  <a:pt x="718" y="27"/>
                </a:lnTo>
                <a:lnTo>
                  <a:pt x="792" y="12"/>
                </a:lnTo>
                <a:lnTo>
                  <a:pt x="867" y="3"/>
                </a:lnTo>
                <a:lnTo>
                  <a:pt x="945" y="0"/>
                </a:lnTo>
                <a:close/>
              </a:path>
            </a:pathLst>
          </a:custGeom>
          <a:solidFill>
            <a:schemeClr val="tx2"/>
          </a:solidFill>
          <a:ln w="0">
            <a:solidFill>
              <a:schemeClr val="tx2"/>
            </a:solidFill>
            <a:prstDash val="solid"/>
            <a:round/>
            <a:headEnd/>
            <a:tailEnd/>
          </a:ln>
        </xdr:spPr>
      </xdr:sp>
    </xdr:grpSp>
    <xdr:clientData fPrintsWithSheet="0"/>
  </xdr:twoCellAnchor>
  <xdr:twoCellAnchor>
    <xdr:from>
      <xdr:col>4</xdr:col>
      <xdr:colOff>276224</xdr:colOff>
      <xdr:row>1</xdr:row>
      <xdr:rowOff>38100</xdr:rowOff>
    </xdr:from>
    <xdr:to>
      <xdr:col>10</xdr:col>
      <xdr:colOff>723900</xdr:colOff>
      <xdr:row>2</xdr:row>
      <xdr:rowOff>200025</xdr:rowOff>
    </xdr:to>
    <xdr:sp macro="" textlink="">
      <xdr:nvSpPr>
        <xdr:cNvPr id="10" name="Rectangle 9" descr="Customize the drop down lists on the Budget sheet to fit your needs by modifying the information you see here. Note that you may need to scroll down to view all of the tables." title="Drop down customization tip">
          <a:extLst>
            <a:ext uri="{FF2B5EF4-FFF2-40B4-BE49-F238E27FC236}">
              <a16:creationId xmlns:a16="http://schemas.microsoft.com/office/drawing/2014/main" id="{00000000-0008-0000-0200-00000A000000}"/>
            </a:ext>
          </a:extLst>
        </xdr:cNvPr>
        <xdr:cNvSpPr/>
      </xdr:nvSpPr>
      <xdr:spPr>
        <a:xfrm>
          <a:off x="4248149" y="476250"/>
          <a:ext cx="5219701" cy="438150"/>
        </a:xfrm>
        <a:prstGeom prst="rect">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2"/>
              </a:solidFill>
            </a:rPr>
            <a:t>Customize the drop down lists on the Budget sheet to fit your needs by modifying the information you see here. Note that you may need to scroll down to view all of the tables.</a:t>
          </a:r>
        </a:p>
      </xdr:txBody>
    </xdr:sp>
    <xdr:clientData/>
  </xdr:twoCellAnchor>
</xdr:wsDr>
</file>

<file path=xl/tables/table1.xml><?xml version="1.0" encoding="utf-8"?>
<table xmlns="http://schemas.openxmlformats.org/spreadsheetml/2006/main" id="1" name="tblIncome" displayName="tblIncome" ref="B13:P18" headerRowCount="0" totalsRowCount="1">
  <tableColumns count="15">
    <tableColumn id="1" name="Income" totalsRowLabel="TOTAL INCOME" headerRowDxfId="548" totalsRowDxfId="547"/>
    <tableColumn id="2" name="jan" totalsRowFunction="custom" headerRowDxfId="546" totalsRowDxfId="545">
      <totalsRowFormula>SUM(tblIncome[jan])</totalsRowFormula>
    </tableColumn>
    <tableColumn id="3" name="feb" totalsRowFunction="custom" headerRowDxfId="544" totalsRowDxfId="543">
      <totalsRowFormula>SUM(tblIncome[feb])</totalsRowFormula>
    </tableColumn>
    <tableColumn id="4" name="mar" totalsRowFunction="custom" headerRowDxfId="542" totalsRowDxfId="541">
      <totalsRowFormula>SUM(tblIncome[mar])</totalsRowFormula>
    </tableColumn>
    <tableColumn id="5" name="apr" totalsRowFunction="custom" headerRowDxfId="540" totalsRowDxfId="539">
      <totalsRowFormula>SUM(tblIncome[apr])</totalsRowFormula>
    </tableColumn>
    <tableColumn id="6" name="may" totalsRowFunction="custom" headerRowDxfId="538" totalsRowDxfId="537">
      <totalsRowFormula>SUM(tblIncome[may])</totalsRowFormula>
    </tableColumn>
    <tableColumn id="7" name="jun" totalsRowFunction="custom" headerRowDxfId="536" totalsRowDxfId="535">
      <totalsRowFormula>SUM(tblIncome[jun])</totalsRowFormula>
    </tableColumn>
    <tableColumn id="8" name="jul" totalsRowFunction="custom" headerRowDxfId="534" totalsRowDxfId="533">
      <totalsRowFormula>SUM(tblIncome[jul])</totalsRowFormula>
    </tableColumn>
    <tableColumn id="9" name="aug" totalsRowFunction="custom" headerRowDxfId="532" totalsRowDxfId="531">
      <totalsRowFormula>SUM(tblIncome[aug])</totalsRowFormula>
    </tableColumn>
    <tableColumn id="10" name="sep" totalsRowFunction="custom" headerRowDxfId="530" totalsRowDxfId="529">
      <totalsRowFormula>SUM(tblIncome[sep])</totalsRowFormula>
    </tableColumn>
    <tableColumn id="11" name="oct" totalsRowFunction="custom" headerRowDxfId="528" totalsRowDxfId="527">
      <totalsRowFormula>SUM(tblIncome[oct])</totalsRowFormula>
    </tableColumn>
    <tableColumn id="12" name="nov" totalsRowFunction="custom" headerRowDxfId="526" totalsRowDxfId="525">
      <totalsRowFormula>SUM(tblIncome[nov])</totalsRowFormula>
    </tableColumn>
    <tableColumn id="13" name="dec" totalsRowFunction="custom" headerRowDxfId="524" totalsRowDxfId="523">
      <totalsRowFormula>SUM(tblIncome[dec])</totalsRowFormula>
    </tableColumn>
    <tableColumn id="14" name="year" totalsRowFunction="custom" headerRowDxfId="522" dataDxfId="521" totalsRowDxfId="520">
      <calculatedColumnFormula>SUM(tblIncome[[#This Row],[jan]:[dec]])</calculatedColumnFormula>
      <totalsRowFormula>SUM(tblIncome[year])</totalsRowFormula>
    </tableColumn>
    <tableColumn id="15" name="avg" totalsRowFunction="custom" headerRowDxfId="519" dataDxfId="518" totalsRowDxfId="517">
      <calculatedColumnFormula>tblIncome[[#This Row],[year]]/12</calculatedColumnFormula>
      <totalsRowFormula>tblIncome[[#Totals],[year]]/12</totalsRowFormula>
    </tableColumn>
  </tableColumns>
  <tableStyleInfo name="Budget Tables" showFirstColumn="1" showLastColumn="0" showRowStripes="1" showColumnStripes="0"/>
  <extLst>
    <ext xmlns:x14="http://schemas.microsoft.com/office/spreadsheetml/2009/9/main" uri="{504A1905-F514-4f6f-8877-14C23A59335A}">
      <x14:table altText="Income" altTextSummary="List of monthly income sources and amounts"/>
    </ext>
  </extLst>
</table>
</file>

<file path=xl/tables/table10.xml><?xml version="1.0" encoding="utf-8"?>
<table xmlns="http://schemas.openxmlformats.org/spreadsheetml/2006/main" id="10" name="tblExpenseCategory_09" displayName="tblExpenseCategory_09" ref="B84:P87" headerRowCount="0" totalsRowCount="1">
  <tableColumns count="15">
    <tableColumn id="1" name="Savings" totalsRowFunction="custom" headerRowDxfId="260" totalsRowDxfId="259">
      <totalsRowFormula>UPPER("Total " &amp; B83)</totalsRowFormula>
    </tableColumn>
    <tableColumn id="2" name="jan" totalsRowFunction="custom" headerRowDxfId="258" totalsRowDxfId="257">
      <totalsRowFormula>SUM(tblExpenseCategory_09[jan])</totalsRowFormula>
    </tableColumn>
    <tableColumn id="3" name="feb" totalsRowFunction="custom" headerRowDxfId="256" totalsRowDxfId="255">
      <totalsRowFormula>SUM(tblExpenseCategory_09[feb])</totalsRowFormula>
    </tableColumn>
    <tableColumn id="4" name="mar" totalsRowFunction="custom" headerRowDxfId="254" totalsRowDxfId="253">
      <totalsRowFormula>SUM(tblExpenseCategory_09[mar])</totalsRowFormula>
    </tableColumn>
    <tableColumn id="5" name="apr" totalsRowFunction="custom" headerRowDxfId="252" totalsRowDxfId="251">
      <totalsRowFormula>SUM(tblExpenseCategory_09[apr])</totalsRowFormula>
    </tableColumn>
    <tableColumn id="6" name="may" totalsRowFunction="custom" headerRowDxfId="250" totalsRowDxfId="249">
      <totalsRowFormula>SUM(tblExpenseCategory_09[may])</totalsRowFormula>
    </tableColumn>
    <tableColumn id="7" name="jun" totalsRowFunction="custom" headerRowDxfId="248" totalsRowDxfId="247">
      <totalsRowFormula>SUM(tblExpenseCategory_09[jun])</totalsRowFormula>
    </tableColumn>
    <tableColumn id="8" name="jul" totalsRowFunction="custom" headerRowDxfId="246" totalsRowDxfId="245">
      <totalsRowFormula>SUM(tblExpenseCategory_09[jul])</totalsRowFormula>
    </tableColumn>
    <tableColumn id="9" name="aug" totalsRowFunction="custom" headerRowDxfId="244" totalsRowDxfId="243">
      <totalsRowFormula>SUM(tblExpenseCategory_09[aug])</totalsRowFormula>
    </tableColumn>
    <tableColumn id="10" name="sep" totalsRowFunction="custom" headerRowDxfId="242" totalsRowDxfId="241">
      <totalsRowFormula>SUM(tblExpenseCategory_09[sep])</totalsRowFormula>
    </tableColumn>
    <tableColumn id="11" name="oct" totalsRowFunction="custom" headerRowDxfId="240" totalsRowDxfId="239">
      <totalsRowFormula>SUM(tblExpenseCategory_09[oct])</totalsRowFormula>
    </tableColumn>
    <tableColumn id="12" name="nov" totalsRowFunction="custom" headerRowDxfId="238" totalsRowDxfId="237">
      <totalsRowFormula>SUM(tblExpenseCategory_09[nov])</totalsRowFormula>
    </tableColumn>
    <tableColumn id="13" name="dec" totalsRowFunction="custom" headerRowDxfId="236" totalsRowDxfId="235">
      <totalsRowFormula>SUM(tblExpenseCategory_09[dec])</totalsRowFormula>
    </tableColumn>
    <tableColumn id="14" name="year" totalsRowFunction="custom" headerRowDxfId="234" dataDxfId="233" totalsRowDxfId="232">
      <calculatedColumnFormula>SUM(tblExpenseCategory_09[[#This Row],[jan]:[dec]])</calculatedColumnFormula>
      <totalsRowFormula>SUM(tblExpenseCategory_09[year])</totalsRowFormula>
    </tableColumn>
    <tableColumn id="15" name="avg" totalsRowFunction="custom" headerRowDxfId="231" dataDxfId="230" totalsRowDxfId="229">
      <calculatedColumnFormula>tblExpenseCategory_09[[#This Row],[year]]/12</calculatedColumnFormula>
      <totalsRowFormula>tblExpenseCategory_09[[#Totals],[year]]/12</totalsRowFormula>
    </tableColumn>
  </tableColumns>
  <tableStyleInfo name="Budget Tables" showFirstColumn="1" showLastColumn="0" showRowStripes="1" showColumnStripes="0"/>
  <extLst>
    <ext xmlns:x14="http://schemas.microsoft.com/office/spreadsheetml/2009/9/main" uri="{504A1905-F514-4f6f-8877-14C23A59335A}">
      <x14:table altText="Savings" altTextSummary="List of savings by month such as, Emergency Fund, Retirement, etc."/>
    </ext>
  </extLst>
</table>
</file>

<file path=xl/tables/table11.xml><?xml version="1.0" encoding="utf-8"?>
<table xmlns="http://schemas.openxmlformats.org/spreadsheetml/2006/main" id="11" name="tblExpenseCategory_10" displayName="tblExpenseCategory_10" ref="B91:P92" headerRowCount="0" totalsRowCount="1">
  <tableColumns count="15">
    <tableColumn id="1" name="Obligations" totalsRowFunction="custom" headerRowDxfId="228" totalsRowDxfId="227">
      <totalsRowFormula>UPPER("Total " &amp; B90)</totalsRowFormula>
    </tableColumn>
    <tableColumn id="2" name="jan" totalsRowFunction="custom" headerRowDxfId="226" totalsRowDxfId="225">
      <totalsRowFormula>SUM(tblExpenseCategory_10[jan])</totalsRowFormula>
    </tableColumn>
    <tableColumn id="3" name="feb" totalsRowFunction="custom" headerRowDxfId="224" totalsRowDxfId="223">
      <totalsRowFormula>SUM(tblExpenseCategory_10[feb])</totalsRowFormula>
    </tableColumn>
    <tableColumn id="4" name="mar" totalsRowFunction="custom" headerRowDxfId="222" totalsRowDxfId="221">
      <totalsRowFormula>SUM(tblExpenseCategory_10[mar])</totalsRowFormula>
    </tableColumn>
    <tableColumn id="5" name="apr" totalsRowFunction="custom" headerRowDxfId="220" totalsRowDxfId="219">
      <totalsRowFormula>SUM(tblExpenseCategory_10[apr])</totalsRowFormula>
    </tableColumn>
    <tableColumn id="6" name="may" totalsRowFunction="custom" headerRowDxfId="218" totalsRowDxfId="217">
      <totalsRowFormula>SUM(tblExpenseCategory_10[may])</totalsRowFormula>
    </tableColumn>
    <tableColumn id="7" name="jun" totalsRowFunction="custom" headerRowDxfId="216" totalsRowDxfId="215">
      <totalsRowFormula>SUM(tblExpenseCategory_10[jun])</totalsRowFormula>
    </tableColumn>
    <tableColumn id="8" name="jul" totalsRowFunction="custom" headerRowDxfId="214" totalsRowDxfId="213">
      <totalsRowFormula>SUM(tblExpenseCategory_10[jul])</totalsRowFormula>
    </tableColumn>
    <tableColumn id="9" name="aug" totalsRowFunction="custom" headerRowDxfId="212" totalsRowDxfId="211">
      <totalsRowFormula>SUM(tblExpenseCategory_10[aug])</totalsRowFormula>
    </tableColumn>
    <tableColumn id="10" name="sep" totalsRowFunction="custom" headerRowDxfId="210" totalsRowDxfId="209">
      <totalsRowFormula>SUM(tblExpenseCategory_10[sep])</totalsRowFormula>
    </tableColumn>
    <tableColumn id="11" name="oct" totalsRowFunction="custom" headerRowDxfId="208" totalsRowDxfId="207">
      <totalsRowFormula>SUM(tblExpenseCategory_10[oct])</totalsRowFormula>
    </tableColumn>
    <tableColumn id="12" name="nov" totalsRowFunction="custom" headerRowDxfId="206" totalsRowDxfId="205">
      <totalsRowFormula>SUM(tblExpenseCategory_10[nov])</totalsRowFormula>
    </tableColumn>
    <tableColumn id="13" name="dec" totalsRowFunction="custom" headerRowDxfId="204" totalsRowDxfId="203">
      <totalsRowFormula>SUM(tblExpenseCategory_10[dec])</totalsRowFormula>
    </tableColumn>
    <tableColumn id="14" name="year" totalsRowFunction="custom" headerRowDxfId="202" dataDxfId="201" totalsRowDxfId="200">
      <calculatedColumnFormula>SUM(tblExpenseCategory_10[[#This Row],[jan]:[dec]])</calculatedColumnFormula>
      <totalsRowFormula>SUM(tblExpenseCategory_10[year])</totalsRowFormula>
    </tableColumn>
    <tableColumn id="15" name="avg" totalsRowFunction="custom" headerRowDxfId="199" dataDxfId="198" totalsRowDxfId="197">
      <calculatedColumnFormula>tblExpenseCategory_10[[#This Row],[year]]/12</calculatedColumnFormula>
      <totalsRowFormula>tblExpenseCategory_10[[#Totals],[year]]/12</totalsRowFormula>
    </tableColumn>
  </tableColumns>
  <tableStyleInfo name="Budget Tables" showFirstColumn="1" showLastColumn="0" showRowStripes="1" showColumnStripes="0"/>
  <extLst>
    <ext xmlns:x14="http://schemas.microsoft.com/office/spreadsheetml/2009/9/main" uri="{504A1905-F514-4f6f-8877-14C23A59335A}">
      <x14:table altText="Obligation expenses" altTextSummary="List obligation expenses by month such as, Credit Card #1, Federal Taxes, Student Loans, etc."/>
    </ext>
  </extLst>
</table>
</file>

<file path=xl/tables/table12.xml><?xml version="1.0" encoding="utf-8"?>
<table xmlns="http://schemas.openxmlformats.org/spreadsheetml/2006/main" id="12" name="tblExpenseCategory_11" displayName="tblExpenseCategory_11" ref="B96:P99" headerRowCount="0" totalsRowCount="1">
  <tableColumns count="15">
    <tableColumn id="1" name=" " totalsRowFunction="custom" headerRowDxfId="196" totalsRowDxfId="195">
      <totalsRowFormula>UPPER("Total " &amp; B95)</totalsRowFormula>
    </tableColumn>
    <tableColumn id="2" name="jan" totalsRowFunction="custom" headerRowDxfId="194" totalsRowDxfId="193">
      <totalsRowFormula>SUM(tblExpenseCategory_11[jan])</totalsRowFormula>
    </tableColumn>
    <tableColumn id="3" name="feb" totalsRowFunction="custom" headerRowDxfId="192" totalsRowDxfId="191">
      <totalsRowFormula>SUM(tblExpenseCategory_11[feb])</totalsRowFormula>
    </tableColumn>
    <tableColumn id="4" name="mar" totalsRowFunction="custom" headerRowDxfId="190" totalsRowDxfId="189">
      <totalsRowFormula>SUM(tblExpenseCategory_11[mar])</totalsRowFormula>
    </tableColumn>
    <tableColumn id="5" name="apr" totalsRowFunction="custom" headerRowDxfId="188" totalsRowDxfId="187">
      <totalsRowFormula>SUM(tblExpenseCategory_11[apr])</totalsRowFormula>
    </tableColumn>
    <tableColumn id="6" name="may" totalsRowFunction="custom" headerRowDxfId="186" totalsRowDxfId="185">
      <totalsRowFormula>SUM(tblExpenseCategory_11[may])</totalsRowFormula>
    </tableColumn>
    <tableColumn id="7" name="jun" totalsRowFunction="custom" headerRowDxfId="184" totalsRowDxfId="183">
      <totalsRowFormula>SUM(tblExpenseCategory_11[jun])</totalsRowFormula>
    </tableColumn>
    <tableColumn id="8" name="jul" totalsRowFunction="custom" headerRowDxfId="182" totalsRowDxfId="181">
      <totalsRowFormula>SUM(tblExpenseCategory_11[jul])</totalsRowFormula>
    </tableColumn>
    <tableColumn id="9" name="aug" totalsRowFunction="custom" headerRowDxfId="180" totalsRowDxfId="179">
      <totalsRowFormula>SUM(tblExpenseCategory_11[aug])</totalsRowFormula>
    </tableColumn>
    <tableColumn id="10" name="sep" totalsRowFunction="custom" headerRowDxfId="178" totalsRowDxfId="177">
      <totalsRowFormula>SUM(tblExpenseCategory_11[sep])</totalsRowFormula>
    </tableColumn>
    <tableColumn id="11" name="oct" totalsRowFunction="custom" headerRowDxfId="176" totalsRowDxfId="175">
      <totalsRowFormula>SUM(tblExpenseCategory_11[oct])</totalsRowFormula>
    </tableColumn>
    <tableColumn id="12" name="nov" totalsRowFunction="custom" headerRowDxfId="174" totalsRowDxfId="173">
      <totalsRowFormula>SUM(tblExpenseCategory_11[nov])</totalsRowFormula>
    </tableColumn>
    <tableColumn id="13" name="dec" totalsRowFunction="custom" headerRowDxfId="172" totalsRowDxfId="171">
      <totalsRowFormula>SUM(tblExpenseCategory_11[dec])</totalsRowFormula>
    </tableColumn>
    <tableColumn id="14" name="year" totalsRowFunction="custom" headerRowDxfId="170" dataDxfId="169" totalsRowDxfId="168">
      <calculatedColumnFormula>SUM(tblExpenseCategory_11[[#This Row],[jan]:[dec]])</calculatedColumnFormula>
      <totalsRowFormula>SUM(tblExpenseCategory_11[year])</totalsRowFormula>
    </tableColumn>
    <tableColumn id="15" name="avg" totalsRowFunction="custom" headerRowDxfId="167" dataDxfId="166" totalsRowDxfId="165">
      <calculatedColumnFormula>tblExpenseCategory_11[[#This Row],[year]]/12</calculatedColumnFormula>
      <totalsRowFormula>tblExpenseCategory_11[[#Totals],[year]]/12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3.xml><?xml version="1.0" encoding="utf-8"?>
<table xmlns="http://schemas.openxmlformats.org/spreadsheetml/2006/main" id="13" name="tblExpenseCategory_12" displayName="tblExpenseCategory_12" ref="B103:P106" headerRowCount="0" totalsRowCount="1">
  <tableColumns count="15">
    <tableColumn id="1" name=" " totalsRowFunction="custom" headerRowDxfId="164" totalsRowDxfId="163">
      <totalsRowFormula>UPPER("Total " &amp; B102)</totalsRowFormula>
    </tableColumn>
    <tableColumn id="2" name="jan" totalsRowFunction="custom" headerRowDxfId="162" totalsRowDxfId="161">
      <totalsRowFormula>SUM(tblExpenseCategory_12[jan])</totalsRowFormula>
    </tableColumn>
    <tableColumn id="3" name="feb" totalsRowFunction="custom" headerRowDxfId="160" totalsRowDxfId="159">
      <totalsRowFormula>SUM(tblExpenseCategory_12[feb])</totalsRowFormula>
    </tableColumn>
    <tableColumn id="4" name="mar" totalsRowFunction="custom" headerRowDxfId="158" totalsRowDxfId="157">
      <totalsRowFormula>SUM(tblExpenseCategory_12[mar])</totalsRowFormula>
    </tableColumn>
    <tableColumn id="5" name="apr" totalsRowFunction="custom" headerRowDxfId="156" totalsRowDxfId="155">
      <totalsRowFormula>SUM(tblExpenseCategory_12[apr])</totalsRowFormula>
    </tableColumn>
    <tableColumn id="6" name="may" totalsRowFunction="custom" headerRowDxfId="154" totalsRowDxfId="153">
      <totalsRowFormula>SUM(tblExpenseCategory_12[may])</totalsRowFormula>
    </tableColumn>
    <tableColumn id="7" name="jun" totalsRowFunction="custom" headerRowDxfId="152" totalsRowDxfId="151">
      <totalsRowFormula>SUM(tblExpenseCategory_12[jun])</totalsRowFormula>
    </tableColumn>
    <tableColumn id="8" name="jul" totalsRowFunction="custom" headerRowDxfId="150" totalsRowDxfId="149">
      <totalsRowFormula>SUM(tblExpenseCategory_12[jul])</totalsRowFormula>
    </tableColumn>
    <tableColumn id="9" name="aug" totalsRowFunction="custom" headerRowDxfId="148" totalsRowDxfId="147">
      <totalsRowFormula>SUM(tblExpenseCategory_12[aug])</totalsRowFormula>
    </tableColumn>
    <tableColumn id="10" name="sep" totalsRowFunction="custom" headerRowDxfId="146" totalsRowDxfId="145">
      <totalsRowFormula>SUM(tblExpenseCategory_12[sep])</totalsRowFormula>
    </tableColumn>
    <tableColumn id="11" name="oct" totalsRowFunction="custom" headerRowDxfId="144" totalsRowDxfId="143">
      <totalsRowFormula>SUM(tblExpenseCategory_12[oct])</totalsRowFormula>
    </tableColumn>
    <tableColumn id="12" name="nov" totalsRowFunction="custom" headerRowDxfId="142" totalsRowDxfId="141">
      <totalsRowFormula>SUM(tblExpenseCategory_12[nov])</totalsRowFormula>
    </tableColumn>
    <tableColumn id="13" name="dec" totalsRowFunction="custom" headerRowDxfId="140" totalsRowDxfId="139">
      <totalsRowFormula>SUM(tblExpenseCategory_12[dec])</totalsRowFormula>
    </tableColumn>
    <tableColumn id="14" name="year" totalsRowFunction="custom" headerRowDxfId="138" dataDxfId="137" totalsRowDxfId="136">
      <calculatedColumnFormula>SUM(tblExpenseCategory_12[[#This Row],[jan]:[dec]])</calculatedColumnFormula>
      <totalsRowFormula>SUM(tblExpenseCategory_12[year])</totalsRowFormula>
    </tableColumn>
    <tableColumn id="15" name="avg" totalsRowFunction="custom" headerRowDxfId="135" dataDxfId="134" totalsRowDxfId="133">
      <calculatedColumnFormula>tblExpenseCategory_12[[#This Row],[year]]/12</calculatedColumnFormula>
      <totalsRowFormula>tblExpenseCategory_12[[#Totals],[year]]/12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4.xml><?xml version="1.0" encoding="utf-8"?>
<table xmlns="http://schemas.openxmlformats.org/spreadsheetml/2006/main" id="14" name="tblExpenseCategory_13" displayName="tblExpenseCategory_13" ref="B110:P113" headerRowCount="0" totalsRowCount="1">
  <tableColumns count="15">
    <tableColumn id="1" name=" " totalsRowFunction="custom" headerRowDxfId="132">
      <totalsRowFormula>UPPER("Total " &amp; B109)</totalsRowFormula>
    </tableColumn>
    <tableColumn id="2" name="jan" totalsRowFunction="custom" headerRowDxfId="131">
      <totalsRowFormula>SUM(tblExpenseCategory_13[jan])</totalsRowFormula>
    </tableColumn>
    <tableColumn id="3" name="feb" totalsRowFunction="custom" headerRowDxfId="130">
      <totalsRowFormula>SUM(tblExpenseCategory_13[feb])</totalsRowFormula>
    </tableColumn>
    <tableColumn id="4" name="mar" totalsRowFunction="custom" headerRowDxfId="129">
      <totalsRowFormula>SUM(tblExpenseCategory_13[mar])</totalsRowFormula>
    </tableColumn>
    <tableColumn id="5" name="apr" totalsRowFunction="custom" headerRowDxfId="128">
      <totalsRowFormula>SUM(tblExpenseCategory_13[apr])</totalsRowFormula>
    </tableColumn>
    <tableColumn id="6" name="may" totalsRowFunction="custom" headerRowDxfId="127">
      <totalsRowFormula>SUM(tblExpenseCategory_13[may])</totalsRowFormula>
    </tableColumn>
    <tableColumn id="7" name="jun" totalsRowFunction="custom" headerRowDxfId="126">
      <totalsRowFormula>SUM(tblExpenseCategory_13[jun])</totalsRowFormula>
    </tableColumn>
    <tableColumn id="8" name="jul" totalsRowFunction="custom" headerRowDxfId="125">
      <totalsRowFormula>SUM(tblExpenseCategory_13[jul])</totalsRowFormula>
    </tableColumn>
    <tableColumn id="9" name="aug" totalsRowFunction="custom" headerRowDxfId="124">
      <totalsRowFormula>SUM(tblExpenseCategory_13[aug])</totalsRowFormula>
    </tableColumn>
    <tableColumn id="10" name="sep" totalsRowFunction="custom" headerRowDxfId="123">
      <totalsRowFormula>SUM(tblExpenseCategory_13[sep])</totalsRowFormula>
    </tableColumn>
    <tableColumn id="11" name="oct" totalsRowFunction="custom" headerRowDxfId="122">
      <totalsRowFormula>SUM(tblExpenseCategory_13[oct])</totalsRowFormula>
    </tableColumn>
    <tableColumn id="12" name="nov" totalsRowFunction="custom" headerRowDxfId="121">
      <totalsRowFormula>SUM(tblExpenseCategory_13[nov])</totalsRowFormula>
    </tableColumn>
    <tableColumn id="13" name="dec" totalsRowFunction="custom" headerRowDxfId="120">
      <totalsRowFormula>SUM(tblExpenseCategory_13[dec])</totalsRowFormula>
    </tableColumn>
    <tableColumn id="14" name="year" totalsRowFunction="custom" headerRowDxfId="119" dataDxfId="118" totalsRowDxfId="117">
      <calculatedColumnFormula>SUM(tblExpenseCategory_13[[#This Row],[jan]:[dec]])</calculatedColumnFormula>
      <totalsRowFormula>SUM(tblExpenseCategory_13[year])</totalsRowFormula>
    </tableColumn>
    <tableColumn id="15" name="avg" totalsRowFunction="custom" headerRowDxfId="116" dataDxfId="115" totalsRowDxfId="114">
      <calculatedColumnFormula>tblExpenseCategory_13[[#This Row],[year]]/12</calculatedColumnFormula>
      <totalsRowFormula>tblExpenseCategory_13[[#Totals],[year]]/12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5.xml><?xml version="1.0" encoding="utf-8"?>
<table xmlns="http://schemas.openxmlformats.org/spreadsheetml/2006/main" id="15" name="tblExpenseCategory_14" displayName="tblExpenseCategory_14" ref="B117:P120" headerRowCount="0" totalsRowCount="1">
  <tableColumns count="15">
    <tableColumn id="1" name=" " totalsRowFunction="custom" headerRowDxfId="113">
      <totalsRowFormula>UPPER("Total " &amp; B116)</totalsRowFormula>
    </tableColumn>
    <tableColumn id="2" name="jan" totalsRowFunction="custom" headerRowDxfId="112">
      <totalsRowFormula>SUM(tblExpenseCategory_14[jan])</totalsRowFormula>
    </tableColumn>
    <tableColumn id="3" name="feb" totalsRowFunction="custom" headerRowDxfId="111">
      <totalsRowFormula>SUM(tblExpenseCategory_14[feb])</totalsRowFormula>
    </tableColumn>
    <tableColumn id="4" name="mar" totalsRowFunction="custom" headerRowDxfId="110">
      <totalsRowFormula>SUM(tblExpenseCategory_14[mar])</totalsRowFormula>
    </tableColumn>
    <tableColumn id="5" name="apr" totalsRowFunction="custom" headerRowDxfId="109">
      <totalsRowFormula>SUM(tblExpenseCategory_14[apr])</totalsRowFormula>
    </tableColumn>
    <tableColumn id="6" name="may" totalsRowFunction="custom" headerRowDxfId="108">
      <totalsRowFormula>SUM(tblExpenseCategory_14[may])</totalsRowFormula>
    </tableColumn>
    <tableColumn id="7" name="jun" totalsRowFunction="custom" headerRowDxfId="107">
      <totalsRowFormula>SUM(tblExpenseCategory_14[jun])</totalsRowFormula>
    </tableColumn>
    <tableColumn id="8" name="jul" totalsRowFunction="custom" headerRowDxfId="106">
      <totalsRowFormula>SUM(tblExpenseCategory_14[jul])</totalsRowFormula>
    </tableColumn>
    <tableColumn id="9" name="aug" totalsRowFunction="custom" headerRowDxfId="105">
      <totalsRowFormula>SUM(tblExpenseCategory_14[aug])</totalsRowFormula>
    </tableColumn>
    <tableColumn id="10" name="sep" totalsRowFunction="custom" headerRowDxfId="104">
      <totalsRowFormula>SUM(tblExpenseCategory_14[sep])</totalsRowFormula>
    </tableColumn>
    <tableColumn id="11" name="oct" totalsRowFunction="custom" headerRowDxfId="103">
      <totalsRowFormula>SUM(tblExpenseCategory_14[oct])</totalsRowFormula>
    </tableColumn>
    <tableColumn id="12" name="nov" totalsRowFunction="custom" headerRowDxfId="102">
      <totalsRowFormula>SUM(tblExpenseCategory_14[nov])</totalsRowFormula>
    </tableColumn>
    <tableColumn id="13" name="dec" totalsRowFunction="custom" headerRowDxfId="101">
      <totalsRowFormula>SUM(tblExpenseCategory_14[dec])</totalsRowFormula>
    </tableColumn>
    <tableColumn id="14" name="year" totalsRowFunction="custom" headerRowDxfId="100" dataDxfId="99" totalsRowDxfId="98">
      <calculatedColumnFormula>SUM(tblExpenseCategory_14[[#This Row],[jan]:[dec]])</calculatedColumnFormula>
      <totalsRowFormula>SUM(tblExpenseCategory_14[year])</totalsRowFormula>
    </tableColumn>
    <tableColumn id="15" name="avg" totalsRowFunction="custom" headerRowDxfId="97" dataDxfId="96" totalsRowDxfId="95">
      <calculatedColumnFormula>tblExpenseCategory_14[[#This Row],[year]]/12</calculatedColumnFormula>
      <totalsRowFormula>tblExpenseCategory_14[[#Totals],[year]]/12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6.xml><?xml version="1.0" encoding="utf-8"?>
<table xmlns="http://schemas.openxmlformats.org/spreadsheetml/2006/main" id="16" name="tblExpenseCategory_15" displayName="tblExpenseCategory_15" ref="B124:P127" headerRowCount="0" totalsRowCount="1">
  <tableColumns count="15">
    <tableColumn id="1" name=" " totalsRowFunction="custom" headerRowDxfId="94" totalsRowDxfId="93">
      <totalsRowFormula>UPPER("Total " &amp; B123)</totalsRowFormula>
    </tableColumn>
    <tableColumn id="2" name="jan" totalsRowFunction="custom" headerRowDxfId="92" totalsRowDxfId="91">
      <totalsRowFormula>SUM(tblExpenseCategory_15[jan])</totalsRowFormula>
    </tableColumn>
    <tableColumn id="3" name="feb" totalsRowFunction="custom" headerRowDxfId="90" totalsRowDxfId="89">
      <totalsRowFormula>SUM(tblExpenseCategory_15[feb])</totalsRowFormula>
    </tableColumn>
    <tableColumn id="4" name="mar" totalsRowFunction="custom" headerRowDxfId="88" totalsRowDxfId="87">
      <totalsRowFormula>SUM(tblExpenseCategory_15[mar])</totalsRowFormula>
    </tableColumn>
    <tableColumn id="5" name="apr" totalsRowFunction="custom" headerRowDxfId="86" totalsRowDxfId="85">
      <totalsRowFormula>SUM(tblExpenseCategory_15[apr])</totalsRowFormula>
    </tableColumn>
    <tableColumn id="6" name="may" totalsRowFunction="custom" headerRowDxfId="84" totalsRowDxfId="83">
      <totalsRowFormula>SUM(tblExpenseCategory_15[may])</totalsRowFormula>
    </tableColumn>
    <tableColumn id="7" name="jun" totalsRowFunction="custom" headerRowDxfId="82" totalsRowDxfId="81">
      <totalsRowFormula>SUM(tblExpenseCategory_15[jun])</totalsRowFormula>
    </tableColumn>
    <tableColumn id="8" name="jul" totalsRowFunction="custom" headerRowDxfId="80" totalsRowDxfId="79">
      <totalsRowFormula>SUM(tblExpenseCategory_15[jul])</totalsRowFormula>
    </tableColumn>
    <tableColumn id="9" name="aug" totalsRowFunction="custom" headerRowDxfId="78" totalsRowDxfId="77">
      <totalsRowFormula>SUM(tblExpenseCategory_15[aug])</totalsRowFormula>
    </tableColumn>
    <tableColumn id="10" name="sep" totalsRowFunction="custom" headerRowDxfId="76" totalsRowDxfId="75">
      <totalsRowFormula>SUM(tblExpenseCategory_15[sep])</totalsRowFormula>
    </tableColumn>
    <tableColumn id="11" name="oct" totalsRowFunction="custom" headerRowDxfId="74" totalsRowDxfId="73">
      <totalsRowFormula>SUM(tblExpenseCategory_15[oct])</totalsRowFormula>
    </tableColumn>
    <tableColumn id="12" name="nov" totalsRowFunction="custom" headerRowDxfId="72" totalsRowDxfId="71">
      <totalsRowFormula>SUM(tblExpenseCategory_15[nov])</totalsRowFormula>
    </tableColumn>
    <tableColumn id="13" name="dec" totalsRowFunction="custom" headerRowDxfId="70" totalsRowDxfId="69">
      <totalsRowFormula>SUM(tblExpenseCategory_15[dec])</totalsRowFormula>
    </tableColumn>
    <tableColumn id="14" name="year" totalsRowFunction="custom" headerRowDxfId="68" dataDxfId="67" totalsRowDxfId="66">
      <calculatedColumnFormula>SUM(tblExpenseCategory_15[[#This Row],[jan]:[dec]])</calculatedColumnFormula>
      <totalsRowFormula>SUM(tblExpenseCategory_15[year])</totalsRowFormula>
    </tableColumn>
    <tableColumn id="15" name="avg" totalsRowFunction="custom" headerRowDxfId="65" dataDxfId="64" totalsRowDxfId="63">
      <calculatedColumnFormula>tblExpenseCategory_15[[#This Row],[year]]/12</calculatedColumnFormula>
      <totalsRowFormula>tblExpenseCategory_15[[#Totals],[year]]/12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7.xml><?xml version="1.0" encoding="utf-8"?>
<table xmlns="http://schemas.openxmlformats.org/spreadsheetml/2006/main" id="35" name="tblCashFlow" displayName="tblCashFlow" ref="B6:P9" headerRowCount="0" totalsRowShown="0">
  <tableColumns count="15">
    <tableColumn id="1" name="Income"/>
    <tableColumn id="2" name="Jan" headerRowDxfId="62"/>
    <tableColumn id="3" name="Feb" headerRowDxfId="61"/>
    <tableColumn id="4" name="Mar" headerRowDxfId="60"/>
    <tableColumn id="5" name="Apr" headerRowDxfId="59"/>
    <tableColumn id="6" name="May" headerRowDxfId="58"/>
    <tableColumn id="7" name="Jun" headerRowDxfId="57"/>
    <tableColumn id="8" name="Jul" headerRowDxfId="56"/>
    <tableColumn id="9" name="Aug" headerRowDxfId="55"/>
    <tableColumn id="10" name="Sep" headerRowDxfId="54"/>
    <tableColumn id="11" name="Oct" headerRowDxfId="53"/>
    <tableColumn id="12" name="Nov" headerRowDxfId="52"/>
    <tableColumn id="13" name="Dec" headerRowDxfId="51"/>
    <tableColumn id="14" name="Year" headerRowDxfId="50" dataDxfId="49"/>
    <tableColumn id="15" name="Avg" headerRowDxfId="48" dataDxfId="47"/>
  </tableColumns>
  <tableStyleInfo name="Budget Tables" showFirstColumn="1" showLastColumn="0" showRowStripes="1" showColumnStripes="0"/>
  <extLst>
    <ext xmlns:x14="http://schemas.microsoft.com/office/spreadsheetml/2009/9/main" uri="{504A1905-F514-4f6f-8877-14C23A59335A}">
      <x14:table altText="Cash Flow" altTextSummary="List of monthly Total Income, Total Expenses, and Net Income along with monthly Total Cash Flow."/>
    </ext>
  </extLst>
</table>
</file>

<file path=xl/tables/table18.xml><?xml version="1.0" encoding="utf-8"?>
<table xmlns="http://schemas.openxmlformats.org/spreadsheetml/2006/main" id="17" name="tblExpenseCategories" displayName="tblExpenseCategories" ref="D2:D18" totalsRowShown="0" headerRowDxfId="46">
  <tableColumns count="1">
    <tableColumn id="1" name="expenses"/>
  </tableColumns>
  <tableStyleInfo name="Other Custom Table Style" showFirstColumn="0" showLastColumn="0" showRowStripes="1" showColumnStripes="0"/>
  <extLst>
    <ext xmlns:x14="http://schemas.microsoft.com/office/spreadsheetml/2009/9/main" uri="{504A1905-F514-4f6f-8877-14C23A59335A}">
      <x14:table altText="Expense categories" altTextSummary="List of Expense categories for expense tables on the Budget sheet."/>
    </ext>
  </extLst>
</table>
</file>

<file path=xl/tables/table19.xml><?xml version="1.0" encoding="utf-8"?>
<table xmlns="http://schemas.openxmlformats.org/spreadsheetml/2006/main" id="18" name="tblExpensesHome" displayName="tblExpensesHome" ref="F4:F17" totalsRowShown="0" headerRowDxfId="45" dataDxfId="44">
  <tableColumns count="1">
    <tableColumn id="1" name="office supplies" dataDxfId="43"/>
  </tableColumns>
  <tableStyleInfo name="Setup Tables" showFirstColumn="0" showLastColumn="0" showRowStripes="1" showColumnStripes="0"/>
  <extLst>
    <ext xmlns:x14="http://schemas.microsoft.com/office/spreadsheetml/2009/9/main" uri="{504A1905-F514-4f6f-8877-14C23A59335A}">
      <x14:table altText="Home expense list" altTextSummary="List of expenses that correspond to the Home category."/>
    </ext>
  </extLst>
</table>
</file>

<file path=xl/tables/table2.xml><?xml version="1.0" encoding="utf-8"?>
<table xmlns="http://schemas.openxmlformats.org/spreadsheetml/2006/main" id="2" name="tblExpenseCategory_01" displayName="tblExpenseCategory_01" ref="B22:P27" headerRowCount="0" totalsRowCount="1">
  <tableColumns count="15">
    <tableColumn id="1" name="Home" totalsRowFunction="custom" headerRowDxfId="516" totalsRowDxfId="515">
      <totalsRowFormula>UPPER("Total " &amp; B21)</totalsRowFormula>
    </tableColumn>
    <tableColumn id="2" name="jan" totalsRowFunction="custom" headerRowDxfId="514" totalsRowDxfId="513">
      <totalsRowFormula>SUM(tblExpenseCategory_01[jan])</totalsRowFormula>
    </tableColumn>
    <tableColumn id="3" name="feb" totalsRowFunction="custom" headerRowDxfId="512" totalsRowDxfId="511">
      <totalsRowFormula>SUM(tblExpenseCategory_01[feb])</totalsRowFormula>
    </tableColumn>
    <tableColumn id="4" name="mar" totalsRowFunction="custom" headerRowDxfId="510" totalsRowDxfId="509">
      <totalsRowFormula>SUM(tblExpenseCategory_01[mar])</totalsRowFormula>
    </tableColumn>
    <tableColumn id="5" name="apr" totalsRowFunction="custom" headerRowDxfId="508" totalsRowDxfId="507">
      <totalsRowFormula>SUM(tblExpenseCategory_01[apr])</totalsRowFormula>
    </tableColumn>
    <tableColumn id="6" name="may" totalsRowFunction="custom" headerRowDxfId="506" totalsRowDxfId="505">
      <totalsRowFormula>SUM(tblExpenseCategory_01[may])</totalsRowFormula>
    </tableColumn>
    <tableColumn id="7" name="jun" totalsRowFunction="custom" headerRowDxfId="504" totalsRowDxfId="503">
      <totalsRowFormula>SUM(tblExpenseCategory_01[jun])</totalsRowFormula>
    </tableColumn>
    <tableColumn id="8" name="jul" totalsRowFunction="custom" headerRowDxfId="502" totalsRowDxfId="501">
      <totalsRowFormula>SUM(tblExpenseCategory_01[jul])</totalsRowFormula>
    </tableColumn>
    <tableColumn id="9" name="aug" totalsRowFunction="custom" headerRowDxfId="500" totalsRowDxfId="499">
      <totalsRowFormula>SUM(tblExpenseCategory_01[aug])</totalsRowFormula>
    </tableColumn>
    <tableColumn id="10" name="sep" totalsRowFunction="custom" headerRowDxfId="498" totalsRowDxfId="497">
      <totalsRowFormula>SUM(tblExpenseCategory_01[sep])</totalsRowFormula>
    </tableColumn>
    <tableColumn id="11" name="oct" totalsRowFunction="custom" headerRowDxfId="496" totalsRowDxfId="495">
      <totalsRowFormula>SUM(tblExpenseCategory_01[oct])</totalsRowFormula>
    </tableColumn>
    <tableColumn id="12" name="nov" totalsRowFunction="custom" headerRowDxfId="494" totalsRowDxfId="493">
      <totalsRowFormula>SUM(tblExpenseCategory_01[nov])</totalsRowFormula>
    </tableColumn>
    <tableColumn id="13" name="dec" totalsRowFunction="custom" headerRowDxfId="492" totalsRowDxfId="491">
      <totalsRowFormula>SUM(tblExpenseCategory_01[dec])</totalsRowFormula>
    </tableColumn>
    <tableColumn id="14" name="year" totalsRowFunction="custom" headerRowDxfId="490" dataDxfId="489" totalsRowDxfId="488">
      <calculatedColumnFormula>SUM(tblExpenseCategory_01[[#This Row],[jan]:[dec]])</calculatedColumnFormula>
      <totalsRowFormula>SUM(tblExpenseCategory_01[year])</totalsRowFormula>
    </tableColumn>
    <tableColumn id="15" name="avg" totalsRowFunction="custom" headerRowDxfId="487" dataDxfId="486" totalsRowDxfId="485">
      <calculatedColumnFormula>tblExpenseCategory_01[[#This Row],[year]]/12</calculatedColumnFormula>
      <totalsRowFormula>tblExpenseCategory_01[[#Totals],[year]]/12</totalsRowFormula>
    </tableColumn>
  </tableColumns>
  <tableStyleInfo name="Budget Tables" showFirstColumn="1" showLastColumn="0" showRowStripes="1" showColumnStripes="0"/>
  <extLst>
    <ext xmlns:x14="http://schemas.microsoft.com/office/spreadsheetml/2009/9/main" uri="{504A1905-F514-4f6f-8877-14C23A59335A}">
      <x14:table altText="Home expenses" altTextSummary="List of home expenses by month such as, Mortgage/Rent, Electricity, Phone, etc."/>
    </ext>
  </extLst>
</table>
</file>

<file path=xl/tables/table20.xml><?xml version="1.0" encoding="utf-8"?>
<table xmlns="http://schemas.openxmlformats.org/spreadsheetml/2006/main" id="19" name="tblExpensesDailyLiving" displayName="tblExpensesDailyLiving" ref="H4:H12" totalsRowShown="0" headerRowDxfId="42" dataDxfId="41">
  <tableColumns count="1">
    <tableColumn id="1" name="transportation" dataDxfId="40"/>
  </tableColumns>
  <tableStyleInfo name="Setup Tables" showFirstColumn="0" showLastColumn="0" showRowStripes="1" showColumnStripes="0"/>
  <extLst>
    <ext xmlns:x14="http://schemas.microsoft.com/office/spreadsheetml/2009/9/main" uri="{504A1905-F514-4f6f-8877-14C23A59335A}">
      <x14:table altText="Daily Living expense list" altTextSummary="List of expenses that correspond to the daily living category."/>
    </ext>
  </extLst>
</table>
</file>

<file path=xl/tables/table21.xml><?xml version="1.0" encoding="utf-8"?>
<table xmlns="http://schemas.openxmlformats.org/spreadsheetml/2006/main" id="20" name="tblExpensesChildren" displayName="tblExpensesChildren" ref="J4:J12" totalsRowShown="0" headerRowDxfId="39" dataDxfId="38">
  <tableColumns count="1">
    <tableColumn id="1" name="training" dataDxfId="37"/>
  </tableColumns>
  <tableStyleInfo name="Setup Tables" showFirstColumn="0" showLastColumn="0" showRowStripes="1" showColumnStripes="0"/>
  <extLst>
    <ext xmlns:x14="http://schemas.microsoft.com/office/spreadsheetml/2009/9/main" uri="{504A1905-F514-4f6f-8877-14C23A59335A}">
      <x14:table altText="Children expense list" altTextSummary="List of expenses that correspond to the Children category."/>
    </ext>
  </extLst>
</table>
</file>

<file path=xl/tables/table22.xml><?xml version="1.0" encoding="utf-8"?>
<table xmlns="http://schemas.openxmlformats.org/spreadsheetml/2006/main" id="21" name="tblExpensesTransportation" displayName="tblExpensesTransportation" ref="F20:F26" totalsRowShown="0" headerRowDxfId="36" dataDxfId="35">
  <tableColumns count="1">
    <tableColumn id="1" name="charity" dataDxfId="34"/>
  </tableColumns>
  <tableStyleInfo name="Setup Tables" showFirstColumn="0" showLastColumn="0" showRowStripes="1" showColumnStripes="0"/>
  <extLst>
    <ext xmlns:x14="http://schemas.microsoft.com/office/spreadsheetml/2009/9/main" uri="{504A1905-F514-4f6f-8877-14C23A59335A}">
      <x14:table altText="Transportation expense list" altTextSummary="List of expenses that correspond to the Transportation category."/>
    </ext>
  </extLst>
</table>
</file>

<file path=xl/tables/table23.xml><?xml version="1.0" encoding="utf-8"?>
<table xmlns="http://schemas.openxmlformats.org/spreadsheetml/2006/main" id="23" name="tblExpensesHealth" displayName="tblExpensesHealth" ref="H20:H25" totalsRowShown="0" headerRowDxfId="33" dataDxfId="32">
  <tableColumns count="1">
    <tableColumn id="1" name="obligations" dataDxfId="31"/>
  </tableColumns>
  <tableStyleInfo name="Setup Tables" showFirstColumn="0" showLastColumn="0" showRowStripes="1" showColumnStripes="0"/>
  <extLst>
    <ext xmlns:x14="http://schemas.microsoft.com/office/spreadsheetml/2009/9/main" uri="{504A1905-F514-4f6f-8877-14C23A59335A}">
      <x14:table altText="Health expense list" altTextSummary="List of expenses that correspond to the Health category."/>
    </ext>
  </extLst>
</table>
</file>

<file path=xl/tables/table24.xml><?xml version="1.0" encoding="utf-8"?>
<table xmlns="http://schemas.openxmlformats.org/spreadsheetml/2006/main" id="24" name="tblExpensesInsurance" displayName="tblExpensesInsurance" ref="J20:J25" totalsRowShown="0" headerRowDxfId="30" dataDxfId="29">
  <tableColumns count="1">
    <tableColumn id="1" name="entertainment" dataDxfId="28"/>
  </tableColumns>
  <tableStyleInfo name="Setup Tables" showFirstColumn="0" showLastColumn="0" showRowStripes="1" showColumnStripes="0"/>
  <extLst>
    <ext xmlns:x14="http://schemas.microsoft.com/office/spreadsheetml/2009/9/main" uri="{504A1905-F514-4f6f-8877-14C23A59335A}">
      <x14:table altText="Insurance expense list" altTextSummary="List of expenses that correspond to the Insurance category."/>
    </ext>
  </extLst>
</table>
</file>

<file path=xl/tables/table25.xml><?xml version="1.0" encoding="utf-8"?>
<table xmlns="http://schemas.openxmlformats.org/spreadsheetml/2006/main" id="25" name="tblExpensesEducation" displayName="tblExpensesEducation" ref="F29:F33" totalsRowShown="0" headerRowDxfId="27" dataDxfId="26">
  <tableColumns count="1">
    <tableColumn id="1" name="morale" dataDxfId="25"/>
  </tableColumns>
  <tableStyleInfo name="Setup Tables" showFirstColumn="0" showLastColumn="0" showRowStripes="1" showColumnStripes="0"/>
  <extLst>
    <ext xmlns:x14="http://schemas.microsoft.com/office/spreadsheetml/2009/9/main" uri="{504A1905-F514-4f6f-8877-14C23A59335A}">
      <x14:table altText="Education expense list" altTextSummary="List of expenses that correspond to the Education category."/>
    </ext>
  </extLst>
</table>
</file>

<file path=xl/tables/table26.xml><?xml version="1.0" encoding="utf-8"?>
<table xmlns="http://schemas.openxmlformats.org/spreadsheetml/2006/main" id="26" name="tblExpensesCharity" displayName="tblExpensesCharity" ref="H29:H33" totalsRowShown="0" headerRowDxfId="24" dataDxfId="23">
  <tableColumns count="1">
    <tableColumn id="1" name="subscriptions" dataDxfId="22"/>
  </tableColumns>
  <tableStyleInfo name="Setup Tables" showFirstColumn="0" showLastColumn="0" showRowStripes="1" showColumnStripes="0"/>
  <extLst>
    <ext xmlns:x14="http://schemas.microsoft.com/office/spreadsheetml/2009/9/main" uri="{504A1905-F514-4f6f-8877-14C23A59335A}">
      <x14:table altText="Charity expense list" altTextSummary="List of expenses that correspond to the Charity category."/>
    </ext>
  </extLst>
</table>
</file>

<file path=xl/tables/table27.xml><?xml version="1.0" encoding="utf-8"?>
<table xmlns="http://schemas.openxmlformats.org/spreadsheetml/2006/main" id="27" name="tblExpensesSavings" displayName="tblExpensesSavings" ref="J29:J35" totalsRowShown="0" headerRowDxfId="21" dataDxfId="20">
  <tableColumns count="1">
    <tableColumn id="1" name="equipment" dataDxfId="19"/>
  </tableColumns>
  <tableStyleInfo name="Setup Tables" showFirstColumn="0" showLastColumn="0" showRowStripes="1" showColumnStripes="0"/>
  <extLst>
    <ext xmlns:x14="http://schemas.microsoft.com/office/spreadsheetml/2009/9/main" uri="{504A1905-F514-4f6f-8877-14C23A59335A}">
      <x14:table altText="Savings expense list" altTextSummary="List of expenses that correspond to the Savings category."/>
    </ext>
  </extLst>
</table>
</file>

<file path=xl/tables/table28.xml><?xml version="1.0" encoding="utf-8"?>
<table xmlns="http://schemas.openxmlformats.org/spreadsheetml/2006/main" id="28" name="tblExpensesObligations" displayName="tblExpensesObligations" ref="F38:F50" totalsRowShown="0" headerRowDxfId="18" dataDxfId="17">
  <tableColumns count="1">
    <tableColumn id="1" name="miscellaneous" dataDxfId="16"/>
  </tableColumns>
  <tableStyleInfo name="Setup Tables" showFirstColumn="0" showLastColumn="0" showRowStripes="1" showColumnStripes="0"/>
  <extLst>
    <ext xmlns:x14="http://schemas.microsoft.com/office/spreadsheetml/2009/9/main" uri="{504A1905-F514-4f6f-8877-14C23A59335A}">
      <x14:table altText="Obligations expense category" altTextSummary="List of expenses that correspond to the Obligations category."/>
    </ext>
  </extLst>
</table>
</file>

<file path=xl/tables/table29.xml><?xml version="1.0" encoding="utf-8"?>
<table xmlns="http://schemas.openxmlformats.org/spreadsheetml/2006/main" id="29" name="tblExpensesEntertainment" displayName="tblExpensesEntertainment" ref="H38:H51" totalsRowShown="0" headerRowDxfId="15" dataDxfId="14">
  <tableColumns count="1">
    <tableColumn id="1" name="entertainment" dataDxfId="13"/>
  </tableColumns>
  <tableStyleInfo name="Setup Tables" showFirstColumn="0" showLastColumn="0" showRowStripes="1" showColumnStripes="0"/>
  <extLst>
    <ext xmlns:x14="http://schemas.microsoft.com/office/spreadsheetml/2009/9/main" uri="{504A1905-F514-4f6f-8877-14C23A59335A}">
      <x14:table altText="Entertainment expense list" altTextSummary="List of expenses that correspond to the Entertainment category."/>
    </ext>
  </extLst>
</table>
</file>

<file path=xl/tables/table3.xml><?xml version="1.0" encoding="utf-8"?>
<table xmlns="http://schemas.openxmlformats.org/spreadsheetml/2006/main" id="3" name="tblExpenseCategory_02" displayName="tblExpenseCategory_02" ref="B31:P36" headerRowCount="0" totalsRowCount="1">
  <tableColumns count="15">
    <tableColumn id="1" name="Daily Living" totalsRowFunction="custom" headerRowDxfId="484" totalsRowDxfId="483">
      <totalsRowFormula>UPPER("Total " &amp; B30)</totalsRowFormula>
    </tableColumn>
    <tableColumn id="2" name="jan" totalsRowFunction="custom" headerRowDxfId="482" totalsRowDxfId="481">
      <totalsRowFormula>SUM(tblExpenseCategory_02[jan])</totalsRowFormula>
    </tableColumn>
    <tableColumn id="3" name="feb" totalsRowFunction="custom" headerRowDxfId="480" totalsRowDxfId="479">
      <totalsRowFormula>SUM(tblExpenseCategory_02[feb])</totalsRowFormula>
    </tableColumn>
    <tableColumn id="4" name="mar" totalsRowFunction="custom" headerRowDxfId="478" totalsRowDxfId="477">
      <totalsRowFormula>SUM(tblExpenseCategory_02[mar])</totalsRowFormula>
    </tableColumn>
    <tableColumn id="5" name="apr" totalsRowFunction="custom" headerRowDxfId="476" totalsRowDxfId="475">
      <totalsRowFormula>SUM(tblExpenseCategory_02[apr])</totalsRowFormula>
    </tableColumn>
    <tableColumn id="6" name="may" totalsRowFunction="custom" headerRowDxfId="474" totalsRowDxfId="473">
      <totalsRowFormula>SUM(tblExpenseCategory_02[may])</totalsRowFormula>
    </tableColumn>
    <tableColumn id="7" name="jun" totalsRowFunction="custom" headerRowDxfId="472" totalsRowDxfId="471">
      <totalsRowFormula>SUM(tblExpenseCategory_02[jun])</totalsRowFormula>
    </tableColumn>
    <tableColumn id="8" name="jul" totalsRowFunction="custom" headerRowDxfId="470" totalsRowDxfId="469">
      <totalsRowFormula>SUM(tblExpenseCategory_02[jul])</totalsRowFormula>
    </tableColumn>
    <tableColumn id="9" name="aug" totalsRowFunction="custom" headerRowDxfId="468" totalsRowDxfId="467">
      <totalsRowFormula>SUM(tblExpenseCategory_02[aug])</totalsRowFormula>
    </tableColumn>
    <tableColumn id="10" name="sep" totalsRowFunction="custom" headerRowDxfId="466" totalsRowDxfId="465">
      <totalsRowFormula>SUM(tblExpenseCategory_02[sep])</totalsRowFormula>
    </tableColumn>
    <tableColumn id="11" name="oct" totalsRowFunction="custom" headerRowDxfId="464" totalsRowDxfId="463">
      <totalsRowFormula>SUM(tblExpenseCategory_02[oct])</totalsRowFormula>
    </tableColumn>
    <tableColumn id="12" name="nov" totalsRowFunction="custom" headerRowDxfId="462" totalsRowDxfId="461">
      <totalsRowFormula>SUM(tblExpenseCategory_02[nov])</totalsRowFormula>
    </tableColumn>
    <tableColumn id="13" name="dec" totalsRowFunction="custom" headerRowDxfId="460" totalsRowDxfId="459">
      <totalsRowFormula>SUM(tblExpenseCategory_02[dec])</totalsRowFormula>
    </tableColumn>
    <tableColumn id="14" name="year" totalsRowFunction="custom" headerRowDxfId="458" dataDxfId="457" totalsRowDxfId="456">
      <calculatedColumnFormula>SUM(tblExpenseCategory_02[[#This Row],[jan]:[dec]])</calculatedColumnFormula>
      <totalsRowFormula>SUM(tblExpenseCategory_02[year])</totalsRowFormula>
    </tableColumn>
    <tableColumn id="15" name="avg" totalsRowFunction="custom" headerRowDxfId="455" dataDxfId="454" totalsRowDxfId="453">
      <calculatedColumnFormula>tblExpenseCategory_02[[#This Row],[year]]/12</calculatedColumnFormula>
      <totalsRowFormula>tblExpenseCategory_02[[#Totals],[year]]/12</totalsRowFormula>
    </tableColumn>
  </tableColumns>
  <tableStyleInfo name="Budget Tables" showFirstColumn="1" showLastColumn="0" showRowStripes="1" showColumnStripes="0"/>
  <extLst>
    <ext xmlns:x14="http://schemas.microsoft.com/office/spreadsheetml/2009/9/main" uri="{504A1905-F514-4f6f-8877-14C23A59335A}">
      <x14:table altText="Daily Living expenses" altTextSummary="List of daily living expenses by month such as, Groceries, Clothing, etc. "/>
    </ext>
  </extLst>
</table>
</file>

<file path=xl/tables/table30.xml><?xml version="1.0" encoding="utf-8"?>
<table xmlns="http://schemas.openxmlformats.org/spreadsheetml/2006/main" id="30" name="tblExpensesPets" displayName="tblExpensesPets" ref="J38:J42" totalsRowShown="0" headerRowDxfId="12" dataDxfId="11">
  <tableColumns count="1">
    <tableColumn id="1" name="pets" dataDxfId="10"/>
  </tableColumns>
  <tableStyleInfo name="Setup Tables" showFirstColumn="0" showLastColumn="0" showRowStripes="1" showColumnStripes="0"/>
  <extLst>
    <ext xmlns:x14="http://schemas.microsoft.com/office/spreadsheetml/2009/9/main" uri="{504A1905-F514-4f6f-8877-14C23A59335A}">
      <x14:table altText="Pets expense list" altTextSummary="List of expenses that correspond to the Pets category."/>
    </ext>
  </extLst>
</table>
</file>

<file path=xl/tables/table31.xml><?xml version="1.0" encoding="utf-8"?>
<table xmlns="http://schemas.openxmlformats.org/spreadsheetml/2006/main" id="31" name="tblExpensesSubscriptions" displayName="tblExpensesSubscriptions" ref="F53:F58" totalsRowShown="0" headerRowDxfId="9" dataDxfId="8">
  <tableColumns count="1">
    <tableColumn id="1" name="subscriptions" dataDxfId="7"/>
  </tableColumns>
  <tableStyleInfo name="Setup Tables" showFirstColumn="0" showLastColumn="0" showRowStripes="1" showColumnStripes="0"/>
  <extLst>
    <ext xmlns:x14="http://schemas.microsoft.com/office/spreadsheetml/2009/9/main" uri="{504A1905-F514-4f6f-8877-14C23A59335A}">
      <x14:table altText="Subscriptions expense list" altTextSummary="List of expenses that correspond to the Subscriptions category."/>
    </ext>
  </extLst>
</table>
</file>

<file path=xl/tables/table32.xml><?xml version="1.0" encoding="utf-8"?>
<table xmlns="http://schemas.openxmlformats.org/spreadsheetml/2006/main" id="32" name="tblExpensesVacation" displayName="tblExpensesVacation" ref="H53:H59" totalsRowShown="0" headerRowDxfId="6" dataDxfId="5">
  <tableColumns count="1">
    <tableColumn id="1" name="vacation" dataDxfId="4"/>
  </tableColumns>
  <tableStyleInfo name="Setup Tables" showFirstColumn="0" showLastColumn="0" showRowStripes="1" showColumnStripes="0"/>
  <extLst>
    <ext xmlns:x14="http://schemas.microsoft.com/office/spreadsheetml/2009/9/main" uri="{504A1905-F514-4f6f-8877-14C23A59335A}">
      <x14:table altText="Vacation expense list" altTextSummary="List of expenses that correspond to the Vacation category."/>
    </ext>
  </extLst>
</table>
</file>

<file path=xl/tables/table33.xml><?xml version="1.0" encoding="utf-8"?>
<table xmlns="http://schemas.openxmlformats.org/spreadsheetml/2006/main" id="33" name="tblExpensesMisc" displayName="tblExpensesMisc" ref="J53:J56" totalsRowShown="0" headerRowDxfId="3" dataDxfId="2">
  <tableColumns count="1">
    <tableColumn id="1" name="miscellaneous" dataDxfId="1"/>
  </tableColumns>
  <tableStyleInfo name="Setup Tables" showFirstColumn="0" showLastColumn="0" showRowStripes="1" showColumnStripes="0"/>
  <extLst>
    <ext xmlns:x14="http://schemas.microsoft.com/office/spreadsheetml/2009/9/main" uri="{504A1905-F514-4f6f-8877-14C23A59335A}">
      <x14:table altText="Miscellaneous expense list" altTextSummary="List of expenses that correspond to the Miscellaneous category."/>
    </ext>
  </extLst>
</table>
</file>

<file path=xl/tables/table34.xml><?xml version="1.0" encoding="utf-8"?>
<table xmlns="http://schemas.openxmlformats.org/spreadsheetml/2006/main" id="34" name="tblIncomeLineChoices" displayName="tblIncomeLineChoices" ref="B2:B9" totalsRowShown="0" headerRowDxfId="0">
  <tableColumns count="1">
    <tableColumn id="1" name="income"/>
  </tableColumns>
  <tableStyleInfo name="Other Custom Table Style" showFirstColumn="0" showLastColumn="0" showRowStripes="1" showColumnStripes="0"/>
  <extLst>
    <ext xmlns:x14="http://schemas.microsoft.com/office/spreadsheetml/2009/9/main" uri="{504A1905-F514-4f6f-8877-14C23A59335A}">
      <x14:table altText="Income categories" altTextSummary="List of Income categories for Income table on the Budget sheet."/>
    </ext>
  </extLst>
</table>
</file>

<file path=xl/tables/table4.xml><?xml version="1.0" encoding="utf-8"?>
<table xmlns="http://schemas.openxmlformats.org/spreadsheetml/2006/main" id="4" name="tblExpenseCategory_03" displayName="tblExpenseCategory_03" ref="B40:P45" headerRowCount="0" totalsRowCount="1">
  <tableColumns count="15">
    <tableColumn id="1" name="Children" totalsRowFunction="custom" headerRowDxfId="452" totalsRowDxfId="451">
      <totalsRowFormula>UPPER("Total " &amp; B39)</totalsRowFormula>
    </tableColumn>
    <tableColumn id="2" name="jan" totalsRowFunction="custom" headerRowDxfId="450" totalsRowDxfId="449">
      <totalsRowFormula>SUM(tblExpenseCategory_03[jan])</totalsRowFormula>
    </tableColumn>
    <tableColumn id="3" name="feb" totalsRowFunction="custom" headerRowDxfId="448" totalsRowDxfId="447">
      <totalsRowFormula>SUM(tblExpenseCategory_03[feb])</totalsRowFormula>
    </tableColumn>
    <tableColumn id="4" name="mar" totalsRowFunction="custom" headerRowDxfId="446" totalsRowDxfId="445">
      <totalsRowFormula>SUM(tblExpenseCategory_03[mar])</totalsRowFormula>
    </tableColumn>
    <tableColumn id="5" name="apr" totalsRowFunction="custom" headerRowDxfId="444" totalsRowDxfId="443">
      <totalsRowFormula>SUM(tblExpenseCategory_03[apr])</totalsRowFormula>
    </tableColumn>
    <tableColumn id="6" name="may" totalsRowFunction="custom" headerRowDxfId="442" totalsRowDxfId="441">
      <totalsRowFormula>SUM(tblExpenseCategory_03[may])</totalsRowFormula>
    </tableColumn>
    <tableColumn id="7" name="jun" totalsRowFunction="custom" headerRowDxfId="440" totalsRowDxfId="439">
      <totalsRowFormula>SUM(tblExpenseCategory_03[jun])</totalsRowFormula>
    </tableColumn>
    <tableColumn id="8" name="jul" totalsRowFunction="custom" headerRowDxfId="438" totalsRowDxfId="437">
      <totalsRowFormula>SUM(tblExpenseCategory_03[jul])</totalsRowFormula>
    </tableColumn>
    <tableColumn id="9" name="aug" totalsRowFunction="custom" headerRowDxfId="436" totalsRowDxfId="435">
      <totalsRowFormula>SUM(tblExpenseCategory_03[aug])</totalsRowFormula>
    </tableColumn>
    <tableColumn id="10" name="sep" totalsRowFunction="custom" headerRowDxfId="434" totalsRowDxfId="433">
      <totalsRowFormula>SUM(tblExpenseCategory_03[sep])</totalsRowFormula>
    </tableColumn>
    <tableColumn id="11" name="oct" totalsRowFunction="custom" headerRowDxfId="432" totalsRowDxfId="431">
      <totalsRowFormula>SUM(tblExpenseCategory_03[oct])</totalsRowFormula>
    </tableColumn>
    <tableColumn id="12" name="nov" totalsRowFunction="custom" headerRowDxfId="430" totalsRowDxfId="429">
      <totalsRowFormula>SUM(tblExpenseCategory_03[nov])</totalsRowFormula>
    </tableColumn>
    <tableColumn id="13" name="dec" totalsRowFunction="custom" headerRowDxfId="428" totalsRowDxfId="427">
      <totalsRowFormula>SUM(tblExpenseCategory_03[dec])</totalsRowFormula>
    </tableColumn>
    <tableColumn id="14" name="year" totalsRowFunction="custom" headerRowDxfId="426" dataDxfId="425" totalsRowDxfId="424">
      <calculatedColumnFormula>SUM(tblExpenseCategory_03[[#This Row],[jan]:[dec]])</calculatedColumnFormula>
      <totalsRowFormula>SUM(tblExpenseCategory_03[year])</totalsRowFormula>
    </tableColumn>
    <tableColumn id="15" name="avg" totalsRowFunction="custom" headerRowDxfId="423" dataDxfId="422" totalsRowDxfId="421">
      <calculatedColumnFormula>tblExpenseCategory_03[[#This Row],[year]]/12</calculatedColumnFormula>
      <totalsRowFormula>tblExpenseCategory_03[[#Totals],[year]]/12</totalsRowFormula>
    </tableColumn>
  </tableColumns>
  <tableStyleInfo name="Budget Tables" showFirstColumn="1" showLastColumn="0" showRowStripes="1" showColumnStripes="0"/>
  <extLst>
    <ext xmlns:x14="http://schemas.microsoft.com/office/spreadsheetml/2009/9/main" uri="{504A1905-F514-4f6f-8877-14C23A59335A}">
      <x14:table altText="Children expenses" altTextSummary="List of your children's expenses by month such as School Supplies, Clothing, School Lunch, etc."/>
    </ext>
  </extLst>
</table>
</file>

<file path=xl/tables/table5.xml><?xml version="1.0" encoding="utf-8"?>
<table xmlns="http://schemas.openxmlformats.org/spreadsheetml/2006/main" id="5" name="tblExpenseCategory_04" displayName="tblExpenseCategory_04" ref="B49:P52" headerRowCount="0" totalsRowCount="1">
  <tableColumns count="15">
    <tableColumn id="1" name="Transportation" totalsRowFunction="custom" headerRowDxfId="420" totalsRowDxfId="419">
      <totalsRowFormula>UPPER("Total " &amp; B48)</totalsRowFormula>
    </tableColumn>
    <tableColumn id="2" name="jan" totalsRowFunction="custom" headerRowDxfId="418" totalsRowDxfId="417">
      <totalsRowFormula>SUM(tblExpenseCategory_04[jan])</totalsRowFormula>
    </tableColumn>
    <tableColumn id="3" name="feb" totalsRowFunction="custom" headerRowDxfId="416" totalsRowDxfId="415">
      <totalsRowFormula>SUM(tblExpenseCategory_04[feb])</totalsRowFormula>
    </tableColumn>
    <tableColumn id="4" name="mar" totalsRowFunction="custom" headerRowDxfId="414" totalsRowDxfId="413">
      <totalsRowFormula>SUM(tblExpenseCategory_04[mar])</totalsRowFormula>
    </tableColumn>
    <tableColumn id="5" name="apr" totalsRowFunction="custom" headerRowDxfId="412" totalsRowDxfId="411">
      <totalsRowFormula>SUM(tblExpenseCategory_04[apr])</totalsRowFormula>
    </tableColumn>
    <tableColumn id="6" name="may" totalsRowFunction="custom" headerRowDxfId="410" totalsRowDxfId="409">
      <totalsRowFormula>SUM(tblExpenseCategory_04[may])</totalsRowFormula>
    </tableColumn>
    <tableColumn id="7" name="jun" totalsRowFunction="custom" headerRowDxfId="408" totalsRowDxfId="407">
      <totalsRowFormula>SUM(tblExpenseCategory_04[jun])</totalsRowFormula>
    </tableColumn>
    <tableColumn id="8" name="jul" totalsRowFunction="custom" headerRowDxfId="406" totalsRowDxfId="405">
      <totalsRowFormula>SUM(tblExpenseCategory_04[jul])</totalsRowFormula>
    </tableColumn>
    <tableColumn id="9" name="aug" totalsRowFunction="custom" headerRowDxfId="404" totalsRowDxfId="403">
      <totalsRowFormula>SUM(tblExpenseCategory_04[aug])</totalsRowFormula>
    </tableColumn>
    <tableColumn id="10" name="sep" totalsRowFunction="custom" headerRowDxfId="402" totalsRowDxfId="401">
      <totalsRowFormula>SUM(tblExpenseCategory_04[sep])</totalsRowFormula>
    </tableColumn>
    <tableColumn id="11" name="oct" totalsRowFunction="custom" headerRowDxfId="400" totalsRowDxfId="399">
      <totalsRowFormula>SUM(tblExpenseCategory_04[oct])</totalsRowFormula>
    </tableColumn>
    <tableColumn id="12" name="nov" totalsRowFunction="custom" headerRowDxfId="398" totalsRowDxfId="397">
      <totalsRowFormula>SUM(tblExpenseCategory_04[nov])</totalsRowFormula>
    </tableColumn>
    <tableColumn id="13" name="dec" totalsRowFunction="custom" headerRowDxfId="396" totalsRowDxfId="395">
      <totalsRowFormula>SUM(tblExpenseCategory_04[dec])</totalsRowFormula>
    </tableColumn>
    <tableColumn id="14" name="year" totalsRowFunction="custom" headerRowDxfId="394" dataDxfId="393" totalsRowDxfId="392">
      <calculatedColumnFormula>SUM(tblExpenseCategory_04[[#This Row],[jan]:[dec]])</calculatedColumnFormula>
      <totalsRowFormula>SUM(tblExpenseCategory_04[year])</totalsRowFormula>
    </tableColumn>
    <tableColumn id="15" name="avg" totalsRowFunction="custom" headerRowDxfId="391" dataDxfId="390" totalsRowDxfId="389">
      <calculatedColumnFormula>tblExpenseCategory_04[[#This Row],[year]]/12</calculatedColumnFormula>
      <totalsRowFormula>tblExpenseCategory_04[[#Totals],[year]]/12</totalsRowFormula>
    </tableColumn>
  </tableColumns>
  <tableStyleInfo name="Budget Tables" showFirstColumn="1" showLastColumn="0" showRowStripes="1" showColumnStripes="0"/>
  <extLst>
    <ext xmlns:x14="http://schemas.microsoft.com/office/spreadsheetml/2009/9/main" uri="{504A1905-F514-4f6f-8877-14C23A59335A}">
      <x14:table altText="Transportation expenses" altTextSummary="List of transportation expenses by month such as Vehicle Payments, Fuel, Repairs, etc."/>
    </ext>
  </extLst>
</table>
</file>

<file path=xl/tables/table6.xml><?xml version="1.0" encoding="utf-8"?>
<table xmlns="http://schemas.openxmlformats.org/spreadsheetml/2006/main" id="6" name="tblExpenseCategory_05" displayName="tblExpenseCategory_05" ref="B56:P59" headerRowCount="0" totalsRowCount="1">
  <tableColumns count="15">
    <tableColumn id="1" name="Health" totalsRowFunction="custom" headerRowDxfId="388" totalsRowDxfId="387">
      <totalsRowFormula>UPPER("Total " &amp; B55)</totalsRowFormula>
    </tableColumn>
    <tableColumn id="2" name="jan" totalsRowFunction="custom" headerRowDxfId="386" totalsRowDxfId="385">
      <totalsRowFormula>SUM(tblExpenseCategory_05[jan])</totalsRowFormula>
    </tableColumn>
    <tableColumn id="3" name="feb" totalsRowFunction="custom" headerRowDxfId="384" totalsRowDxfId="383">
      <totalsRowFormula>SUM(tblExpenseCategory_05[feb])</totalsRowFormula>
    </tableColumn>
    <tableColumn id="4" name="mar" totalsRowFunction="custom" headerRowDxfId="382" totalsRowDxfId="381">
      <totalsRowFormula>SUM(tblExpenseCategory_05[mar])</totalsRowFormula>
    </tableColumn>
    <tableColumn id="5" name="apr" totalsRowFunction="custom" headerRowDxfId="380" totalsRowDxfId="379">
      <totalsRowFormula>SUM(tblExpenseCategory_05[apr])</totalsRowFormula>
    </tableColumn>
    <tableColumn id="6" name="may" totalsRowFunction="custom" headerRowDxfId="378" totalsRowDxfId="377">
      <totalsRowFormula>SUM(tblExpenseCategory_05[may])</totalsRowFormula>
    </tableColumn>
    <tableColumn id="7" name="jun" totalsRowFunction="custom" headerRowDxfId="376" totalsRowDxfId="375">
      <totalsRowFormula>SUM(tblExpenseCategory_05[jun])</totalsRowFormula>
    </tableColumn>
    <tableColumn id="8" name="jul" totalsRowFunction="custom" headerRowDxfId="374" totalsRowDxfId="373">
      <totalsRowFormula>SUM(tblExpenseCategory_05[jul])</totalsRowFormula>
    </tableColumn>
    <tableColumn id="9" name="aug" totalsRowFunction="custom" headerRowDxfId="372" totalsRowDxfId="371">
      <totalsRowFormula>SUM(tblExpenseCategory_05[aug])</totalsRowFormula>
    </tableColumn>
    <tableColumn id="10" name="sep" totalsRowFunction="custom" headerRowDxfId="370" totalsRowDxfId="369">
      <totalsRowFormula>SUM(tblExpenseCategory_05[sep])</totalsRowFormula>
    </tableColumn>
    <tableColumn id="11" name="oct" totalsRowFunction="custom" headerRowDxfId="368" totalsRowDxfId="367">
      <totalsRowFormula>SUM(tblExpenseCategory_05[oct])</totalsRowFormula>
    </tableColumn>
    <tableColumn id="12" name="nov" totalsRowFunction="custom" headerRowDxfId="366" totalsRowDxfId="365">
      <totalsRowFormula>SUM(tblExpenseCategory_05[nov])</totalsRowFormula>
    </tableColumn>
    <tableColumn id="13" name="dec" totalsRowFunction="custom" headerRowDxfId="364" totalsRowDxfId="363">
      <totalsRowFormula>SUM(tblExpenseCategory_05[dec])</totalsRowFormula>
    </tableColumn>
    <tableColumn id="14" name="year" totalsRowFunction="custom" headerRowDxfId="362" dataDxfId="361" totalsRowDxfId="360">
      <calculatedColumnFormula>SUM(tblExpenseCategory_05[[#This Row],[jan]:[dec]])</calculatedColumnFormula>
      <totalsRowFormula>SUM(tblExpenseCategory_05[year])</totalsRowFormula>
    </tableColumn>
    <tableColumn id="15" name="avg" totalsRowFunction="custom" headerRowDxfId="359" dataDxfId="358" totalsRowDxfId="357">
      <calculatedColumnFormula>tblExpenseCategory_05[[#This Row],[year]]/12</calculatedColumnFormula>
      <totalsRowFormula>tblExpenseCategory_05[[#Totals],[year]]/12</totalsRowFormula>
    </tableColumn>
  </tableColumns>
  <tableStyleInfo name="Budget Tables" showFirstColumn="1" showLastColumn="0" showRowStripes="1" showColumnStripes="0"/>
  <extLst>
    <ext xmlns:x14="http://schemas.microsoft.com/office/spreadsheetml/2009/9/main" uri="{504A1905-F514-4f6f-8877-14C23A59335A}">
      <x14:table altTextSummary="List of health expenses by month such as Doctor/Dentist, Medicine/Drugs, etc."/>
    </ext>
  </extLst>
</table>
</file>

<file path=xl/tables/table7.xml><?xml version="1.0" encoding="utf-8"?>
<table xmlns="http://schemas.openxmlformats.org/spreadsheetml/2006/main" id="7" name="tblExpenseCategory_06" displayName="tblExpenseCategory_06" ref="B63:P66" headerRowCount="0" totalsRowCount="1">
  <tableColumns count="15">
    <tableColumn id="1" name="Insurance" totalsRowFunction="custom" headerRowDxfId="356" totalsRowDxfId="355">
      <totalsRowFormula>UPPER("Total " &amp; B62)</totalsRowFormula>
    </tableColumn>
    <tableColumn id="2" name="jan" totalsRowFunction="custom" headerRowDxfId="354" totalsRowDxfId="353">
      <totalsRowFormula>SUM(tblExpenseCategory_06[jan])</totalsRowFormula>
    </tableColumn>
    <tableColumn id="3" name="feb" totalsRowFunction="custom" headerRowDxfId="352" totalsRowDxfId="351">
      <totalsRowFormula>SUM(tblExpenseCategory_06[feb])</totalsRowFormula>
    </tableColumn>
    <tableColumn id="4" name="mar" totalsRowFunction="custom" headerRowDxfId="350" totalsRowDxfId="349">
      <totalsRowFormula>SUM(tblExpenseCategory_06[mar])</totalsRowFormula>
    </tableColumn>
    <tableColumn id="5" name="apr" totalsRowFunction="custom" headerRowDxfId="348" totalsRowDxfId="347">
      <totalsRowFormula>SUM(tblExpenseCategory_06[apr])</totalsRowFormula>
    </tableColumn>
    <tableColumn id="6" name="may" totalsRowFunction="custom" headerRowDxfId="346" totalsRowDxfId="345">
      <totalsRowFormula>SUM(tblExpenseCategory_06[may])</totalsRowFormula>
    </tableColumn>
    <tableColumn id="7" name="jun" totalsRowFunction="custom" headerRowDxfId="344" totalsRowDxfId="343">
      <totalsRowFormula>SUM(tblExpenseCategory_06[jun])</totalsRowFormula>
    </tableColumn>
    <tableColumn id="8" name="jul" totalsRowFunction="custom" headerRowDxfId="342" totalsRowDxfId="341">
      <totalsRowFormula>SUM(tblExpenseCategory_06[jul])</totalsRowFormula>
    </tableColumn>
    <tableColumn id="9" name="aug" totalsRowFunction="custom" headerRowDxfId="340" totalsRowDxfId="339">
      <totalsRowFormula>SUM(tblExpenseCategory_06[aug])</totalsRowFormula>
    </tableColumn>
    <tableColumn id="10" name="sep" totalsRowFunction="custom" headerRowDxfId="338" totalsRowDxfId="337">
      <totalsRowFormula>SUM(tblExpenseCategory_06[sep])</totalsRowFormula>
    </tableColumn>
    <tableColumn id="11" name="oct" totalsRowFunction="custom" headerRowDxfId="336" totalsRowDxfId="335">
      <totalsRowFormula>SUM(tblExpenseCategory_06[oct])</totalsRowFormula>
    </tableColumn>
    <tableColumn id="12" name="nov" totalsRowFunction="custom" headerRowDxfId="334" totalsRowDxfId="333">
      <totalsRowFormula>SUM(tblExpenseCategory_06[nov])</totalsRowFormula>
    </tableColumn>
    <tableColumn id="13" name="dec" totalsRowFunction="custom" headerRowDxfId="332" totalsRowDxfId="331">
      <totalsRowFormula>SUM(tblExpenseCategory_06[dec])</totalsRowFormula>
    </tableColumn>
    <tableColumn id="14" name="year" totalsRowFunction="custom" headerRowDxfId="330" dataDxfId="329" totalsRowDxfId="328">
      <calculatedColumnFormula>SUM(tblExpenseCategory_06[[#This Row],[jan]:[dec]])</calculatedColumnFormula>
      <totalsRowFormula>SUM(tblExpenseCategory_06[year])</totalsRowFormula>
    </tableColumn>
    <tableColumn id="15" name="avg" totalsRowFunction="custom" headerRowDxfId="327" dataDxfId="326" totalsRowDxfId="325">
      <calculatedColumnFormula>tblExpenseCategory_06[[#This Row],[year]]/12</calculatedColumnFormula>
      <totalsRowFormula>tblExpenseCategory_06[[#Totals],[year]]/12</totalsRowFormula>
    </tableColumn>
  </tableColumns>
  <tableStyleInfo name="Budget Tables" showFirstColumn="1" showLastColumn="0" showRowStripes="1" showColumnStripes="0"/>
  <extLst>
    <ext xmlns:x14="http://schemas.microsoft.com/office/spreadsheetml/2009/9/main" uri="{504A1905-F514-4f6f-8877-14C23A59335A}">
      <x14:table altText="Insurance expenses" altTextSummary="List of insurance expenses by month such as Auto, Health, Life, etc."/>
    </ext>
  </extLst>
</table>
</file>

<file path=xl/tables/table8.xml><?xml version="1.0" encoding="utf-8"?>
<table xmlns="http://schemas.openxmlformats.org/spreadsheetml/2006/main" id="8" name="tblExpenseCategory_07" displayName="tblExpenseCategory_07" ref="B70:P73" headerRowCount="0" totalsRowCount="1">
  <tableColumns count="15">
    <tableColumn id="1" name="Education" totalsRowFunction="custom" headerRowDxfId="324" totalsRowDxfId="323">
      <totalsRowFormula>UPPER("Total " &amp; B69)</totalsRowFormula>
    </tableColumn>
    <tableColumn id="2" name="jan" totalsRowFunction="custom" headerRowDxfId="322" totalsRowDxfId="321">
      <totalsRowFormula>SUM(tblExpenseCategory_07[jan])</totalsRowFormula>
    </tableColumn>
    <tableColumn id="3" name="feb" totalsRowFunction="custom" headerRowDxfId="320" totalsRowDxfId="319">
      <totalsRowFormula>SUM(tblExpenseCategory_07[feb])</totalsRowFormula>
    </tableColumn>
    <tableColumn id="4" name="mar" totalsRowFunction="custom" headerRowDxfId="318" totalsRowDxfId="317">
      <totalsRowFormula>SUM(tblExpenseCategory_07[mar])</totalsRowFormula>
    </tableColumn>
    <tableColumn id="5" name="apr" totalsRowFunction="custom" headerRowDxfId="316" totalsRowDxfId="315">
      <totalsRowFormula>SUM(tblExpenseCategory_07[apr])</totalsRowFormula>
    </tableColumn>
    <tableColumn id="6" name="may" totalsRowFunction="custom" headerRowDxfId="314" totalsRowDxfId="313">
      <totalsRowFormula>SUM(tblExpenseCategory_07[may])</totalsRowFormula>
    </tableColumn>
    <tableColumn id="7" name="jun" totalsRowFunction="custom" headerRowDxfId="312" totalsRowDxfId="311">
      <totalsRowFormula>SUM(tblExpenseCategory_07[jun])</totalsRowFormula>
    </tableColumn>
    <tableColumn id="8" name="jul" totalsRowFunction="custom" headerRowDxfId="310" totalsRowDxfId="309">
      <totalsRowFormula>SUM(tblExpenseCategory_07[jul])</totalsRowFormula>
    </tableColumn>
    <tableColumn id="9" name="aug" totalsRowFunction="custom" headerRowDxfId="308" totalsRowDxfId="307">
      <totalsRowFormula>SUM(tblExpenseCategory_07[aug])</totalsRowFormula>
    </tableColumn>
    <tableColumn id="10" name="sep" totalsRowFunction="custom" headerRowDxfId="306" totalsRowDxfId="305">
      <totalsRowFormula>SUM(tblExpenseCategory_07[sep])</totalsRowFormula>
    </tableColumn>
    <tableColumn id="11" name="oct" totalsRowFunction="custom" headerRowDxfId="304" totalsRowDxfId="303">
      <totalsRowFormula>SUM(tblExpenseCategory_07[oct])</totalsRowFormula>
    </tableColumn>
    <tableColumn id="12" name="nov" totalsRowFunction="custom" headerRowDxfId="302" totalsRowDxfId="301">
      <totalsRowFormula>SUM(tblExpenseCategory_07[nov])</totalsRowFormula>
    </tableColumn>
    <tableColumn id="13" name="dec" totalsRowFunction="custom" headerRowDxfId="300" totalsRowDxfId="299">
      <totalsRowFormula>SUM(tblExpenseCategory_07[dec])</totalsRowFormula>
    </tableColumn>
    <tableColumn id="14" name="year" totalsRowFunction="custom" headerRowDxfId="298" dataDxfId="297" totalsRowDxfId="296">
      <calculatedColumnFormula>SUM(tblExpenseCategory_07[[#This Row],[jan]:[dec]])</calculatedColumnFormula>
      <totalsRowFormula>SUM(tblExpenseCategory_07[year])</totalsRowFormula>
    </tableColumn>
    <tableColumn id="15" name="avg" totalsRowFunction="custom" headerRowDxfId="295" dataDxfId="294" totalsRowDxfId="293">
      <calculatedColumnFormula>tblExpenseCategory_07[[#This Row],[year]]/12</calculatedColumnFormula>
      <totalsRowFormula>tblExpenseCategory_07[[#Totals],[year]]/12</totalsRowFormula>
    </tableColumn>
  </tableColumns>
  <tableStyleInfo name="Budget Tables" showFirstColumn="1" showLastColumn="0" showRowStripes="1" showColumnStripes="0"/>
  <extLst>
    <ext xmlns:x14="http://schemas.microsoft.com/office/spreadsheetml/2009/9/main" uri="{504A1905-F514-4f6f-8877-14C23A59335A}">
      <x14:table altText="Education expenses" altTextSummary="List of education expenses such as, Tuition, Books, etc."/>
    </ext>
  </extLst>
</table>
</file>

<file path=xl/tables/table9.xml><?xml version="1.0" encoding="utf-8"?>
<table xmlns="http://schemas.openxmlformats.org/spreadsheetml/2006/main" id="9" name="tblExpenseCategory_08" displayName="tblExpenseCategory_08" ref="B77:P80" headerRowCount="0" totalsRowCount="1">
  <tableColumns count="15">
    <tableColumn id="1" name="Charity" totalsRowFunction="custom" headerRowDxfId="292" totalsRowDxfId="291">
      <totalsRowFormula>UPPER("Total " &amp; B76)</totalsRowFormula>
    </tableColumn>
    <tableColumn id="2" name="jan" totalsRowFunction="custom" headerRowDxfId="290" totalsRowDxfId="289">
      <totalsRowFormula>SUM(tblExpenseCategory_08[jan])</totalsRowFormula>
    </tableColumn>
    <tableColumn id="3" name="feb" totalsRowFunction="custom" headerRowDxfId="288" totalsRowDxfId="287">
      <totalsRowFormula>SUM(tblExpenseCategory_08[feb])</totalsRowFormula>
    </tableColumn>
    <tableColumn id="4" name="mar" totalsRowFunction="custom" headerRowDxfId="286" totalsRowDxfId="285">
      <totalsRowFormula>SUM(tblExpenseCategory_08[mar])</totalsRowFormula>
    </tableColumn>
    <tableColumn id="5" name="apr" totalsRowFunction="custom" headerRowDxfId="284" totalsRowDxfId="283">
      <totalsRowFormula>SUM(tblExpenseCategory_08[apr])</totalsRowFormula>
    </tableColumn>
    <tableColumn id="6" name="may" totalsRowFunction="custom" headerRowDxfId="282" totalsRowDxfId="281">
      <totalsRowFormula>SUM(tblExpenseCategory_08[may])</totalsRowFormula>
    </tableColumn>
    <tableColumn id="7" name="jun" totalsRowFunction="custom" headerRowDxfId="280" totalsRowDxfId="279">
      <totalsRowFormula>SUM(tblExpenseCategory_08[jun])</totalsRowFormula>
    </tableColumn>
    <tableColumn id="8" name="jul" totalsRowFunction="custom" headerRowDxfId="278" totalsRowDxfId="277">
      <totalsRowFormula>SUM(tblExpenseCategory_08[jul])</totalsRowFormula>
    </tableColumn>
    <tableColumn id="9" name="aug" totalsRowFunction="custom" headerRowDxfId="276" totalsRowDxfId="275">
      <totalsRowFormula>SUM(tblExpenseCategory_08[aug])</totalsRowFormula>
    </tableColumn>
    <tableColumn id="10" name="sep" totalsRowFunction="custom" headerRowDxfId="274" totalsRowDxfId="273">
      <totalsRowFormula>SUM(tblExpenseCategory_08[sep])</totalsRowFormula>
    </tableColumn>
    <tableColumn id="11" name="oct" totalsRowFunction="custom" headerRowDxfId="272" totalsRowDxfId="271">
      <totalsRowFormula>SUM(tblExpenseCategory_08[oct])</totalsRowFormula>
    </tableColumn>
    <tableColumn id="12" name="nov" totalsRowFunction="custom" headerRowDxfId="270" totalsRowDxfId="269">
      <totalsRowFormula>SUM(tblExpenseCategory_08[nov])</totalsRowFormula>
    </tableColumn>
    <tableColumn id="13" name="dec" totalsRowFunction="custom" headerRowDxfId="268" totalsRowDxfId="267">
      <totalsRowFormula>SUM(tblExpenseCategory_08[dec])</totalsRowFormula>
    </tableColumn>
    <tableColumn id="14" name="year" totalsRowFunction="custom" headerRowDxfId="266" dataDxfId="265" totalsRowDxfId="264">
      <calculatedColumnFormula>SUM(tblExpenseCategory_08[[#This Row],[jan]:[dec]])</calculatedColumnFormula>
      <totalsRowFormula>SUM(tblExpenseCategory_08[year])</totalsRowFormula>
    </tableColumn>
    <tableColumn id="15" name="avg" totalsRowFunction="custom" headerRowDxfId="263" dataDxfId="262" totalsRowDxfId="261">
      <calculatedColumnFormula>tblExpenseCategory_08[[#This Row],[year]]/12</calculatedColumnFormula>
      <totalsRowFormula>tblExpenseCategory_08[[#Totals],[year]]/12</totalsRowFormula>
    </tableColumn>
  </tableColumns>
  <tableStyleInfo name="Budget Tables" showFirstColumn="1" showLastColumn="0" showRowStripes="1" showColumnStripes="0"/>
  <extLst>
    <ext xmlns:x14="http://schemas.microsoft.com/office/spreadsheetml/2009/9/main" uri="{504A1905-F514-4f6f-8877-14C23A59335A}">
      <x14:table altText="Charity expenses" altTextSummary="List of charity expenses by month such as, Gifts, Charitable Donations, etc. "/>
    </ext>
  </extLst>
</table>
</file>

<file path=xl/theme/theme1.xml><?xml version="1.0" encoding="utf-8"?>
<a:theme xmlns:a="http://schemas.openxmlformats.org/drawingml/2006/main" name="Office Theme">
  <a:themeElements>
    <a:clrScheme name="Generic Family Budget">
      <a:dk1>
        <a:sysClr val="windowText" lastClr="000000"/>
      </a:dk1>
      <a:lt1>
        <a:sysClr val="window" lastClr="FFFFFF"/>
      </a:lt1>
      <a:dk2>
        <a:srgbClr val="584232"/>
      </a:dk2>
      <a:lt2>
        <a:srgbClr val="E7EBEC"/>
      </a:lt2>
      <a:accent1>
        <a:srgbClr val="8A9FA1"/>
      </a:accent1>
      <a:accent2>
        <a:srgbClr val="FF3939"/>
      </a:accent2>
      <a:accent3>
        <a:srgbClr val="93A251"/>
      </a:accent3>
      <a:accent4>
        <a:srgbClr val="70607F"/>
      </a:accent4>
      <a:accent5>
        <a:srgbClr val="D9BD32"/>
      </a:accent5>
      <a:accent6>
        <a:srgbClr val="5679A2"/>
      </a:accent6>
      <a:hlink>
        <a:srgbClr val="5679A2"/>
      </a:hlink>
      <a:folHlink>
        <a:srgbClr val="70607F"/>
      </a:folHlink>
    </a:clrScheme>
    <a:fontScheme name="Generic Family Budget">
      <a:majorFont>
        <a:latin typeface="Euphemia"/>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3"/>
        </a:solidFill>
        <a:ln>
          <a:noFill/>
        </a:ln>
      </a:spPr>
      <a:bodyPr vertOverflow="clip" horzOverflow="clip" rtlCol="0" anchor="ctr"/>
      <a:lstStyle>
        <a:defPPr algn="l">
          <a:defRPr sz="9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8" Type="http://schemas.openxmlformats.org/officeDocument/2006/relationships/table" Target="../tables/table5.xml"/><Relationship Id="rId13" Type="http://schemas.openxmlformats.org/officeDocument/2006/relationships/table" Target="../tables/table10.xml"/><Relationship Id="rId18" Type="http://schemas.openxmlformats.org/officeDocument/2006/relationships/table" Target="../tables/table15.xml"/><Relationship Id="rId3" Type="http://schemas.openxmlformats.org/officeDocument/2006/relationships/image" Target="../media/image1.png"/><Relationship Id="rId7" Type="http://schemas.openxmlformats.org/officeDocument/2006/relationships/table" Target="../tables/table4.xml"/><Relationship Id="rId12" Type="http://schemas.openxmlformats.org/officeDocument/2006/relationships/table" Target="../tables/table9.xml"/><Relationship Id="rId17" Type="http://schemas.openxmlformats.org/officeDocument/2006/relationships/table" Target="../tables/table14.xml"/><Relationship Id="rId2" Type="http://schemas.openxmlformats.org/officeDocument/2006/relationships/drawing" Target="../drawings/drawing2.xml"/><Relationship Id="rId16" Type="http://schemas.openxmlformats.org/officeDocument/2006/relationships/table" Target="../tables/table13.xml"/><Relationship Id="rId20" Type="http://schemas.openxmlformats.org/officeDocument/2006/relationships/table" Target="../tables/table17.xml"/><Relationship Id="rId1" Type="http://schemas.openxmlformats.org/officeDocument/2006/relationships/printerSettings" Target="../printerSettings/printerSettings2.bin"/><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5" Type="http://schemas.openxmlformats.org/officeDocument/2006/relationships/table" Target="../tables/table12.xml"/><Relationship Id="rId10" Type="http://schemas.openxmlformats.org/officeDocument/2006/relationships/table" Target="../tables/table7.xml"/><Relationship Id="rId19" Type="http://schemas.openxmlformats.org/officeDocument/2006/relationships/table" Target="../tables/table16.xml"/><Relationship Id="rId4" Type="http://schemas.openxmlformats.org/officeDocument/2006/relationships/table" Target="../tables/table1.xml"/><Relationship Id="rId9" Type="http://schemas.openxmlformats.org/officeDocument/2006/relationships/table" Target="../tables/table6.xml"/><Relationship Id="rId14"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image" Target="../media/image1.png"/><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 Type="http://schemas.openxmlformats.org/officeDocument/2006/relationships/drawing" Target="../drawings/drawing3.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printerSettings" Target="../printerSettings/printerSettings3.bin"/><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5" Type="http://schemas.openxmlformats.org/officeDocument/2006/relationships/table" Target="../tables/table29.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pageSetUpPr autoPageBreaks="0" fitToPage="1"/>
  </sheetPr>
  <dimension ref="A1:O276"/>
  <sheetViews>
    <sheetView showGridLines="0" tabSelected="1" zoomScaleNormal="100" workbookViewId="0">
      <selection activeCell="D10" sqref="D10"/>
    </sheetView>
  </sheetViews>
  <sheetFormatPr defaultColWidth="0" defaultRowHeight="14.25" zeroHeight="1"/>
  <cols>
    <col min="1" max="1" width="7.5703125" style="5" customWidth="1"/>
    <col min="2" max="14" width="9.140625" style="5" customWidth="1"/>
    <col min="15" max="15" width="6.85546875" style="5" customWidth="1"/>
    <col min="16" max="16384" width="10.28515625" style="5" hidden="1"/>
  </cols>
  <sheetData>
    <row r="1" spans="1:15" s="9" customFormat="1" ht="34.5" customHeight="1">
      <c r="J1" s="8"/>
      <c r="N1" s="25" t="str">
        <f>BudgetName&amp;" INTERACTIVE BUDGET"</f>
        <v>INITECH QUARTERLY 2016 INTERACTIVE BUDGET</v>
      </c>
    </row>
    <row r="2" spans="1:15">
      <c r="A2" s="3"/>
      <c r="B2" s="3"/>
      <c r="C2" s="3"/>
      <c r="D2" s="3"/>
      <c r="E2" s="3"/>
      <c r="F2" s="3"/>
      <c r="G2" s="3"/>
      <c r="H2" s="3"/>
      <c r="I2" s="3"/>
      <c r="J2" s="3"/>
      <c r="K2" s="3"/>
      <c r="L2" s="3"/>
      <c r="M2" s="3"/>
      <c r="N2" s="3"/>
      <c r="O2" s="3"/>
    </row>
    <row r="3" spans="1:15">
      <c r="A3" s="37">
        <f>'chart data'!C38</f>
        <v>43413</v>
      </c>
      <c r="B3" s="37"/>
      <c r="C3" s="37"/>
      <c r="D3" s="3"/>
      <c r="E3" s="3"/>
      <c r="F3" s="3"/>
      <c r="G3" s="3"/>
      <c r="H3" s="3"/>
      <c r="I3" s="3"/>
      <c r="J3" s="3"/>
      <c r="K3" s="3"/>
      <c r="L3" s="3"/>
      <c r="M3" s="3"/>
      <c r="N3" s="3"/>
      <c r="O3" s="3"/>
    </row>
    <row r="4" spans="1:15">
      <c r="A4" s="37"/>
      <c r="B4" s="37"/>
      <c r="C4" s="37"/>
      <c r="D4" s="3"/>
      <c r="E4" s="3"/>
      <c r="F4" s="3"/>
      <c r="G4" s="3"/>
      <c r="H4" s="3"/>
      <c r="I4" s="3"/>
      <c r="J4" s="3"/>
      <c r="K4" s="3"/>
      <c r="L4" s="3"/>
      <c r="M4" s="3"/>
      <c r="N4" s="3"/>
      <c r="O4" s="3"/>
    </row>
    <row r="5" spans="1:15" ht="19.5">
      <c r="A5" s="37"/>
      <c r="B5" s="37"/>
      <c r="C5" s="37"/>
      <c r="D5" s="10" t="s">
        <v>27</v>
      </c>
      <c r="E5" s="3"/>
      <c r="F5" s="3"/>
      <c r="G5" s="3"/>
      <c r="H5" s="3"/>
      <c r="I5" s="3"/>
      <c r="J5" s="3"/>
      <c r="K5" s="3"/>
      <c r="L5" s="3"/>
      <c r="M5" s="3"/>
      <c r="N5" s="3"/>
      <c r="O5" s="3"/>
    </row>
    <row r="6" spans="1:15">
      <c r="A6" s="3"/>
      <c r="B6" s="3"/>
      <c r="C6" s="3"/>
      <c r="D6" s="3"/>
      <c r="E6" s="3"/>
      <c r="F6" s="3"/>
      <c r="G6" s="3"/>
      <c r="H6" s="3"/>
      <c r="I6" s="3"/>
      <c r="J6" s="3"/>
      <c r="K6" s="3"/>
      <c r="L6" s="3"/>
      <c r="M6" s="3"/>
      <c r="N6" s="3"/>
      <c r="O6" s="3"/>
    </row>
    <row r="7" spans="1:15">
      <c r="A7" s="37">
        <f>'chart data'!C39</f>
        <v>42427</v>
      </c>
      <c r="B7" s="37"/>
      <c r="C7" s="37"/>
      <c r="D7" s="3"/>
      <c r="E7" s="3"/>
      <c r="F7" s="3"/>
      <c r="G7" s="3"/>
      <c r="H7" s="3"/>
      <c r="I7" s="3"/>
      <c r="J7" s="3"/>
      <c r="K7" s="3"/>
      <c r="L7" s="3"/>
      <c r="M7" s="3"/>
      <c r="N7" s="3"/>
      <c r="O7" s="3"/>
    </row>
    <row r="8" spans="1:15">
      <c r="A8" s="37"/>
      <c r="B8" s="37"/>
      <c r="C8" s="37"/>
      <c r="D8" s="3"/>
      <c r="E8" s="3"/>
      <c r="F8" s="3"/>
      <c r="G8" s="3"/>
      <c r="H8" s="3"/>
      <c r="I8" s="3"/>
      <c r="J8" s="3"/>
      <c r="K8" s="3"/>
      <c r="L8" s="3"/>
      <c r="M8" s="3"/>
      <c r="N8" s="3"/>
      <c r="O8" s="3"/>
    </row>
    <row r="9" spans="1:15" ht="19.5">
      <c r="A9" s="37"/>
      <c r="B9" s="37"/>
      <c r="C9" s="37"/>
      <c r="D9" s="10" t="s">
        <v>40</v>
      </c>
      <c r="E9" s="3"/>
      <c r="F9" s="3"/>
      <c r="G9" s="3"/>
      <c r="H9" s="3"/>
      <c r="I9" s="3"/>
      <c r="J9" s="3"/>
      <c r="K9" s="3"/>
      <c r="L9" s="3"/>
      <c r="M9" s="3"/>
      <c r="N9" s="3"/>
      <c r="O9" s="3"/>
    </row>
    <row r="10" spans="1:15">
      <c r="A10" s="3"/>
      <c r="B10" s="3"/>
      <c r="C10" s="3"/>
      <c r="D10" s="3"/>
      <c r="E10" s="3"/>
      <c r="F10" s="3"/>
      <c r="G10" s="3"/>
      <c r="H10" s="3"/>
      <c r="I10" s="3"/>
      <c r="J10" s="3"/>
      <c r="K10" s="3"/>
      <c r="L10" s="3"/>
      <c r="M10" s="3"/>
      <c r="N10" s="3"/>
      <c r="O10" s="3"/>
    </row>
    <row r="11" spans="1:15">
      <c r="A11" s="38" t="str">
        <f>'chart data'!D40&amp; "$"&amp;'chart data'!C40</f>
        <v>$986</v>
      </c>
      <c r="B11" s="38"/>
      <c r="C11" s="38"/>
      <c r="D11" s="3"/>
      <c r="E11" s="3"/>
      <c r="F11" s="3"/>
      <c r="G11" s="3"/>
      <c r="H11" s="3"/>
      <c r="I11" s="3"/>
      <c r="J11" s="3"/>
      <c r="K11" s="3"/>
      <c r="L11" s="3"/>
      <c r="M11" s="3"/>
      <c r="N11" s="3"/>
      <c r="O11" s="3"/>
    </row>
    <row r="12" spans="1:15">
      <c r="A12" s="38"/>
      <c r="B12" s="38"/>
      <c r="C12" s="38"/>
      <c r="D12" s="3"/>
      <c r="E12" s="3"/>
      <c r="F12" s="3"/>
      <c r="G12" s="3"/>
      <c r="H12" s="3"/>
      <c r="I12" s="3"/>
      <c r="J12" s="3"/>
      <c r="K12" s="3"/>
      <c r="L12" s="3"/>
      <c r="M12" s="3"/>
      <c r="N12" s="3"/>
      <c r="O12" s="3"/>
    </row>
    <row r="13" spans="1:15" ht="19.5">
      <c r="A13" s="38"/>
      <c r="B13" s="38"/>
      <c r="C13" s="38"/>
      <c r="D13" s="10" t="s">
        <v>73</v>
      </c>
      <c r="E13" s="3"/>
      <c r="F13" s="3"/>
      <c r="G13" s="3"/>
      <c r="H13" s="3"/>
      <c r="I13" s="3"/>
      <c r="J13" s="3"/>
      <c r="K13" s="3"/>
      <c r="L13" s="3"/>
      <c r="M13" s="3"/>
      <c r="N13" s="3"/>
      <c r="O13" s="3"/>
    </row>
    <row r="14" spans="1:15">
      <c r="A14" s="3"/>
      <c r="B14" s="3"/>
      <c r="C14" s="3"/>
      <c r="D14" s="3"/>
      <c r="E14" s="3"/>
      <c r="F14" s="3"/>
      <c r="G14" s="3"/>
      <c r="H14" s="3"/>
      <c r="I14" s="3"/>
      <c r="J14" s="3"/>
      <c r="K14" s="3"/>
      <c r="L14" s="3"/>
      <c r="M14" s="3"/>
      <c r="N14" s="3"/>
      <c r="O14" s="3"/>
    </row>
    <row r="15" spans="1:15">
      <c r="A15" s="3"/>
      <c r="B15" s="3"/>
      <c r="C15" s="3"/>
      <c r="D15" s="3"/>
      <c r="E15" s="3"/>
      <c r="F15" s="3"/>
      <c r="G15" s="3"/>
      <c r="H15" s="3"/>
      <c r="I15" s="3"/>
      <c r="J15" s="3"/>
      <c r="K15" s="3"/>
      <c r="L15" s="3"/>
      <c r="M15" s="3"/>
      <c r="N15" s="3"/>
      <c r="O15" s="3"/>
    </row>
    <row r="16" spans="1:15">
      <c r="A16" s="3"/>
      <c r="B16" s="3"/>
      <c r="C16" s="3"/>
      <c r="D16" s="3"/>
      <c r="E16" s="3"/>
      <c r="F16" s="3"/>
      <c r="G16" s="3"/>
      <c r="H16" s="3"/>
      <c r="I16" s="3"/>
      <c r="J16" s="3"/>
      <c r="K16" s="3"/>
      <c r="L16" s="3"/>
      <c r="M16" s="3"/>
      <c r="N16" s="3"/>
      <c r="O16" s="3"/>
    </row>
    <row r="17" spans="1:15">
      <c r="A17" s="3"/>
      <c r="B17" s="3"/>
      <c r="C17" s="3"/>
      <c r="D17" s="3"/>
      <c r="E17" s="3"/>
      <c r="F17" s="3"/>
      <c r="G17" s="3"/>
      <c r="H17" s="3"/>
      <c r="I17" s="3"/>
      <c r="J17" s="3"/>
      <c r="K17" s="3"/>
      <c r="L17" s="3"/>
      <c r="M17" s="3"/>
      <c r="N17" s="3"/>
      <c r="O17" s="3"/>
    </row>
    <row r="18" spans="1:15" s="6" customFormat="1"/>
    <row r="19" spans="1:15" s="6" customFormat="1"/>
    <row r="20" spans="1:15" s="6" customFormat="1"/>
    <row r="21" spans="1:15" s="6" customFormat="1"/>
    <row r="22" spans="1:15" s="6" customFormat="1"/>
    <row r="23" spans="1:15" s="6" customFormat="1"/>
    <row r="24" spans="1:15" s="6" customFormat="1"/>
    <row r="25" spans="1:15" s="7" customFormat="1" ht="15.75" customHeight="1"/>
    <row r="26" spans="1:15" hidden="1"/>
    <row r="27" spans="1:15" hidden="1"/>
    <row r="28" spans="1:15" hidden="1"/>
    <row r="29" spans="1:15" hidden="1"/>
    <row r="30" spans="1:15" hidden="1"/>
    <row r="31" spans="1:15" hidden="1"/>
    <row r="32" spans="1:15"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t="0.75" hidden="1" customHeight="1"/>
  </sheetData>
  <sheetProtection algorithmName="SHA-512" hashValue="f9NbOPgDTYRfGBkr2uRcuCEJDvTZan0kUaRHCrxse34eeZUjcJPbXx8M2NjPgPAYxQ++YhuON/8tHXJMcPDbwQ==" saltValue="HdJM+SIuCjhSR+FwDtww8g==" spinCount="100000" sheet="1" selectLockedCells="1"/>
  <mergeCells count="3">
    <mergeCell ref="A3:C5"/>
    <mergeCell ref="A7:C9"/>
    <mergeCell ref="A11:C13"/>
  </mergeCells>
  <printOptions horizontalCentered="1"/>
  <pageMargins left="0.5" right="0.5" top="0.5" bottom="0.5" header="0" footer="0"/>
  <pageSetup orientation="landscape" r:id="rId1"/>
  <drawing r:id="rId2"/>
  <legacyDrawing r:id="rId3"/>
  <picture r:id="rId4"/>
  <mc:AlternateContent xmlns:mc="http://schemas.openxmlformats.org/markup-compatibility/2006">
    <mc:Choice Requires="x14">
      <controls>
        <mc:AlternateContent xmlns:mc="http://schemas.openxmlformats.org/markup-compatibility/2006">
          <mc:Choice Requires="x14">
            <control shapeId="4098" r:id="rId5" name="Month Scroll">
              <controlPr defaultSize="0" print="0" autoPict="0" altText="Click to cycle the Expense Details by month">
                <anchor moveWithCells="1" sizeWithCells="1">
                  <from>
                    <xdr:col>0</xdr:col>
                    <xdr:colOff>0</xdr:colOff>
                    <xdr:row>24</xdr:row>
                    <xdr:rowOff>0</xdr:rowOff>
                  </from>
                  <to>
                    <xdr:col>16383</xdr:col>
                    <xdr:colOff>0</xdr:colOff>
                    <xdr:row>1048575</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P127"/>
  <sheetViews>
    <sheetView showGridLines="0" zoomScaleNormal="100" workbookViewId="0">
      <pane ySplit="3" topLeftCell="A4" activePane="bottomLeft" state="frozen"/>
      <selection activeCell="B1" sqref="B1"/>
      <selection pane="bottomLeft" activeCell="V19" sqref="V19"/>
    </sheetView>
  </sheetViews>
  <sheetFormatPr defaultRowHeight="16.5" customHeight="1"/>
  <cols>
    <col min="1" max="1" width="1.85546875" customWidth="1"/>
    <col min="2" max="2" width="24.85546875" customWidth="1"/>
    <col min="3" max="14" width="9.5703125" customWidth="1"/>
    <col min="15" max="16" width="9.5703125" style="29" customWidth="1"/>
    <col min="17" max="17" width="0.7109375" customWidth="1"/>
  </cols>
  <sheetData>
    <row r="1" spans="1:16" ht="34.5" customHeight="1">
      <c r="A1" s="6"/>
      <c r="B1" s="6"/>
      <c r="C1" s="13" t="s">
        <v>11</v>
      </c>
      <c r="D1" s="13" t="s">
        <v>12</v>
      </c>
      <c r="E1" s="13" t="s">
        <v>13</v>
      </c>
      <c r="F1" s="13" t="s">
        <v>24</v>
      </c>
      <c r="G1" s="13" t="s">
        <v>14</v>
      </c>
      <c r="H1" s="13" t="s">
        <v>15</v>
      </c>
      <c r="I1" s="13" t="s">
        <v>16</v>
      </c>
      <c r="J1" s="13" t="s">
        <v>17</v>
      </c>
      <c r="K1" s="13" t="s">
        <v>18</v>
      </c>
      <c r="L1" s="13" t="s">
        <v>19</v>
      </c>
      <c r="M1" s="13" t="s">
        <v>20</v>
      </c>
      <c r="N1" s="13" t="s">
        <v>21</v>
      </c>
      <c r="O1" s="12" t="s">
        <v>22</v>
      </c>
      <c r="P1" s="12" t="s">
        <v>23</v>
      </c>
    </row>
    <row r="2" spans="1:16" ht="16.5" customHeight="1">
      <c r="O2" s="28"/>
      <c r="P2" s="28"/>
    </row>
    <row r="5" spans="1:16" ht="16.5" customHeight="1">
      <c r="B5" s="35" t="s">
        <v>3</v>
      </c>
      <c r="C5" s="14">
        <v>15621</v>
      </c>
    </row>
    <row r="6" spans="1:16" ht="16.5" customHeight="1">
      <c r="B6" s="26" t="s">
        <v>1</v>
      </c>
      <c r="C6" s="27">
        <f>SUM(tblIncome[jan])</f>
        <v>10125</v>
      </c>
      <c r="D6" s="27">
        <f>SUM(tblIncome[feb])</f>
        <v>351</v>
      </c>
      <c r="E6" s="27">
        <f>SUM(tblIncome[mar])</f>
        <v>215</v>
      </c>
      <c r="F6" s="27">
        <f>SUM(tblIncome[apr])</f>
        <v>10314</v>
      </c>
      <c r="G6" s="27">
        <f>SUM(tblIncome[may])</f>
        <v>198</v>
      </c>
      <c r="H6" s="27">
        <f>SUM(tblIncome[jun])</f>
        <v>223</v>
      </c>
      <c r="I6" s="27">
        <f>SUM(tblIncome[jul])</f>
        <v>10439</v>
      </c>
      <c r="J6" s="27">
        <f>SUM(tblIncome[aug])</f>
        <v>256</v>
      </c>
      <c r="K6" s="27">
        <f>SUM(tblIncome[sep])</f>
        <v>192</v>
      </c>
      <c r="L6" s="27">
        <f>SUM(tblIncome[oct])</f>
        <v>10243</v>
      </c>
      <c r="M6" s="27">
        <f>SUM(tblIncome[nov])</f>
        <v>333</v>
      </c>
      <c r="N6" s="27">
        <f>SUM(tblIncome[dec])</f>
        <v>524</v>
      </c>
      <c r="O6" s="30">
        <f>SUM(tblIncome[year])</f>
        <v>43413</v>
      </c>
      <c r="P6" s="30">
        <f>O6/12</f>
        <v>3617.75</v>
      </c>
    </row>
    <row r="7" spans="1:16" ht="16.5" customHeight="1">
      <c r="B7" s="26" t="s">
        <v>4</v>
      </c>
      <c r="C7" s="27">
        <f>SUM(tblExpenseCategory_01[jan],tblExpenseCategory_02[jan],tblExpenseCategory_03[jan],tblExpenseCategory_04[jan],tblExpenseCategory_05[jan],tblExpenseCategory_06[jan],tblExpenseCategory_07[jan],tblExpenseCategory_08[jan],tblExpenseCategory_09[jan],tblExpenseCategory_10[jan],tblExpenseCategory_11[jan],tblExpenseCategory_12[jan],tblExpenseCategory_13[jan],tblExpenseCategory_14[jan],tblExpenseCategory_15[jan])</f>
        <v>2550</v>
      </c>
      <c r="D7" s="27">
        <f>SUM(tblExpenseCategory_01[feb],tblExpenseCategory_02[feb],tblExpenseCategory_03[feb],tblExpenseCategory_04[feb],tblExpenseCategory_05[feb],tblExpenseCategory_06[feb],tblExpenseCategory_07[feb],tblExpenseCategory_08[feb],tblExpenseCategory_09[feb],tblExpenseCategory_10[feb],tblExpenseCategory_11[feb],tblExpenseCategory_12[feb],tblExpenseCategory_13[feb],tblExpenseCategory_14[feb],tblExpenseCategory_15[feb])</f>
        <v>1267</v>
      </c>
      <c r="E7" s="27">
        <f>SUM(tblExpenseCategory_01[mar],tblExpenseCategory_02[mar],tblExpenseCategory_03[mar],tblExpenseCategory_04[mar],tblExpenseCategory_05[mar],tblExpenseCategory_06[mar],tblExpenseCategory_07[mar],tblExpenseCategory_08[mar],tblExpenseCategory_09[mar],tblExpenseCategory_10[mar],tblExpenseCategory_11[mar],tblExpenseCategory_12[mar],tblExpenseCategory_13[mar],tblExpenseCategory_14[mar],tblExpenseCategory_15[mar])</f>
        <v>2845</v>
      </c>
      <c r="F7" s="27">
        <f>SUM(tblExpenseCategory_01[apr],tblExpenseCategory_02[apr],tblExpenseCategory_03[apr],tblExpenseCategory_04[apr],tblExpenseCategory_05[apr],tblExpenseCategory_06[apr],tblExpenseCategory_07[apr],tblExpenseCategory_08[apr],tblExpenseCategory_09[apr],tblExpenseCategory_10[apr],tblExpenseCategory_11[apr],tblExpenseCategory_12[apr],tblExpenseCategory_13[apr],tblExpenseCategory_14[apr],tblExpenseCategory_15[apr])</f>
        <v>6552</v>
      </c>
      <c r="G7" s="27">
        <f>SUM(tblExpenseCategory_01[may],tblExpenseCategory_02[may],tblExpenseCategory_03[may],tblExpenseCategory_04[may],tblExpenseCategory_05[may],tblExpenseCategory_06[may],tblExpenseCategory_07[may],tblExpenseCategory_08[may],tblExpenseCategory_09[may],tblExpenseCategory_10[may],tblExpenseCategory_11[may],tblExpenseCategory_12[may],tblExpenseCategory_13[may],tblExpenseCategory_14[may],tblExpenseCategory_15[may])</f>
        <v>1545</v>
      </c>
      <c r="H7" s="27">
        <f>SUM(tblExpenseCategory_01[jun],tblExpenseCategory_02[jun],tblExpenseCategory_03[jun],tblExpenseCategory_04[jun],tblExpenseCategory_05[jun],tblExpenseCategory_06[jun],tblExpenseCategory_07[jun],tblExpenseCategory_08[jun],tblExpenseCategory_09[jun],tblExpenseCategory_10[jun],tblExpenseCategory_11[jun],tblExpenseCategory_12[jun],tblExpenseCategory_13[jun],tblExpenseCategory_14[jun],tblExpenseCategory_15[jun])</f>
        <v>2188</v>
      </c>
      <c r="I7" s="27">
        <f>SUM(tblExpenseCategory_01[jul],tblExpenseCategory_02[jul],tblExpenseCategory_03[jul],tblExpenseCategory_04[jul],tblExpenseCategory_05[jul],tblExpenseCategory_06[jul],tblExpenseCategory_07[jul],tblExpenseCategory_08[jul],tblExpenseCategory_09[jul],tblExpenseCategory_10[jul],tblExpenseCategory_11[jul],tblExpenseCategory_12[jul],tblExpenseCategory_13[jul],tblExpenseCategory_14[jul],tblExpenseCategory_15[jul])</f>
        <v>11730</v>
      </c>
      <c r="J7" s="27">
        <f>SUM(tblExpenseCategory_01[aug],tblExpenseCategory_02[aug],tblExpenseCategory_03[aug],tblExpenseCategory_04[aug],tblExpenseCategory_05[aug],tblExpenseCategory_06[aug],tblExpenseCategory_07[aug],tblExpenseCategory_08[aug],tblExpenseCategory_09[aug],tblExpenseCategory_10[aug],tblExpenseCategory_11[aug],tblExpenseCategory_12[aug],tblExpenseCategory_13[aug],tblExpenseCategory_14[aug],tblExpenseCategory_15[aug])</f>
        <v>1327</v>
      </c>
      <c r="K7" s="27">
        <f>SUM(tblExpenseCategory_01[sep],tblExpenseCategory_02[sep],tblExpenseCategory_03[sep],tblExpenseCategory_04[sep],tblExpenseCategory_05[sep],tblExpenseCategory_06[sep],tblExpenseCategory_07[sep],tblExpenseCategory_08[sep],tblExpenseCategory_09[sep],tblExpenseCategory_10[sep],tblExpenseCategory_11[sep],tblExpenseCategory_12[sep],tblExpenseCategory_13[sep],tblExpenseCategory_14[sep],tblExpenseCategory_15[sep])</f>
        <v>2760</v>
      </c>
      <c r="L7" s="27">
        <f>SUM(tblExpenseCategory_01[oct],tblExpenseCategory_02[oct],tblExpenseCategory_03[oct],tblExpenseCategory_04[oct],tblExpenseCategory_05[oct],tblExpenseCategory_06[oct],tblExpenseCategory_07[oct],tblExpenseCategory_08[oct],tblExpenseCategory_09[oct],tblExpenseCategory_10[oct],tblExpenseCategory_11[oct],tblExpenseCategory_12[oct],tblExpenseCategory_13[oct],tblExpenseCategory_14[oct],tblExpenseCategory_15[oct])</f>
        <v>936</v>
      </c>
      <c r="M7" s="27">
        <f>SUM(tblExpenseCategory_01[nov],tblExpenseCategory_02[nov],tblExpenseCategory_03[nov],tblExpenseCategory_04[nov],tblExpenseCategory_05[nov],tblExpenseCategory_06[nov],tblExpenseCategory_07[nov],tblExpenseCategory_08[nov],tblExpenseCategory_09[nov],tblExpenseCategory_10[nov],tblExpenseCategory_11[nov],tblExpenseCategory_12[nov],tblExpenseCategory_13[nov],tblExpenseCategory_14[nov],tblExpenseCategory_15[nov])</f>
        <v>1888</v>
      </c>
      <c r="N7" s="27">
        <f>SUM(tblExpenseCategory_01[dec],tblExpenseCategory_02[dec],tblExpenseCategory_03[dec],tblExpenseCategory_04[dec],tblExpenseCategory_05[dec],tblExpenseCategory_06[dec],tblExpenseCategory_07[dec],tblExpenseCategory_08[dec],tblExpenseCategory_09[dec],tblExpenseCategory_10[dec],tblExpenseCategory_11[dec],tblExpenseCategory_12[dec],tblExpenseCategory_13[dec],tblExpenseCategory_14[dec],tblExpenseCategory_15[dec])</f>
        <v>6839</v>
      </c>
      <c r="O7" s="30">
        <f>SUM(tblExpenseCategory_01[year],tblExpenseCategory_02[year],tblExpenseCategory_03[year],tblExpenseCategory_04[year],tblExpenseCategory_05[year],tblExpenseCategory_06[year],tblExpenseCategory_07[year],tblExpenseCategory_08[year],tblExpenseCategory_09[year],tblExpenseCategory_10[year],tblExpenseCategory_11[year],tblExpenseCategory_12[year],tblExpenseCategory_13[year],tblExpenseCategory_14[year],tblExpenseCategory_15[year])</f>
        <v>42427</v>
      </c>
      <c r="P7" s="30">
        <f>O7/12</f>
        <v>3535.5833333333335</v>
      </c>
    </row>
    <row r="8" spans="1:16" ht="16.5" customHeight="1">
      <c r="B8" s="26" t="s">
        <v>5</v>
      </c>
      <c r="C8" s="27">
        <f>C6-C7</f>
        <v>7575</v>
      </c>
      <c r="D8" s="27">
        <f t="shared" ref="D8:O8" si="0">D6-D7</f>
        <v>-916</v>
      </c>
      <c r="E8" s="27">
        <f t="shared" si="0"/>
        <v>-2630</v>
      </c>
      <c r="F8" s="27">
        <f t="shared" si="0"/>
        <v>3762</v>
      </c>
      <c r="G8" s="27">
        <f t="shared" si="0"/>
        <v>-1347</v>
      </c>
      <c r="H8" s="27">
        <f t="shared" si="0"/>
        <v>-1965</v>
      </c>
      <c r="I8" s="27">
        <f t="shared" si="0"/>
        <v>-1291</v>
      </c>
      <c r="J8" s="27">
        <f t="shared" si="0"/>
        <v>-1071</v>
      </c>
      <c r="K8" s="27">
        <f t="shared" si="0"/>
        <v>-2568</v>
      </c>
      <c r="L8" s="27">
        <f t="shared" si="0"/>
        <v>9307</v>
      </c>
      <c r="M8" s="27">
        <f t="shared" si="0"/>
        <v>-1555</v>
      </c>
      <c r="N8" s="27">
        <f t="shared" si="0"/>
        <v>-6315</v>
      </c>
      <c r="O8" s="30">
        <f t="shared" si="0"/>
        <v>986</v>
      </c>
      <c r="P8" s="30">
        <f>O8/12</f>
        <v>82.166666666666671</v>
      </c>
    </row>
    <row r="9" spans="1:16" ht="16.5" customHeight="1">
      <c r="B9" s="26" t="s">
        <v>26</v>
      </c>
      <c r="C9" s="27">
        <f>C5+C6-C7</f>
        <v>23196</v>
      </c>
      <c r="D9" s="27">
        <f>C9+D6-D7</f>
        <v>22280</v>
      </c>
      <c r="E9" s="27">
        <f t="shared" ref="E9:N9" si="1">D9+E6-E7</f>
        <v>19650</v>
      </c>
      <c r="F9" s="27">
        <f t="shared" si="1"/>
        <v>23412</v>
      </c>
      <c r="G9" s="27">
        <f t="shared" si="1"/>
        <v>22065</v>
      </c>
      <c r="H9" s="27">
        <f t="shared" si="1"/>
        <v>20100</v>
      </c>
      <c r="I9" s="27">
        <f t="shared" si="1"/>
        <v>18809</v>
      </c>
      <c r="J9" s="27">
        <f t="shared" si="1"/>
        <v>17738</v>
      </c>
      <c r="K9" s="27">
        <f t="shared" si="1"/>
        <v>15170</v>
      </c>
      <c r="L9" s="27">
        <f t="shared" si="1"/>
        <v>24477</v>
      </c>
      <c r="M9" s="27">
        <f t="shared" si="1"/>
        <v>22922</v>
      </c>
      <c r="N9" s="27">
        <f t="shared" si="1"/>
        <v>16607</v>
      </c>
      <c r="O9" s="30"/>
      <c r="P9" s="30"/>
    </row>
    <row r="10" spans="1:16" ht="16.5" customHeight="1">
      <c r="B10" s="15"/>
      <c r="C10" s="16"/>
      <c r="D10" s="16"/>
      <c r="E10" s="16"/>
      <c r="F10" s="16"/>
      <c r="G10" s="16"/>
      <c r="I10" s="16"/>
      <c r="J10" s="16"/>
      <c r="K10" s="16"/>
      <c r="L10" s="16"/>
      <c r="M10" s="16"/>
      <c r="N10" s="16"/>
      <c r="O10" s="31"/>
      <c r="P10" s="31"/>
    </row>
    <row r="11" spans="1:16" ht="16.5" customHeight="1" thickBot="1">
      <c r="B11" s="15"/>
      <c r="C11" s="16"/>
      <c r="D11" s="16"/>
      <c r="E11" s="16"/>
      <c r="F11" s="16"/>
      <c r="G11" s="16"/>
      <c r="H11" s="16"/>
      <c r="I11" s="16"/>
      <c r="J11" s="16"/>
      <c r="K11" s="16"/>
      <c r="L11" s="16"/>
      <c r="M11" s="16"/>
      <c r="N11" s="16"/>
      <c r="O11" s="31"/>
      <c r="P11" s="31"/>
    </row>
    <row r="12" spans="1:16" ht="16.5" customHeight="1" thickTop="1">
      <c r="B12" s="20" t="s">
        <v>27</v>
      </c>
      <c r="C12" s="17"/>
      <c r="D12" s="17"/>
      <c r="E12" s="17"/>
      <c r="F12" s="17"/>
      <c r="G12" s="17"/>
      <c r="H12" s="17"/>
      <c r="I12" s="17"/>
      <c r="J12" s="17"/>
      <c r="K12" s="17"/>
      <c r="L12" s="17"/>
      <c r="M12" s="17"/>
      <c r="N12" s="17"/>
      <c r="O12" s="32"/>
      <c r="P12" s="32"/>
    </row>
    <row r="13" spans="1:16" ht="16.5" customHeight="1">
      <c r="B13" s="26" t="s">
        <v>74</v>
      </c>
      <c r="C13" s="27">
        <v>10000</v>
      </c>
      <c r="D13" s="27">
        <v>0</v>
      </c>
      <c r="E13" s="27">
        <v>0</v>
      </c>
      <c r="F13" s="27">
        <v>10000</v>
      </c>
      <c r="G13" s="27">
        <v>0</v>
      </c>
      <c r="H13" s="27">
        <v>0</v>
      </c>
      <c r="I13" s="27">
        <v>10000</v>
      </c>
      <c r="J13" s="27">
        <v>0</v>
      </c>
      <c r="K13" s="27">
        <v>0</v>
      </c>
      <c r="L13" s="27">
        <v>10000</v>
      </c>
      <c r="M13" s="27">
        <v>0</v>
      </c>
      <c r="N13" s="27">
        <v>0</v>
      </c>
      <c r="O13" s="30">
        <f>SUM(tblIncome[[#This Row],[jan]:[dec]])</f>
        <v>40000</v>
      </c>
      <c r="P13" s="30">
        <f>tblIncome[[#This Row],[year]]/12</f>
        <v>3333.3333333333335</v>
      </c>
    </row>
    <row r="14" spans="1:16" ht="16.5" customHeight="1">
      <c r="B14" s="26" t="s">
        <v>75</v>
      </c>
      <c r="C14" s="27">
        <v>125</v>
      </c>
      <c r="D14" s="27">
        <v>226</v>
      </c>
      <c r="E14" s="27">
        <v>215</v>
      </c>
      <c r="F14" s="27">
        <v>314</v>
      </c>
      <c r="G14" s="27">
        <v>198</v>
      </c>
      <c r="H14" s="27">
        <v>223</v>
      </c>
      <c r="I14" s="27">
        <v>425</v>
      </c>
      <c r="J14" s="27">
        <v>256</v>
      </c>
      <c r="K14" s="27">
        <v>192</v>
      </c>
      <c r="L14" s="27">
        <v>243</v>
      </c>
      <c r="M14" s="27">
        <v>333</v>
      </c>
      <c r="N14" s="27">
        <v>524</v>
      </c>
      <c r="O14" s="30">
        <f>SUM(tblIncome[[#This Row],[jan]:[dec]])</f>
        <v>3274</v>
      </c>
      <c r="P14" s="30">
        <f>tblIncome[[#This Row],[year]]/12</f>
        <v>272.83333333333331</v>
      </c>
    </row>
    <row r="15" spans="1:16" ht="16.5" customHeight="1">
      <c r="B15" s="26" t="s">
        <v>36</v>
      </c>
      <c r="C15" s="27">
        <v>0</v>
      </c>
      <c r="D15" s="27">
        <v>0</v>
      </c>
      <c r="E15" s="27">
        <v>0</v>
      </c>
      <c r="F15" s="27">
        <v>0</v>
      </c>
      <c r="G15" s="27">
        <v>0</v>
      </c>
      <c r="H15" s="27">
        <v>0</v>
      </c>
      <c r="I15" s="27">
        <v>0</v>
      </c>
      <c r="J15" s="27">
        <v>0</v>
      </c>
      <c r="K15" s="27">
        <v>0</v>
      </c>
      <c r="L15" s="27">
        <v>0</v>
      </c>
      <c r="M15" s="27">
        <v>0</v>
      </c>
      <c r="N15" s="27">
        <v>0</v>
      </c>
      <c r="O15" s="30">
        <f>SUM(tblIncome[[#This Row],[jan]:[dec]])</f>
        <v>0</v>
      </c>
      <c r="P15" s="30">
        <f>tblIncome[[#This Row],[year]]/12</f>
        <v>0</v>
      </c>
    </row>
    <row r="16" spans="1:16" ht="16.5" customHeight="1">
      <c r="B16" s="26" t="s">
        <v>38</v>
      </c>
      <c r="C16" s="27">
        <v>0</v>
      </c>
      <c r="D16" s="27">
        <v>125</v>
      </c>
      <c r="E16" s="27">
        <v>0</v>
      </c>
      <c r="F16" s="27">
        <v>0</v>
      </c>
      <c r="G16" s="27">
        <v>0</v>
      </c>
      <c r="H16" s="27">
        <v>0</v>
      </c>
      <c r="I16" s="27">
        <v>14</v>
      </c>
      <c r="J16" s="27">
        <v>0</v>
      </c>
      <c r="K16" s="27">
        <v>0</v>
      </c>
      <c r="L16" s="27">
        <v>0</v>
      </c>
      <c r="M16" s="27">
        <v>0</v>
      </c>
      <c r="N16" s="27">
        <v>0</v>
      </c>
      <c r="O16" s="30">
        <f>SUM(tblIncome[[#This Row],[jan]:[dec]])</f>
        <v>139</v>
      </c>
      <c r="P16" s="30">
        <f>tblIncome[[#This Row],[year]]/12</f>
        <v>11.583333333333334</v>
      </c>
    </row>
    <row r="17" spans="2:16" ht="16.5" customHeight="1">
      <c r="B17" s="26" t="s">
        <v>39</v>
      </c>
      <c r="C17" s="27">
        <v>0</v>
      </c>
      <c r="D17" s="27">
        <v>0</v>
      </c>
      <c r="E17" s="27">
        <v>0</v>
      </c>
      <c r="F17" s="27">
        <v>0</v>
      </c>
      <c r="G17" s="27">
        <v>0</v>
      </c>
      <c r="H17" s="27">
        <v>0</v>
      </c>
      <c r="I17" s="27">
        <v>0</v>
      </c>
      <c r="J17" s="27">
        <v>0</v>
      </c>
      <c r="K17" s="27">
        <v>0</v>
      </c>
      <c r="L17" s="27">
        <v>0</v>
      </c>
      <c r="M17" s="27">
        <v>0</v>
      </c>
      <c r="N17" s="27">
        <v>0</v>
      </c>
      <c r="O17" s="30">
        <f>SUM(tblIncome[[#This Row],[jan]:[dec]])</f>
        <v>0</v>
      </c>
      <c r="P17" s="30">
        <f>tblIncome[[#This Row],[year]]/12</f>
        <v>0</v>
      </c>
    </row>
    <row r="18" spans="2:16" ht="16.5" customHeight="1">
      <c r="B18" s="26" t="s">
        <v>25</v>
      </c>
      <c r="C18" s="27">
        <f>SUM(tblIncome[jan])</f>
        <v>10125</v>
      </c>
      <c r="D18" s="27">
        <f>SUM(tblIncome[feb])</f>
        <v>351</v>
      </c>
      <c r="E18" s="27">
        <f>SUM(tblIncome[mar])</f>
        <v>215</v>
      </c>
      <c r="F18" s="27">
        <f>SUM(tblIncome[apr])</f>
        <v>10314</v>
      </c>
      <c r="G18" s="27">
        <f>SUM(tblIncome[may])</f>
        <v>198</v>
      </c>
      <c r="H18" s="27">
        <f>SUM(tblIncome[jun])</f>
        <v>223</v>
      </c>
      <c r="I18" s="27">
        <f>SUM(tblIncome[jul])</f>
        <v>10439</v>
      </c>
      <c r="J18" s="27">
        <f>SUM(tblIncome[aug])</f>
        <v>256</v>
      </c>
      <c r="K18" s="27">
        <f>SUM(tblIncome[sep])</f>
        <v>192</v>
      </c>
      <c r="L18" s="27">
        <f>SUM(tblIncome[oct])</f>
        <v>10243</v>
      </c>
      <c r="M18" s="27">
        <f>SUM(tblIncome[nov])</f>
        <v>333</v>
      </c>
      <c r="N18" s="27">
        <f>SUM(tblIncome[dec])</f>
        <v>524</v>
      </c>
      <c r="O18" s="30">
        <f>SUM(tblIncome[year])</f>
        <v>43413</v>
      </c>
      <c r="P18" s="30">
        <f>tblIncome[[#Totals],[year]]/12</f>
        <v>3617.75</v>
      </c>
    </row>
    <row r="19" spans="2:16" ht="16.5" customHeight="1">
      <c r="B19" s="39"/>
      <c r="C19" s="39"/>
      <c r="D19" s="39"/>
      <c r="E19" s="39"/>
      <c r="F19" s="39"/>
      <c r="G19" s="39"/>
      <c r="H19" s="39"/>
      <c r="I19" s="39"/>
      <c r="J19" s="39"/>
      <c r="K19" s="39"/>
      <c r="L19" s="39"/>
      <c r="M19" s="39"/>
      <c r="N19" s="39"/>
      <c r="O19" s="31"/>
      <c r="P19" s="31"/>
    </row>
    <row r="20" spans="2:16" ht="16.5" customHeight="1" thickBot="1">
      <c r="B20" s="15"/>
      <c r="C20" s="16"/>
      <c r="D20" s="16"/>
      <c r="E20" s="16"/>
      <c r="F20" s="16"/>
      <c r="G20" s="16"/>
      <c r="H20" s="16"/>
      <c r="I20" s="16"/>
      <c r="J20" s="16"/>
      <c r="K20" s="16"/>
      <c r="L20" s="16"/>
      <c r="M20" s="16"/>
      <c r="N20" s="16"/>
      <c r="O20" s="31"/>
      <c r="P20" s="31"/>
    </row>
    <row r="21" spans="2:16" ht="16.5" customHeight="1" thickTop="1">
      <c r="B21" s="20" t="s">
        <v>77</v>
      </c>
      <c r="C21" s="17"/>
      <c r="D21" s="17"/>
      <c r="E21" s="17"/>
      <c r="F21" s="17"/>
      <c r="G21" s="17"/>
      <c r="H21" s="17"/>
      <c r="I21" s="17"/>
      <c r="J21" s="17"/>
      <c r="K21" s="17"/>
      <c r="L21" s="17"/>
      <c r="M21" s="17"/>
      <c r="N21" s="17"/>
      <c r="O21" s="32"/>
      <c r="P21" s="32"/>
    </row>
    <row r="22" spans="2:16" ht="16.5" customHeight="1">
      <c r="B22" s="26" t="s">
        <v>81</v>
      </c>
      <c r="C22" s="27">
        <v>67</v>
      </c>
      <c r="D22" s="27">
        <v>0</v>
      </c>
      <c r="E22" s="27">
        <v>78</v>
      </c>
      <c r="F22" s="27">
        <v>0</v>
      </c>
      <c r="G22" s="27">
        <v>67</v>
      </c>
      <c r="H22" s="27">
        <v>0</v>
      </c>
      <c r="I22" s="27">
        <v>121</v>
      </c>
      <c r="J22" s="27">
        <v>0</v>
      </c>
      <c r="K22" s="27">
        <v>78</v>
      </c>
      <c r="L22" s="27">
        <v>0</v>
      </c>
      <c r="M22" s="27">
        <v>121</v>
      </c>
      <c r="N22" s="27">
        <v>0</v>
      </c>
      <c r="O22" s="30">
        <f>SUM(tblExpenseCategory_01[[#This Row],[jan]:[dec]])</f>
        <v>532</v>
      </c>
      <c r="P22" s="30">
        <f>tblExpenseCategory_01[[#This Row],[year]]/12</f>
        <v>44.333333333333336</v>
      </c>
    </row>
    <row r="23" spans="2:16" ht="16.5" customHeight="1">
      <c r="B23" s="26" t="s">
        <v>82</v>
      </c>
      <c r="C23" s="27">
        <v>34</v>
      </c>
      <c r="D23" s="27">
        <v>0</v>
      </c>
      <c r="E23" s="27">
        <v>0</v>
      </c>
      <c r="F23" s="27">
        <v>0</v>
      </c>
      <c r="G23" s="27">
        <v>25</v>
      </c>
      <c r="H23" s="27">
        <v>0</v>
      </c>
      <c r="I23" s="27">
        <v>0</v>
      </c>
      <c r="J23" s="27">
        <v>25</v>
      </c>
      <c r="K23" s="27">
        <v>0</v>
      </c>
      <c r="L23" s="27">
        <v>0</v>
      </c>
      <c r="M23" s="27">
        <v>57</v>
      </c>
      <c r="N23" s="27">
        <v>0</v>
      </c>
      <c r="O23" s="30">
        <f>SUM(tblExpenseCategory_01[[#This Row],[jan]:[dec]])</f>
        <v>141</v>
      </c>
      <c r="P23" s="30">
        <f>tblExpenseCategory_01[[#This Row],[year]]/12</f>
        <v>11.75</v>
      </c>
    </row>
    <row r="24" spans="2:16" ht="16.5" customHeight="1">
      <c r="B24" s="26" t="s">
        <v>83</v>
      </c>
      <c r="C24" s="27">
        <v>114</v>
      </c>
      <c r="D24" s="27">
        <v>0</v>
      </c>
      <c r="E24" s="27">
        <v>0</v>
      </c>
      <c r="F24" s="27">
        <v>0</v>
      </c>
      <c r="G24" s="27">
        <v>127</v>
      </c>
      <c r="H24" s="27">
        <v>0</v>
      </c>
      <c r="I24" s="27">
        <v>0</v>
      </c>
      <c r="J24" s="27">
        <v>85</v>
      </c>
      <c r="K24" s="27">
        <v>0</v>
      </c>
      <c r="L24" s="27">
        <v>0</v>
      </c>
      <c r="M24" s="27">
        <v>74</v>
      </c>
      <c r="N24" s="27">
        <v>0</v>
      </c>
      <c r="O24" s="30">
        <f>SUM(tblExpenseCategory_01[[#This Row],[jan]:[dec]])</f>
        <v>400</v>
      </c>
      <c r="P24" s="30">
        <f>tblExpenseCategory_01[[#This Row],[year]]/12</f>
        <v>33.333333333333336</v>
      </c>
    </row>
    <row r="25" spans="2:16" ht="16.5" customHeight="1">
      <c r="B25" s="26" t="s">
        <v>43</v>
      </c>
      <c r="C25" s="27">
        <v>0</v>
      </c>
      <c r="D25" s="27">
        <v>0</v>
      </c>
      <c r="E25" s="27">
        <v>0</v>
      </c>
      <c r="F25" s="27">
        <v>0</v>
      </c>
      <c r="G25" s="27">
        <v>0</v>
      </c>
      <c r="H25" s="27">
        <v>0</v>
      </c>
      <c r="I25" s="27">
        <v>0</v>
      </c>
      <c r="J25" s="27">
        <v>0</v>
      </c>
      <c r="K25" s="27">
        <v>0</v>
      </c>
      <c r="L25" s="27">
        <v>0</v>
      </c>
      <c r="M25" s="27">
        <v>0</v>
      </c>
      <c r="N25" s="27">
        <v>0</v>
      </c>
      <c r="O25" s="30">
        <f>SUM(tblExpenseCategory_01[[#This Row],[jan]:[dec]])</f>
        <v>0</v>
      </c>
      <c r="P25" s="30">
        <f>tblExpenseCategory_01[[#This Row],[year]]/12</f>
        <v>0</v>
      </c>
    </row>
    <row r="26" spans="2:16" ht="16.5" customHeight="1">
      <c r="B26" s="26" t="s">
        <v>39</v>
      </c>
      <c r="C26" s="27">
        <v>0</v>
      </c>
      <c r="D26" s="27">
        <v>0</v>
      </c>
      <c r="E26" s="27">
        <v>0</v>
      </c>
      <c r="F26" s="27">
        <v>0</v>
      </c>
      <c r="G26" s="27">
        <v>0</v>
      </c>
      <c r="H26" s="27">
        <v>0</v>
      </c>
      <c r="I26" s="27">
        <v>0</v>
      </c>
      <c r="J26" s="27">
        <v>0</v>
      </c>
      <c r="K26" s="27">
        <v>0</v>
      </c>
      <c r="L26" s="27">
        <v>0</v>
      </c>
      <c r="M26" s="27">
        <v>0</v>
      </c>
      <c r="N26" s="27">
        <v>0</v>
      </c>
      <c r="O26" s="30">
        <f>SUM(tblExpenseCategory_01[[#This Row],[jan]:[dec]])</f>
        <v>0</v>
      </c>
      <c r="P26" s="30">
        <f>tblExpenseCategory_01[[#This Row],[year]]/12</f>
        <v>0</v>
      </c>
    </row>
    <row r="27" spans="2:16" ht="16.5" customHeight="1">
      <c r="B27" s="26" t="str">
        <f>UPPER("Total " &amp; B21)</f>
        <v>TOTAL OFFICE SUPPLIES</v>
      </c>
      <c r="C27" s="27">
        <f>SUM(tblExpenseCategory_01[jan])</f>
        <v>215</v>
      </c>
      <c r="D27" s="27">
        <f>SUM(tblExpenseCategory_01[feb])</f>
        <v>0</v>
      </c>
      <c r="E27" s="27">
        <f>SUM(tblExpenseCategory_01[mar])</f>
        <v>78</v>
      </c>
      <c r="F27" s="27">
        <f>SUM(tblExpenseCategory_01[apr])</f>
        <v>0</v>
      </c>
      <c r="G27" s="27">
        <f>SUM(tblExpenseCategory_01[may])</f>
        <v>219</v>
      </c>
      <c r="H27" s="27">
        <f>SUM(tblExpenseCategory_01[jun])</f>
        <v>0</v>
      </c>
      <c r="I27" s="27">
        <f>SUM(tblExpenseCategory_01[jul])</f>
        <v>121</v>
      </c>
      <c r="J27" s="27">
        <f>SUM(tblExpenseCategory_01[aug])</f>
        <v>110</v>
      </c>
      <c r="K27" s="27">
        <f>SUM(tblExpenseCategory_01[sep])</f>
        <v>78</v>
      </c>
      <c r="L27" s="27">
        <f>SUM(tblExpenseCategory_01[oct])</f>
        <v>0</v>
      </c>
      <c r="M27" s="27">
        <f>SUM(tblExpenseCategory_01[nov])</f>
        <v>252</v>
      </c>
      <c r="N27" s="27">
        <f>SUM(tblExpenseCategory_01[dec])</f>
        <v>0</v>
      </c>
      <c r="O27" s="30">
        <f>SUM(tblExpenseCategory_01[year])</f>
        <v>1073</v>
      </c>
      <c r="P27" s="30">
        <f>tblExpenseCategory_01[[#Totals],[year]]/12</f>
        <v>89.416666666666671</v>
      </c>
    </row>
    <row r="28" spans="2:16" ht="16.5" customHeight="1">
      <c r="B28" s="39"/>
      <c r="C28" s="39"/>
      <c r="D28" s="39"/>
      <c r="E28" s="39"/>
      <c r="F28" s="39"/>
      <c r="G28" s="39"/>
      <c r="H28" s="39"/>
      <c r="I28" s="39"/>
      <c r="J28" s="39"/>
      <c r="K28" s="39"/>
      <c r="L28" s="39"/>
      <c r="M28" s="39"/>
      <c r="N28" s="39"/>
      <c r="O28" s="31"/>
      <c r="P28" s="31"/>
    </row>
    <row r="29" spans="2:16" ht="16.5" customHeight="1" thickBot="1">
      <c r="B29" s="15"/>
      <c r="C29" s="16"/>
      <c r="D29" s="16"/>
      <c r="E29" s="16"/>
      <c r="F29" s="16"/>
      <c r="G29" s="16"/>
      <c r="H29" s="16"/>
      <c r="I29" s="16"/>
      <c r="J29" s="16"/>
      <c r="K29" s="16"/>
      <c r="L29" s="16"/>
      <c r="M29" s="16"/>
      <c r="N29" s="16"/>
      <c r="O29" s="31"/>
      <c r="P29" s="31"/>
    </row>
    <row r="30" spans="2:16" ht="16.5" customHeight="1" thickTop="1">
      <c r="B30" s="20" t="s">
        <v>28</v>
      </c>
      <c r="C30" s="17"/>
      <c r="D30" s="17"/>
      <c r="E30" s="17"/>
      <c r="F30" s="17"/>
      <c r="G30" s="17"/>
      <c r="H30" s="17"/>
      <c r="I30" s="17"/>
      <c r="J30" s="17"/>
      <c r="K30" s="17"/>
      <c r="L30" s="17"/>
      <c r="M30" s="17"/>
      <c r="N30" s="17"/>
      <c r="O30" s="32"/>
      <c r="P30" s="32"/>
    </row>
    <row r="31" spans="2:16" ht="16.5" customHeight="1">
      <c r="B31" s="26" t="s">
        <v>45</v>
      </c>
      <c r="C31" s="27">
        <v>87</v>
      </c>
      <c r="D31" s="27">
        <v>75</v>
      </c>
      <c r="E31" s="27">
        <v>96</v>
      </c>
      <c r="F31" s="27">
        <v>103</v>
      </c>
      <c r="G31" s="27">
        <v>0</v>
      </c>
      <c r="H31" s="27">
        <v>0</v>
      </c>
      <c r="I31" s="27">
        <v>57</v>
      </c>
      <c r="J31" s="27">
        <v>98</v>
      </c>
      <c r="K31" s="27">
        <v>58</v>
      </c>
      <c r="L31" s="27">
        <v>0</v>
      </c>
      <c r="M31" s="27">
        <v>0</v>
      </c>
      <c r="N31" s="27">
        <v>42</v>
      </c>
      <c r="O31" s="30">
        <f>SUM(tblExpenseCategory_02[[#This Row],[jan]:[dec]])</f>
        <v>616</v>
      </c>
      <c r="P31" s="30">
        <f>tblExpenseCategory_02[[#This Row],[year]]/12</f>
        <v>51.333333333333336</v>
      </c>
    </row>
    <row r="32" spans="2:16" ht="16.5" customHeight="1">
      <c r="B32" s="26" t="s">
        <v>85</v>
      </c>
      <c r="C32" s="27">
        <v>223</v>
      </c>
      <c r="D32" s="27">
        <v>256</v>
      </c>
      <c r="E32" s="27">
        <v>258</v>
      </c>
      <c r="F32" s="27">
        <v>245</v>
      </c>
      <c r="G32" s="27">
        <v>0</v>
      </c>
      <c r="H32" s="27">
        <v>0</v>
      </c>
      <c r="I32" s="27">
        <v>253</v>
      </c>
      <c r="J32" s="27">
        <v>148</v>
      </c>
      <c r="K32" s="27">
        <v>436</v>
      </c>
      <c r="L32" s="27">
        <v>0</v>
      </c>
      <c r="M32" s="27">
        <v>0</v>
      </c>
      <c r="N32" s="27">
        <v>421</v>
      </c>
      <c r="O32" s="30">
        <f>SUM(tblExpenseCategory_02[[#This Row],[jan]:[dec]])</f>
        <v>2240</v>
      </c>
      <c r="P32" s="30">
        <f>tblExpenseCategory_02[[#This Row],[year]]/12</f>
        <v>186.66666666666666</v>
      </c>
    </row>
    <row r="33" spans="2:16" ht="16.5" customHeight="1">
      <c r="B33" s="26" t="s">
        <v>86</v>
      </c>
      <c r="C33" s="27">
        <v>1068</v>
      </c>
      <c r="D33" s="27">
        <v>0</v>
      </c>
      <c r="E33" s="27">
        <v>0</v>
      </c>
      <c r="F33" s="27">
        <v>0</v>
      </c>
      <c r="G33" s="27">
        <v>0</v>
      </c>
      <c r="H33" s="27">
        <v>0</v>
      </c>
      <c r="I33" s="27">
        <v>2151</v>
      </c>
      <c r="J33" s="27">
        <v>0</v>
      </c>
      <c r="K33" s="27">
        <v>0</v>
      </c>
      <c r="L33" s="27">
        <v>0</v>
      </c>
      <c r="M33" s="27">
        <v>0</v>
      </c>
      <c r="N33" s="27">
        <v>1015</v>
      </c>
      <c r="O33" s="30">
        <f>SUM(tblExpenseCategory_02[[#This Row],[jan]:[dec]])</f>
        <v>4234</v>
      </c>
      <c r="P33" s="30">
        <f>tblExpenseCategory_02[[#This Row],[year]]/12</f>
        <v>352.83333333333331</v>
      </c>
    </row>
    <row r="34" spans="2:16" ht="16.5" customHeight="1">
      <c r="B34" s="26" t="s">
        <v>87</v>
      </c>
      <c r="C34" s="27">
        <v>21</v>
      </c>
      <c r="D34" s="27">
        <v>0</v>
      </c>
      <c r="E34" s="27">
        <v>0</v>
      </c>
      <c r="F34" s="27">
        <v>32</v>
      </c>
      <c r="G34" s="27">
        <v>0</v>
      </c>
      <c r="H34" s="27">
        <v>0</v>
      </c>
      <c r="I34" s="27">
        <v>0</v>
      </c>
      <c r="J34" s="27">
        <v>35</v>
      </c>
      <c r="K34" s="27">
        <v>0</v>
      </c>
      <c r="L34" s="27">
        <v>0</v>
      </c>
      <c r="M34" s="27">
        <v>0</v>
      </c>
      <c r="N34" s="27">
        <v>23</v>
      </c>
      <c r="O34" s="30">
        <f>SUM(tblExpenseCategory_02[[#This Row],[jan]:[dec]])</f>
        <v>111</v>
      </c>
      <c r="P34" s="30">
        <f>tblExpenseCategory_02[[#This Row],[year]]/12</f>
        <v>9.25</v>
      </c>
    </row>
    <row r="35" spans="2:16" ht="16.5" customHeight="1">
      <c r="B35" s="26" t="s">
        <v>39</v>
      </c>
      <c r="C35" s="27">
        <v>0</v>
      </c>
      <c r="D35" s="27">
        <v>0</v>
      </c>
      <c r="E35" s="27">
        <v>0</v>
      </c>
      <c r="F35" s="27">
        <v>0</v>
      </c>
      <c r="G35" s="27">
        <v>0</v>
      </c>
      <c r="H35" s="27">
        <v>0</v>
      </c>
      <c r="I35" s="27">
        <v>0</v>
      </c>
      <c r="J35" s="27">
        <v>0</v>
      </c>
      <c r="K35" s="27">
        <v>0</v>
      </c>
      <c r="L35" s="27">
        <v>0</v>
      </c>
      <c r="M35" s="27">
        <v>0</v>
      </c>
      <c r="N35" s="27">
        <v>0</v>
      </c>
      <c r="O35" s="30">
        <f>SUM(tblExpenseCategory_02[[#This Row],[jan]:[dec]])</f>
        <v>0</v>
      </c>
      <c r="P35" s="30">
        <f>tblExpenseCategory_02[[#This Row],[year]]/12</f>
        <v>0</v>
      </c>
    </row>
    <row r="36" spans="2:16" ht="16.5" customHeight="1">
      <c r="B36" s="26" t="str">
        <f>UPPER("Total " &amp; B30)</f>
        <v>TOTAL TRANSPORTATION</v>
      </c>
      <c r="C36" s="27">
        <f>SUM(tblExpenseCategory_02[jan])</f>
        <v>1399</v>
      </c>
      <c r="D36" s="27">
        <f>SUM(tblExpenseCategory_02[feb])</f>
        <v>331</v>
      </c>
      <c r="E36" s="27">
        <f>SUM(tblExpenseCategory_02[mar])</f>
        <v>354</v>
      </c>
      <c r="F36" s="27">
        <f>SUM(tblExpenseCategory_02[apr])</f>
        <v>380</v>
      </c>
      <c r="G36" s="27">
        <f>SUM(tblExpenseCategory_02[may])</f>
        <v>0</v>
      </c>
      <c r="H36" s="27">
        <f>SUM(tblExpenseCategory_02[jun])</f>
        <v>0</v>
      </c>
      <c r="I36" s="27">
        <f>SUM(tblExpenseCategory_02[jul])</f>
        <v>2461</v>
      </c>
      <c r="J36" s="27">
        <f>SUM(tblExpenseCategory_02[aug])</f>
        <v>281</v>
      </c>
      <c r="K36" s="27">
        <f>SUM(tblExpenseCategory_02[sep])</f>
        <v>494</v>
      </c>
      <c r="L36" s="27">
        <f>SUM(tblExpenseCategory_02[oct])</f>
        <v>0</v>
      </c>
      <c r="M36" s="27">
        <f>SUM(tblExpenseCategory_02[nov])</f>
        <v>0</v>
      </c>
      <c r="N36" s="27">
        <f>SUM(tblExpenseCategory_02[dec])</f>
        <v>1501</v>
      </c>
      <c r="O36" s="30">
        <f>SUM(tblExpenseCategory_02[year])</f>
        <v>7201</v>
      </c>
      <c r="P36" s="30">
        <f>tblExpenseCategory_02[[#Totals],[year]]/12</f>
        <v>600.08333333333337</v>
      </c>
    </row>
    <row r="37" spans="2:16" ht="16.5" customHeight="1">
      <c r="B37" s="39"/>
      <c r="C37" s="39"/>
      <c r="D37" s="39"/>
      <c r="E37" s="39"/>
      <c r="F37" s="39"/>
      <c r="G37" s="39"/>
      <c r="H37" s="39"/>
      <c r="I37" s="39"/>
      <c r="J37" s="39"/>
      <c r="K37" s="39"/>
      <c r="L37" s="39"/>
      <c r="M37" s="39"/>
      <c r="N37" s="39"/>
      <c r="O37" s="31"/>
      <c r="P37" s="31"/>
    </row>
    <row r="38" spans="2:16" ht="16.5" customHeight="1" thickBot="1">
      <c r="B38" s="15"/>
      <c r="C38" s="16"/>
      <c r="D38" s="16"/>
      <c r="E38" s="16"/>
      <c r="F38" s="16"/>
      <c r="G38" s="16"/>
      <c r="H38" s="16"/>
      <c r="I38" s="16"/>
      <c r="J38" s="16"/>
      <c r="K38" s="16"/>
      <c r="L38" s="16"/>
      <c r="M38" s="16"/>
      <c r="N38" s="16"/>
      <c r="O38" s="31"/>
      <c r="P38" s="31"/>
    </row>
    <row r="39" spans="2:16" ht="16.5" customHeight="1" thickTop="1">
      <c r="B39" s="20" t="s">
        <v>78</v>
      </c>
      <c r="C39" s="17"/>
      <c r="D39" s="17"/>
      <c r="E39" s="17"/>
      <c r="F39" s="17"/>
      <c r="G39" s="17"/>
      <c r="H39" s="17"/>
      <c r="I39" s="17"/>
      <c r="J39" s="17"/>
      <c r="K39" s="17"/>
      <c r="L39" s="17"/>
      <c r="M39" s="17"/>
      <c r="N39" s="17"/>
      <c r="O39" s="32"/>
      <c r="P39" s="32"/>
    </row>
    <row r="40" spans="2:16" ht="16.5" customHeight="1">
      <c r="B40" s="26" t="s">
        <v>91</v>
      </c>
      <c r="C40" s="27">
        <v>0</v>
      </c>
      <c r="D40" s="27">
        <v>0</v>
      </c>
      <c r="E40" s="27">
        <v>150</v>
      </c>
      <c r="F40" s="27">
        <v>0</v>
      </c>
      <c r="G40" s="27">
        <v>0</v>
      </c>
      <c r="H40" s="27">
        <v>150</v>
      </c>
      <c r="I40" s="27">
        <v>0</v>
      </c>
      <c r="J40" s="27">
        <v>0</v>
      </c>
      <c r="K40" s="27">
        <v>150</v>
      </c>
      <c r="L40" s="27">
        <v>0</v>
      </c>
      <c r="M40" s="27">
        <v>0</v>
      </c>
      <c r="N40" s="27">
        <v>150</v>
      </c>
      <c r="O40" s="30">
        <f>SUM(tblExpenseCategory_03[[#This Row],[jan]:[dec]])</f>
        <v>600</v>
      </c>
      <c r="P40" s="30">
        <f>tblExpenseCategory_03[[#This Row],[year]]/12</f>
        <v>50</v>
      </c>
    </row>
    <row r="41" spans="2:16" ht="16.5" customHeight="1">
      <c r="B41" s="26" t="s">
        <v>92</v>
      </c>
      <c r="C41" s="27">
        <v>0</v>
      </c>
      <c r="D41" s="27">
        <v>0</v>
      </c>
      <c r="E41" s="27">
        <v>90</v>
      </c>
      <c r="F41" s="27">
        <v>0</v>
      </c>
      <c r="G41" s="27">
        <v>0</v>
      </c>
      <c r="H41" s="27">
        <v>90</v>
      </c>
      <c r="I41" s="27">
        <v>0</v>
      </c>
      <c r="J41" s="27">
        <v>0</v>
      </c>
      <c r="K41" s="27">
        <v>90</v>
      </c>
      <c r="L41" s="27">
        <v>0</v>
      </c>
      <c r="M41" s="27">
        <v>0</v>
      </c>
      <c r="N41" s="27">
        <v>90</v>
      </c>
      <c r="O41" s="30">
        <f>SUM(tblExpenseCategory_03[[#This Row],[jan]:[dec]])</f>
        <v>360</v>
      </c>
      <c r="P41" s="30">
        <f>tblExpenseCategory_03[[#This Row],[year]]/12</f>
        <v>30</v>
      </c>
    </row>
    <row r="42" spans="2:16" ht="16.5" customHeight="1">
      <c r="B42" s="26" t="s">
        <v>93</v>
      </c>
      <c r="C42" s="27">
        <v>0</v>
      </c>
      <c r="D42" s="27">
        <v>0</v>
      </c>
      <c r="E42" s="27">
        <v>1012</v>
      </c>
      <c r="F42" s="27">
        <v>0</v>
      </c>
      <c r="G42" s="27">
        <v>0</v>
      </c>
      <c r="H42" s="27">
        <v>1012</v>
      </c>
      <c r="I42" s="27">
        <v>0</v>
      </c>
      <c r="J42" s="27">
        <v>0</v>
      </c>
      <c r="K42" s="27">
        <v>1012</v>
      </c>
      <c r="L42" s="27">
        <v>0</v>
      </c>
      <c r="M42" s="27">
        <v>0</v>
      </c>
      <c r="N42" s="27">
        <v>1012</v>
      </c>
      <c r="O42" s="30">
        <f>SUM(tblExpenseCategory_03[[#This Row],[jan]:[dec]])</f>
        <v>4048</v>
      </c>
      <c r="P42" s="30">
        <f>tblExpenseCategory_03[[#This Row],[year]]/12</f>
        <v>337.33333333333331</v>
      </c>
    </row>
    <row r="43" spans="2:16" ht="16.5" customHeight="1">
      <c r="B43" s="26" t="s">
        <v>94</v>
      </c>
      <c r="C43" s="27">
        <v>0</v>
      </c>
      <c r="D43" s="27">
        <v>0</v>
      </c>
      <c r="E43" s="27">
        <v>0</v>
      </c>
      <c r="F43" s="27">
        <v>0</v>
      </c>
      <c r="G43" s="27">
        <v>0</v>
      </c>
      <c r="H43" s="27">
        <v>0</v>
      </c>
      <c r="I43" s="27">
        <v>0</v>
      </c>
      <c r="J43" s="27">
        <v>0</v>
      </c>
      <c r="K43" s="27">
        <v>0</v>
      </c>
      <c r="L43" s="27">
        <v>0</v>
      </c>
      <c r="M43" s="27">
        <v>0</v>
      </c>
      <c r="N43" s="27">
        <v>0</v>
      </c>
      <c r="O43" s="30">
        <f>SUM(tblExpenseCategory_03[[#This Row],[jan]:[dec]])</f>
        <v>0</v>
      </c>
      <c r="P43" s="30">
        <f>tblExpenseCategory_03[[#This Row],[year]]/12</f>
        <v>0</v>
      </c>
    </row>
    <row r="44" spans="2:16" ht="16.5" customHeight="1">
      <c r="B44" s="26" t="s">
        <v>39</v>
      </c>
      <c r="C44" s="27">
        <v>0</v>
      </c>
      <c r="D44" s="27">
        <v>0</v>
      </c>
      <c r="E44" s="27">
        <v>0</v>
      </c>
      <c r="F44" s="27">
        <v>0</v>
      </c>
      <c r="G44" s="27">
        <v>0</v>
      </c>
      <c r="H44" s="27">
        <v>0</v>
      </c>
      <c r="I44" s="27">
        <v>0</v>
      </c>
      <c r="J44" s="27">
        <v>0</v>
      </c>
      <c r="K44" s="27">
        <v>0</v>
      </c>
      <c r="L44" s="27">
        <v>0</v>
      </c>
      <c r="M44" s="27">
        <v>0</v>
      </c>
      <c r="N44" s="27">
        <v>0</v>
      </c>
      <c r="O44" s="30">
        <f>SUM(tblExpenseCategory_03[[#This Row],[jan]:[dec]])</f>
        <v>0</v>
      </c>
      <c r="P44" s="30">
        <f>tblExpenseCategory_03[[#This Row],[year]]/12</f>
        <v>0</v>
      </c>
    </row>
    <row r="45" spans="2:16" ht="16.5" customHeight="1">
      <c r="B45" s="26" t="str">
        <f>UPPER("Total " &amp; B39)</f>
        <v>TOTAL TRAINING</v>
      </c>
      <c r="C45" s="27">
        <f>SUM(tblExpenseCategory_03[jan])</f>
        <v>0</v>
      </c>
      <c r="D45" s="27">
        <f>SUM(tblExpenseCategory_03[feb])</f>
        <v>0</v>
      </c>
      <c r="E45" s="27">
        <f>SUM(tblExpenseCategory_03[mar])</f>
        <v>1252</v>
      </c>
      <c r="F45" s="27">
        <f>SUM(tblExpenseCategory_03[apr])</f>
        <v>0</v>
      </c>
      <c r="G45" s="27">
        <f>SUM(tblExpenseCategory_03[may])</f>
        <v>0</v>
      </c>
      <c r="H45" s="27">
        <f>SUM(tblExpenseCategory_03[jun])</f>
        <v>1252</v>
      </c>
      <c r="I45" s="27">
        <f>SUM(tblExpenseCategory_03[jul])</f>
        <v>0</v>
      </c>
      <c r="J45" s="27">
        <f>SUM(tblExpenseCategory_03[aug])</f>
        <v>0</v>
      </c>
      <c r="K45" s="27">
        <f>SUM(tblExpenseCategory_03[sep])</f>
        <v>1252</v>
      </c>
      <c r="L45" s="27">
        <f>SUM(tblExpenseCategory_03[oct])</f>
        <v>0</v>
      </c>
      <c r="M45" s="27">
        <f>SUM(tblExpenseCategory_03[nov])</f>
        <v>0</v>
      </c>
      <c r="N45" s="27">
        <f>SUM(tblExpenseCategory_03[dec])</f>
        <v>1252</v>
      </c>
      <c r="O45" s="30">
        <f>SUM(tblExpenseCategory_03[year])</f>
        <v>5008</v>
      </c>
      <c r="P45" s="30">
        <f>tblExpenseCategory_03[[#Totals],[year]]/12</f>
        <v>417.33333333333331</v>
      </c>
    </row>
    <row r="46" spans="2:16" ht="16.5" customHeight="1">
      <c r="B46" s="39"/>
      <c r="C46" s="39"/>
      <c r="D46" s="39"/>
      <c r="E46" s="39"/>
      <c r="F46" s="39"/>
      <c r="G46" s="39"/>
      <c r="H46" s="39"/>
      <c r="I46" s="39"/>
      <c r="J46" s="39"/>
      <c r="K46" s="39"/>
      <c r="L46" s="39"/>
      <c r="M46" s="39"/>
      <c r="N46" s="39"/>
      <c r="O46" s="33"/>
      <c r="P46" s="33"/>
    </row>
    <row r="47" spans="2:16" ht="16.5" customHeight="1" thickBot="1">
      <c r="B47" s="15"/>
      <c r="C47" s="18"/>
      <c r="D47" s="18"/>
      <c r="E47" s="18"/>
      <c r="F47" s="18"/>
      <c r="G47" s="18"/>
      <c r="H47" s="18"/>
      <c r="I47" s="18"/>
      <c r="J47" s="18"/>
      <c r="K47" s="18"/>
      <c r="L47" s="18"/>
      <c r="M47" s="18"/>
      <c r="N47" s="18"/>
      <c r="O47" s="33"/>
      <c r="P47" s="33"/>
    </row>
    <row r="48" spans="2:16" ht="16.5" customHeight="1" thickTop="1">
      <c r="B48" s="20" t="s">
        <v>29</v>
      </c>
      <c r="C48" s="19"/>
      <c r="D48" s="19"/>
      <c r="E48" s="19"/>
      <c r="F48" s="19"/>
      <c r="G48" s="19"/>
      <c r="H48" s="19"/>
      <c r="I48" s="19"/>
      <c r="J48" s="19"/>
      <c r="K48" s="19"/>
      <c r="L48" s="19"/>
      <c r="M48" s="19"/>
      <c r="N48" s="19"/>
      <c r="O48" s="34"/>
      <c r="P48" s="34"/>
    </row>
    <row r="49" spans="2:16" ht="16.5" customHeight="1">
      <c r="B49" s="26" t="s">
        <v>48</v>
      </c>
      <c r="C49" s="27">
        <v>0</v>
      </c>
      <c r="D49" s="27">
        <v>0</v>
      </c>
      <c r="E49" s="27">
        <v>0</v>
      </c>
      <c r="F49" s="27">
        <v>0</v>
      </c>
      <c r="G49" s="27">
        <v>100</v>
      </c>
      <c r="H49" s="27">
        <v>0</v>
      </c>
      <c r="I49" s="27">
        <v>0</v>
      </c>
      <c r="J49" s="27">
        <v>0</v>
      </c>
      <c r="K49" s="27">
        <v>0</v>
      </c>
      <c r="L49" s="27">
        <v>0</v>
      </c>
      <c r="M49" s="27">
        <v>200</v>
      </c>
      <c r="N49" s="27">
        <v>500</v>
      </c>
      <c r="O49" s="30">
        <f>SUM(tblExpenseCategory_04[[#This Row],[jan]:[dec]])</f>
        <v>800</v>
      </c>
      <c r="P49" s="30">
        <f>tblExpenseCategory_04[[#This Row],[year]]/12</f>
        <v>66.666666666666671</v>
      </c>
    </row>
    <row r="50" spans="2:16" ht="16.5" customHeight="1">
      <c r="B50" s="26" t="s">
        <v>49</v>
      </c>
      <c r="C50" s="27">
        <v>0</v>
      </c>
      <c r="D50" s="27">
        <v>0</v>
      </c>
      <c r="E50" s="27">
        <v>0</v>
      </c>
      <c r="F50" s="27">
        <v>0</v>
      </c>
      <c r="G50" s="27">
        <v>100</v>
      </c>
      <c r="H50" s="27">
        <v>0</v>
      </c>
      <c r="I50" s="27">
        <v>0</v>
      </c>
      <c r="J50" s="27">
        <v>0</v>
      </c>
      <c r="K50" s="27">
        <v>0</v>
      </c>
      <c r="L50" s="27">
        <v>0</v>
      </c>
      <c r="M50" s="27">
        <v>100</v>
      </c>
      <c r="N50" s="27">
        <v>200</v>
      </c>
      <c r="O50" s="30">
        <f>SUM(tblExpenseCategory_04[[#This Row],[jan]:[dec]])</f>
        <v>400</v>
      </c>
      <c r="P50" s="30">
        <f>tblExpenseCategory_04[[#This Row],[year]]/12</f>
        <v>33.333333333333336</v>
      </c>
    </row>
    <row r="51" spans="2:16" ht="16.5" customHeight="1">
      <c r="B51" s="26" t="s">
        <v>39</v>
      </c>
      <c r="C51" s="27">
        <v>0</v>
      </c>
      <c r="D51" s="27">
        <v>0</v>
      </c>
      <c r="E51" s="27">
        <v>0</v>
      </c>
      <c r="F51" s="27">
        <v>0</v>
      </c>
      <c r="G51" s="27">
        <v>0</v>
      </c>
      <c r="H51" s="27">
        <v>0</v>
      </c>
      <c r="I51" s="27">
        <v>0</v>
      </c>
      <c r="J51" s="27">
        <v>0</v>
      </c>
      <c r="K51" s="27">
        <v>0</v>
      </c>
      <c r="L51" s="27">
        <v>0</v>
      </c>
      <c r="M51" s="27">
        <v>0</v>
      </c>
      <c r="N51" s="27">
        <v>0</v>
      </c>
      <c r="O51" s="30">
        <f>SUM(tblExpenseCategory_04[[#This Row],[jan]:[dec]])</f>
        <v>0</v>
      </c>
      <c r="P51" s="30">
        <f>tblExpenseCategory_04[[#This Row],[year]]/12</f>
        <v>0</v>
      </c>
    </row>
    <row r="52" spans="2:16" ht="16.5" customHeight="1">
      <c r="B52" s="26" t="str">
        <f>UPPER("Total " &amp; B48)</f>
        <v>TOTAL CHARITY</v>
      </c>
      <c r="C52" s="27">
        <f>SUM(tblExpenseCategory_04[jan])</f>
        <v>0</v>
      </c>
      <c r="D52" s="27">
        <f>SUM(tblExpenseCategory_04[feb])</f>
        <v>0</v>
      </c>
      <c r="E52" s="27">
        <f>SUM(tblExpenseCategory_04[mar])</f>
        <v>0</v>
      </c>
      <c r="F52" s="27">
        <f>SUM(tblExpenseCategory_04[apr])</f>
        <v>0</v>
      </c>
      <c r="G52" s="27">
        <f>SUM(tblExpenseCategory_04[may])</f>
        <v>200</v>
      </c>
      <c r="H52" s="27">
        <f>SUM(tblExpenseCategory_04[jun])</f>
        <v>0</v>
      </c>
      <c r="I52" s="27">
        <f>SUM(tblExpenseCategory_04[jul])</f>
        <v>0</v>
      </c>
      <c r="J52" s="27">
        <f>SUM(tblExpenseCategory_04[aug])</f>
        <v>0</v>
      </c>
      <c r="K52" s="27">
        <f>SUM(tblExpenseCategory_04[sep])</f>
        <v>0</v>
      </c>
      <c r="L52" s="27">
        <f>SUM(tblExpenseCategory_04[oct])</f>
        <v>0</v>
      </c>
      <c r="M52" s="27">
        <f>SUM(tblExpenseCategory_04[nov])</f>
        <v>300</v>
      </c>
      <c r="N52" s="27">
        <f>SUM(tblExpenseCategory_04[dec])</f>
        <v>700</v>
      </c>
      <c r="O52" s="30">
        <f>SUM(tblExpenseCategory_04[year])</f>
        <v>1200</v>
      </c>
      <c r="P52" s="30">
        <f>tblExpenseCategory_04[[#Totals],[year]]/12</f>
        <v>100</v>
      </c>
    </row>
    <row r="53" spans="2:16" ht="16.5" customHeight="1">
      <c r="B53" s="39"/>
      <c r="C53" s="39"/>
      <c r="D53" s="39"/>
      <c r="E53" s="39"/>
      <c r="F53" s="39"/>
      <c r="G53" s="39"/>
      <c r="H53" s="39"/>
      <c r="I53" s="39"/>
      <c r="J53" s="39"/>
      <c r="K53" s="39"/>
      <c r="L53" s="39"/>
      <c r="M53" s="39"/>
      <c r="N53" s="39"/>
      <c r="O53" s="33"/>
      <c r="P53" s="33"/>
    </row>
    <row r="54" spans="2:16" ht="16.5" customHeight="1" thickBot="1">
      <c r="B54" s="15"/>
      <c r="C54" s="18"/>
      <c r="D54" s="18"/>
      <c r="E54" s="18"/>
      <c r="F54" s="18"/>
      <c r="G54" s="18"/>
      <c r="H54" s="18"/>
      <c r="I54" s="18"/>
      <c r="J54" s="18"/>
      <c r="K54" s="18"/>
      <c r="L54" s="18"/>
      <c r="M54" s="18"/>
      <c r="N54" s="18"/>
      <c r="O54" s="33"/>
      <c r="P54" s="33"/>
    </row>
    <row r="55" spans="2:16" ht="16.5" customHeight="1" thickTop="1">
      <c r="B55" s="20" t="s">
        <v>30</v>
      </c>
      <c r="C55" s="19"/>
      <c r="D55" s="19"/>
      <c r="E55" s="19"/>
      <c r="F55" s="19"/>
      <c r="G55" s="19"/>
      <c r="H55" s="19"/>
      <c r="I55" s="19"/>
      <c r="J55" s="19"/>
      <c r="K55" s="19"/>
      <c r="L55" s="19"/>
      <c r="M55" s="19"/>
      <c r="N55" s="19"/>
      <c r="O55" s="34"/>
      <c r="P55" s="34"/>
    </row>
    <row r="56" spans="2:16" ht="16.5" customHeight="1">
      <c r="B56" s="26" t="s">
        <v>50</v>
      </c>
      <c r="C56" s="27">
        <v>0</v>
      </c>
      <c r="D56" s="27">
        <v>0</v>
      </c>
      <c r="E56" s="27">
        <v>0</v>
      </c>
      <c r="F56" s="27">
        <v>0</v>
      </c>
      <c r="G56" s="27">
        <v>0</v>
      </c>
      <c r="H56" s="27">
        <v>0</v>
      </c>
      <c r="I56" s="27">
        <v>0</v>
      </c>
      <c r="J56" s="27">
        <v>0</v>
      </c>
      <c r="K56" s="27">
        <v>0</v>
      </c>
      <c r="L56" s="27">
        <v>0</v>
      </c>
      <c r="M56" s="27">
        <v>0</v>
      </c>
      <c r="N56" s="27">
        <v>0</v>
      </c>
      <c r="O56" s="30">
        <f>SUM(tblExpenseCategory_05[[#This Row],[jan]:[dec]])</f>
        <v>0</v>
      </c>
      <c r="P56" s="30">
        <f>tblExpenseCategory_05[[#This Row],[year]]/12</f>
        <v>0</v>
      </c>
    </row>
    <row r="57" spans="2:16" ht="16.5" customHeight="1">
      <c r="B57" s="26" t="s">
        <v>98</v>
      </c>
      <c r="C57" s="27">
        <v>0</v>
      </c>
      <c r="D57" s="27">
        <v>0</v>
      </c>
      <c r="E57" s="27">
        <v>0</v>
      </c>
      <c r="F57" s="27">
        <v>0</v>
      </c>
      <c r="G57" s="27">
        <v>0</v>
      </c>
      <c r="H57" s="27">
        <v>0</v>
      </c>
      <c r="I57" s="27">
        <v>0</v>
      </c>
      <c r="J57" s="27">
        <v>0</v>
      </c>
      <c r="K57" s="27">
        <v>0</v>
      </c>
      <c r="L57" s="27">
        <v>0</v>
      </c>
      <c r="M57" s="27">
        <v>0</v>
      </c>
      <c r="N57" s="27">
        <v>0</v>
      </c>
      <c r="O57" s="30">
        <f>SUM(tblExpenseCategory_05[[#This Row],[jan]:[dec]])</f>
        <v>0</v>
      </c>
      <c r="P57" s="30">
        <f>tblExpenseCategory_05[[#This Row],[year]]/12</f>
        <v>0</v>
      </c>
    </row>
    <row r="58" spans="2:16" ht="16.5" customHeight="1">
      <c r="B58" s="26" t="s">
        <v>39</v>
      </c>
      <c r="C58" s="27">
        <v>0</v>
      </c>
      <c r="D58" s="27">
        <v>0</v>
      </c>
      <c r="E58" s="27">
        <v>0</v>
      </c>
      <c r="F58" s="27">
        <v>0</v>
      </c>
      <c r="G58" s="27">
        <v>0</v>
      </c>
      <c r="H58" s="27">
        <v>0</v>
      </c>
      <c r="I58" s="27">
        <v>0</v>
      </c>
      <c r="J58" s="27">
        <v>0</v>
      </c>
      <c r="K58" s="27">
        <v>0</v>
      </c>
      <c r="L58" s="27">
        <v>0</v>
      </c>
      <c r="M58" s="27">
        <v>0</v>
      </c>
      <c r="N58" s="27">
        <v>0</v>
      </c>
      <c r="O58" s="30">
        <f>SUM(tblExpenseCategory_05[[#This Row],[jan]:[dec]])</f>
        <v>0</v>
      </c>
      <c r="P58" s="30">
        <f>tblExpenseCategory_05[[#This Row],[year]]/12</f>
        <v>0</v>
      </c>
    </row>
    <row r="59" spans="2:16" ht="16.5" customHeight="1">
      <c r="B59" s="26" t="str">
        <f>UPPER("Total " &amp; B55)</f>
        <v>TOTAL OBLIGATIONS</v>
      </c>
      <c r="C59" s="27">
        <f>SUM(tblExpenseCategory_05[jan])</f>
        <v>0</v>
      </c>
      <c r="D59" s="27">
        <f>SUM(tblExpenseCategory_05[feb])</f>
        <v>0</v>
      </c>
      <c r="E59" s="27">
        <f>SUM(tblExpenseCategory_05[mar])</f>
        <v>0</v>
      </c>
      <c r="F59" s="27">
        <f>SUM(tblExpenseCategory_05[apr])</f>
        <v>0</v>
      </c>
      <c r="G59" s="27">
        <f>SUM(tblExpenseCategory_05[may])</f>
        <v>0</v>
      </c>
      <c r="H59" s="27">
        <f>SUM(tblExpenseCategory_05[jun])</f>
        <v>0</v>
      </c>
      <c r="I59" s="27">
        <f>SUM(tblExpenseCategory_05[jul])</f>
        <v>0</v>
      </c>
      <c r="J59" s="27">
        <f>SUM(tblExpenseCategory_05[aug])</f>
        <v>0</v>
      </c>
      <c r="K59" s="27">
        <f>SUM(tblExpenseCategory_05[sep])</f>
        <v>0</v>
      </c>
      <c r="L59" s="27">
        <f>SUM(tblExpenseCategory_05[oct])</f>
        <v>0</v>
      </c>
      <c r="M59" s="27">
        <f>SUM(tblExpenseCategory_05[nov])</f>
        <v>0</v>
      </c>
      <c r="N59" s="27">
        <f>SUM(tblExpenseCategory_05[dec])</f>
        <v>0</v>
      </c>
      <c r="O59" s="30">
        <f>SUM(tblExpenseCategory_05[year])</f>
        <v>0</v>
      </c>
      <c r="P59" s="30">
        <f>tblExpenseCategory_05[[#Totals],[year]]/12</f>
        <v>0</v>
      </c>
    </row>
    <row r="60" spans="2:16" ht="16.5" customHeight="1">
      <c r="B60" s="39"/>
      <c r="C60" s="39"/>
      <c r="D60" s="39"/>
      <c r="E60" s="39"/>
      <c r="F60" s="39"/>
      <c r="G60" s="39"/>
      <c r="H60" s="39"/>
      <c r="I60" s="39"/>
      <c r="J60" s="39"/>
      <c r="K60" s="39"/>
      <c r="L60" s="39"/>
      <c r="M60" s="39"/>
      <c r="N60" s="39"/>
      <c r="O60" s="33"/>
      <c r="P60" s="33"/>
    </row>
    <row r="61" spans="2:16" ht="16.5" customHeight="1" thickBot="1">
      <c r="B61" s="15"/>
      <c r="C61" s="18"/>
      <c r="D61" s="18"/>
      <c r="E61" s="18"/>
      <c r="F61" s="18"/>
      <c r="G61" s="18"/>
      <c r="H61" s="18"/>
      <c r="I61" s="18"/>
      <c r="J61" s="18"/>
      <c r="K61" s="18"/>
      <c r="L61" s="18"/>
      <c r="M61" s="18"/>
      <c r="N61" s="18"/>
      <c r="O61" s="33"/>
      <c r="P61" s="33"/>
    </row>
    <row r="62" spans="2:16" ht="16.5" customHeight="1" thickTop="1">
      <c r="B62" s="20" t="s">
        <v>31</v>
      </c>
      <c r="C62" s="19"/>
      <c r="D62" s="19"/>
      <c r="E62" s="19"/>
      <c r="F62" s="19"/>
      <c r="G62" s="19"/>
      <c r="H62" s="19"/>
      <c r="I62" s="19"/>
      <c r="J62" s="19"/>
      <c r="K62" s="19"/>
      <c r="L62" s="19"/>
      <c r="M62" s="19"/>
      <c r="N62" s="19"/>
      <c r="O62" s="34"/>
      <c r="P62" s="34"/>
    </row>
    <row r="63" spans="2:16" ht="16.5" customHeight="1">
      <c r="B63" s="26" t="s">
        <v>100</v>
      </c>
      <c r="C63" s="27">
        <v>0</v>
      </c>
      <c r="D63" s="27">
        <v>0</v>
      </c>
      <c r="E63" s="27">
        <v>125</v>
      </c>
      <c r="F63" s="27">
        <v>0</v>
      </c>
      <c r="G63" s="27">
        <v>90</v>
      </c>
      <c r="H63" s="27">
        <v>0</v>
      </c>
      <c r="I63" s="27">
        <v>450</v>
      </c>
      <c r="J63" s="27">
        <v>0</v>
      </c>
      <c r="K63" s="27">
        <v>0</v>
      </c>
      <c r="L63" s="27">
        <v>0</v>
      </c>
      <c r="M63" s="27">
        <v>100</v>
      </c>
      <c r="N63" s="27">
        <v>500</v>
      </c>
      <c r="O63" s="30">
        <f>SUM(tblExpenseCategory_06[[#This Row],[jan]:[dec]])</f>
        <v>1265</v>
      </c>
      <c r="P63" s="30">
        <f>tblExpenseCategory_06[[#This Row],[year]]/12</f>
        <v>105.41666666666667</v>
      </c>
    </row>
    <row r="64" spans="2:16" ht="16.5" customHeight="1">
      <c r="B64" s="26" t="s">
        <v>103</v>
      </c>
      <c r="C64" s="27">
        <v>0</v>
      </c>
      <c r="D64" s="27">
        <v>0</v>
      </c>
      <c r="E64" s="27">
        <v>100</v>
      </c>
      <c r="F64" s="27">
        <v>0</v>
      </c>
      <c r="G64" s="27">
        <v>100</v>
      </c>
      <c r="H64" s="27">
        <v>0</v>
      </c>
      <c r="I64" s="27">
        <v>300</v>
      </c>
      <c r="J64" s="27">
        <v>0</v>
      </c>
      <c r="K64" s="27">
        <v>0</v>
      </c>
      <c r="L64" s="27">
        <v>0</v>
      </c>
      <c r="M64" s="27">
        <v>300</v>
      </c>
      <c r="N64" s="27">
        <v>450</v>
      </c>
      <c r="O64" s="30">
        <f>SUM(tblExpenseCategory_06[[#This Row],[jan]:[dec]])</f>
        <v>1250</v>
      </c>
      <c r="P64" s="30">
        <f>tblExpenseCategory_06[[#This Row],[year]]/12</f>
        <v>104.16666666666667</v>
      </c>
    </row>
    <row r="65" spans="2:16" ht="16.5" customHeight="1">
      <c r="B65" s="26" t="s">
        <v>39</v>
      </c>
      <c r="C65" s="27">
        <v>0</v>
      </c>
      <c r="D65" s="27">
        <v>0</v>
      </c>
      <c r="E65" s="27">
        <v>0</v>
      </c>
      <c r="F65" s="27">
        <v>0</v>
      </c>
      <c r="G65" s="27">
        <v>0</v>
      </c>
      <c r="H65" s="27">
        <v>0</v>
      </c>
      <c r="I65" s="27">
        <v>0</v>
      </c>
      <c r="J65" s="27">
        <v>0</v>
      </c>
      <c r="K65" s="27">
        <v>0</v>
      </c>
      <c r="L65" s="27">
        <v>0</v>
      </c>
      <c r="M65" s="27">
        <v>0</v>
      </c>
      <c r="N65" s="27">
        <v>0</v>
      </c>
      <c r="O65" s="30">
        <f>SUM(tblExpenseCategory_06[[#This Row],[jan]:[dec]])</f>
        <v>0</v>
      </c>
      <c r="P65" s="30">
        <f>tblExpenseCategory_06[[#This Row],[year]]/12</f>
        <v>0</v>
      </c>
    </row>
    <row r="66" spans="2:16" ht="16.5" customHeight="1">
      <c r="B66" s="26" t="str">
        <f>UPPER("Total " &amp; B62)</f>
        <v>TOTAL ENTERTAINMENT</v>
      </c>
      <c r="C66" s="27">
        <f>SUM(tblExpenseCategory_06[jan])</f>
        <v>0</v>
      </c>
      <c r="D66" s="27">
        <f>SUM(tblExpenseCategory_06[feb])</f>
        <v>0</v>
      </c>
      <c r="E66" s="27">
        <f>SUM(tblExpenseCategory_06[mar])</f>
        <v>225</v>
      </c>
      <c r="F66" s="27">
        <f>SUM(tblExpenseCategory_06[apr])</f>
        <v>0</v>
      </c>
      <c r="G66" s="27">
        <f>SUM(tblExpenseCategory_06[may])</f>
        <v>190</v>
      </c>
      <c r="H66" s="27">
        <f>SUM(tblExpenseCategory_06[jun])</f>
        <v>0</v>
      </c>
      <c r="I66" s="27">
        <f>SUM(tblExpenseCategory_06[jul])</f>
        <v>750</v>
      </c>
      <c r="J66" s="27">
        <f>SUM(tblExpenseCategory_06[aug])</f>
        <v>0</v>
      </c>
      <c r="K66" s="27">
        <f>SUM(tblExpenseCategory_06[sep])</f>
        <v>0</v>
      </c>
      <c r="L66" s="27">
        <f>SUM(tblExpenseCategory_06[oct])</f>
        <v>0</v>
      </c>
      <c r="M66" s="27">
        <f>SUM(tblExpenseCategory_06[nov])</f>
        <v>400</v>
      </c>
      <c r="N66" s="27">
        <f>SUM(tblExpenseCategory_06[dec])</f>
        <v>950</v>
      </c>
      <c r="O66" s="30">
        <f>SUM(tblExpenseCategory_06[year])</f>
        <v>2515</v>
      </c>
      <c r="P66" s="30">
        <f>tblExpenseCategory_06[[#Totals],[year]]/12</f>
        <v>209.58333333333334</v>
      </c>
    </row>
    <row r="67" spans="2:16" ht="16.5" customHeight="1">
      <c r="B67" s="39"/>
      <c r="C67" s="39"/>
      <c r="D67" s="39"/>
      <c r="E67" s="39"/>
      <c r="F67" s="39"/>
      <c r="G67" s="39"/>
      <c r="H67" s="39"/>
      <c r="I67" s="39"/>
      <c r="J67" s="39"/>
      <c r="K67" s="39"/>
      <c r="L67" s="39"/>
      <c r="M67" s="39"/>
      <c r="N67" s="39"/>
      <c r="O67" s="33"/>
      <c r="P67" s="33"/>
    </row>
    <row r="68" spans="2:16" ht="16.5" customHeight="1" thickBot="1">
      <c r="B68" s="15"/>
      <c r="C68" s="18"/>
      <c r="D68" s="18"/>
      <c r="E68" s="18"/>
      <c r="F68" s="18"/>
      <c r="G68" s="18"/>
      <c r="H68" s="18"/>
      <c r="I68" s="18"/>
      <c r="J68" s="18"/>
      <c r="K68" s="18"/>
      <c r="L68" s="18"/>
      <c r="M68" s="18"/>
      <c r="N68" s="18"/>
      <c r="O68" s="33"/>
      <c r="P68" s="33"/>
    </row>
    <row r="69" spans="2:16" ht="16.5" customHeight="1" thickTop="1">
      <c r="B69" s="20" t="s">
        <v>79</v>
      </c>
      <c r="C69" s="19"/>
      <c r="D69" s="19"/>
      <c r="E69" s="19"/>
      <c r="F69" s="19"/>
      <c r="G69" s="19"/>
      <c r="H69" s="19"/>
      <c r="I69" s="19"/>
      <c r="J69" s="19"/>
      <c r="K69" s="19"/>
      <c r="L69" s="19"/>
      <c r="M69" s="19"/>
      <c r="N69" s="19"/>
      <c r="O69" s="34"/>
      <c r="P69" s="34"/>
    </row>
    <row r="70" spans="2:16" ht="16.5" customHeight="1">
      <c r="B70" s="26" t="s">
        <v>105</v>
      </c>
      <c r="C70" s="27">
        <v>0</v>
      </c>
      <c r="D70" s="27">
        <v>0</v>
      </c>
      <c r="E70" s="27">
        <v>0</v>
      </c>
      <c r="F70" s="27">
        <v>0</v>
      </c>
      <c r="G70" s="27">
        <v>0</v>
      </c>
      <c r="H70" s="27">
        <v>0</v>
      </c>
      <c r="I70" s="27">
        <v>200</v>
      </c>
      <c r="J70" s="27">
        <v>0</v>
      </c>
      <c r="K70" s="27">
        <v>0</v>
      </c>
      <c r="L70" s="27">
        <v>0</v>
      </c>
      <c r="M70" s="27">
        <v>0</v>
      </c>
      <c r="N70" s="27">
        <v>1500</v>
      </c>
      <c r="O70" s="30">
        <f>SUM(tblExpenseCategory_07[[#This Row],[jan]:[dec]])</f>
        <v>1700</v>
      </c>
      <c r="P70" s="30">
        <f>tblExpenseCategory_07[[#This Row],[year]]/12</f>
        <v>141.66666666666666</v>
      </c>
    </row>
    <row r="71" spans="2:16" ht="16.5" customHeight="1">
      <c r="B71" s="26" t="s">
        <v>103</v>
      </c>
      <c r="C71" s="27">
        <v>0</v>
      </c>
      <c r="D71" s="27">
        <v>0</v>
      </c>
      <c r="E71" s="27">
        <v>0</v>
      </c>
      <c r="F71" s="27">
        <v>0</v>
      </c>
      <c r="G71" s="27">
        <v>0</v>
      </c>
      <c r="H71" s="27">
        <v>0</v>
      </c>
      <c r="I71" s="27">
        <v>0</v>
      </c>
      <c r="J71" s="27">
        <v>0</v>
      </c>
      <c r="K71" s="27">
        <v>0</v>
      </c>
      <c r="L71" s="27">
        <v>0</v>
      </c>
      <c r="M71" s="27">
        <v>0</v>
      </c>
      <c r="N71" s="27">
        <v>0</v>
      </c>
      <c r="O71" s="30">
        <f>SUM(tblExpenseCategory_07[[#This Row],[jan]:[dec]])</f>
        <v>0</v>
      </c>
      <c r="P71" s="30">
        <f>tblExpenseCategory_07[[#This Row],[year]]/12</f>
        <v>0</v>
      </c>
    </row>
    <row r="72" spans="2:16" ht="16.5" customHeight="1">
      <c r="B72" s="26" t="s">
        <v>39</v>
      </c>
      <c r="C72" s="27">
        <v>0</v>
      </c>
      <c r="D72" s="27">
        <v>0</v>
      </c>
      <c r="E72" s="27">
        <v>0</v>
      </c>
      <c r="F72" s="27">
        <v>0</v>
      </c>
      <c r="G72" s="27">
        <v>0</v>
      </c>
      <c r="H72" s="27">
        <v>0</v>
      </c>
      <c r="I72" s="27">
        <v>0</v>
      </c>
      <c r="J72" s="27">
        <v>0</v>
      </c>
      <c r="K72" s="27">
        <v>0</v>
      </c>
      <c r="L72" s="27">
        <v>0</v>
      </c>
      <c r="M72" s="27">
        <v>0</v>
      </c>
      <c r="N72" s="27">
        <v>0</v>
      </c>
      <c r="O72" s="30">
        <f>SUM(tblExpenseCategory_07[[#This Row],[jan]:[dec]])</f>
        <v>0</v>
      </c>
      <c r="P72" s="30">
        <f>tblExpenseCategory_07[[#This Row],[year]]/12</f>
        <v>0</v>
      </c>
    </row>
    <row r="73" spans="2:16" ht="16.5" customHeight="1">
      <c r="B73" s="26" t="str">
        <f>UPPER("Total " &amp; B69)</f>
        <v>TOTAL MORALE</v>
      </c>
      <c r="C73" s="27">
        <f>SUM(tblExpenseCategory_07[jan])</f>
        <v>0</v>
      </c>
      <c r="D73" s="27">
        <f>SUM(tblExpenseCategory_07[feb])</f>
        <v>0</v>
      </c>
      <c r="E73" s="27">
        <f>SUM(tblExpenseCategory_07[mar])</f>
        <v>0</v>
      </c>
      <c r="F73" s="27">
        <f>SUM(tblExpenseCategory_07[apr])</f>
        <v>0</v>
      </c>
      <c r="G73" s="27">
        <f>SUM(tblExpenseCategory_07[may])</f>
        <v>0</v>
      </c>
      <c r="H73" s="27">
        <f>SUM(tblExpenseCategory_07[jun])</f>
        <v>0</v>
      </c>
      <c r="I73" s="27">
        <f>SUM(tblExpenseCategory_07[jul])</f>
        <v>200</v>
      </c>
      <c r="J73" s="27">
        <f>SUM(tblExpenseCategory_07[aug])</f>
        <v>0</v>
      </c>
      <c r="K73" s="27">
        <f>SUM(tblExpenseCategory_07[sep])</f>
        <v>0</v>
      </c>
      <c r="L73" s="27">
        <f>SUM(tblExpenseCategory_07[oct])</f>
        <v>0</v>
      </c>
      <c r="M73" s="27">
        <f>SUM(tblExpenseCategory_07[nov])</f>
        <v>0</v>
      </c>
      <c r="N73" s="27">
        <f>SUM(tblExpenseCategory_07[dec])</f>
        <v>1500</v>
      </c>
      <c r="O73" s="30">
        <f>SUM(tblExpenseCategory_07[year])</f>
        <v>1700</v>
      </c>
      <c r="P73" s="30">
        <f>tblExpenseCategory_07[[#Totals],[year]]/12</f>
        <v>141.66666666666666</v>
      </c>
    </row>
    <row r="74" spans="2:16" ht="16.5" customHeight="1">
      <c r="B74" s="39"/>
      <c r="C74" s="39"/>
      <c r="D74" s="39"/>
      <c r="E74" s="39"/>
      <c r="F74" s="39"/>
      <c r="G74" s="39"/>
      <c r="H74" s="39"/>
      <c r="I74" s="39"/>
      <c r="J74" s="39"/>
      <c r="K74" s="39"/>
      <c r="L74" s="39"/>
      <c r="M74" s="39"/>
      <c r="N74" s="39"/>
      <c r="O74" s="33"/>
      <c r="P74" s="33"/>
    </row>
    <row r="75" spans="2:16" ht="16.5" customHeight="1" thickBot="1">
      <c r="B75" s="15"/>
      <c r="C75" s="18"/>
      <c r="D75" s="18"/>
      <c r="E75" s="18"/>
      <c r="F75" s="18"/>
      <c r="G75" s="18"/>
      <c r="H75" s="18"/>
      <c r="I75" s="18"/>
      <c r="J75" s="18"/>
      <c r="K75" s="18"/>
      <c r="L75" s="18"/>
      <c r="M75" s="18"/>
      <c r="N75" s="18"/>
      <c r="O75" s="33"/>
      <c r="P75" s="33"/>
    </row>
    <row r="76" spans="2:16" ht="16.5" customHeight="1" thickTop="1">
      <c r="B76" s="20" t="s">
        <v>33</v>
      </c>
      <c r="C76" s="19"/>
      <c r="D76" s="19"/>
      <c r="E76" s="19"/>
      <c r="F76" s="19"/>
      <c r="G76" s="19"/>
      <c r="H76" s="19"/>
      <c r="I76" s="19"/>
      <c r="J76" s="19"/>
      <c r="K76" s="19"/>
      <c r="L76" s="19"/>
      <c r="M76" s="19"/>
      <c r="N76" s="19"/>
      <c r="O76" s="34"/>
      <c r="P76" s="34"/>
    </row>
    <row r="77" spans="2:16" ht="16.5" customHeight="1">
      <c r="B77" s="26" t="s">
        <v>42</v>
      </c>
      <c r="C77" s="27">
        <v>686</v>
      </c>
      <c r="D77" s="27">
        <v>686</v>
      </c>
      <c r="E77" s="27">
        <v>686</v>
      </c>
      <c r="F77" s="27">
        <v>686</v>
      </c>
      <c r="G77" s="27">
        <v>686</v>
      </c>
      <c r="H77" s="27">
        <v>686</v>
      </c>
      <c r="I77" s="27">
        <v>686</v>
      </c>
      <c r="J77" s="27">
        <v>686</v>
      </c>
      <c r="K77" s="27">
        <v>686</v>
      </c>
      <c r="L77" s="27">
        <v>686</v>
      </c>
      <c r="M77" s="27">
        <v>686</v>
      </c>
      <c r="N77" s="27">
        <v>686</v>
      </c>
      <c r="O77" s="30">
        <f>SUM(tblExpenseCategory_08[[#This Row],[jan]:[dec]])</f>
        <v>8232</v>
      </c>
      <c r="P77" s="30">
        <f>tblExpenseCategory_08[[#This Row],[year]]/12</f>
        <v>686</v>
      </c>
    </row>
    <row r="78" spans="2:16" ht="16.5" customHeight="1">
      <c r="B78" s="26" t="s">
        <v>106</v>
      </c>
      <c r="C78" s="27">
        <v>0</v>
      </c>
      <c r="D78" s="27">
        <v>0</v>
      </c>
      <c r="E78" s="27">
        <v>0</v>
      </c>
      <c r="F78" s="27">
        <v>0</v>
      </c>
      <c r="G78" s="27">
        <v>0</v>
      </c>
      <c r="H78" s="27">
        <v>0</v>
      </c>
      <c r="I78" s="27">
        <v>0</v>
      </c>
      <c r="J78" s="27">
        <v>0</v>
      </c>
      <c r="K78" s="27">
        <v>0</v>
      </c>
      <c r="L78" s="27">
        <v>0</v>
      </c>
      <c r="M78" s="27">
        <v>0</v>
      </c>
      <c r="N78" s="27">
        <v>0</v>
      </c>
      <c r="O78" s="30">
        <f>SUM(tblExpenseCategory_08[[#This Row],[jan]:[dec]])</f>
        <v>0</v>
      </c>
      <c r="P78" s="30">
        <f>tblExpenseCategory_08[[#This Row],[year]]/12</f>
        <v>0</v>
      </c>
    </row>
    <row r="79" spans="2:16" ht="16.5" customHeight="1">
      <c r="B79" s="26" t="s">
        <v>41</v>
      </c>
      <c r="C79" s="27">
        <v>250</v>
      </c>
      <c r="D79" s="27">
        <v>250</v>
      </c>
      <c r="E79" s="27">
        <v>250</v>
      </c>
      <c r="F79" s="27">
        <v>250</v>
      </c>
      <c r="G79" s="27">
        <v>250</v>
      </c>
      <c r="H79" s="27">
        <v>250</v>
      </c>
      <c r="I79" s="27">
        <v>250</v>
      </c>
      <c r="J79" s="27">
        <v>250</v>
      </c>
      <c r="K79" s="27">
        <v>250</v>
      </c>
      <c r="L79" s="27">
        <v>250</v>
      </c>
      <c r="M79" s="27">
        <v>250</v>
      </c>
      <c r="N79" s="27">
        <v>250</v>
      </c>
      <c r="O79" s="30">
        <f>SUM(tblExpenseCategory_08[[#This Row],[jan]:[dec]])</f>
        <v>3000</v>
      </c>
      <c r="P79" s="30">
        <f>tblExpenseCategory_08[[#This Row],[year]]/12</f>
        <v>250</v>
      </c>
    </row>
    <row r="80" spans="2:16" ht="16.5" customHeight="1">
      <c r="B80" s="26" t="str">
        <f>UPPER("Total " &amp; B76)</f>
        <v>TOTAL SUBSCRIPTIONS</v>
      </c>
      <c r="C80" s="27">
        <f>SUM(tblExpenseCategory_08[jan])</f>
        <v>936</v>
      </c>
      <c r="D80" s="27">
        <f>SUM(tblExpenseCategory_08[feb])</f>
        <v>936</v>
      </c>
      <c r="E80" s="27">
        <f>SUM(tblExpenseCategory_08[mar])</f>
        <v>936</v>
      </c>
      <c r="F80" s="27">
        <f>SUM(tblExpenseCategory_08[apr])</f>
        <v>936</v>
      </c>
      <c r="G80" s="27">
        <f>SUM(tblExpenseCategory_08[may])</f>
        <v>936</v>
      </c>
      <c r="H80" s="27">
        <f>SUM(tblExpenseCategory_08[jun])</f>
        <v>936</v>
      </c>
      <c r="I80" s="27">
        <f>SUM(tblExpenseCategory_08[jul])</f>
        <v>936</v>
      </c>
      <c r="J80" s="27">
        <f>SUM(tblExpenseCategory_08[aug])</f>
        <v>936</v>
      </c>
      <c r="K80" s="27">
        <f>SUM(tblExpenseCategory_08[sep])</f>
        <v>936</v>
      </c>
      <c r="L80" s="27">
        <f>SUM(tblExpenseCategory_08[oct])</f>
        <v>936</v>
      </c>
      <c r="M80" s="27">
        <f>SUM(tblExpenseCategory_08[nov])</f>
        <v>936</v>
      </c>
      <c r="N80" s="27">
        <f>SUM(tblExpenseCategory_08[dec])</f>
        <v>936</v>
      </c>
      <c r="O80" s="30">
        <f>SUM(tblExpenseCategory_08[year])</f>
        <v>11232</v>
      </c>
      <c r="P80" s="30">
        <f>tblExpenseCategory_08[[#Totals],[year]]/12</f>
        <v>936</v>
      </c>
    </row>
    <row r="81" spans="2:16" ht="16.5" customHeight="1">
      <c r="B81" s="39"/>
      <c r="C81" s="39"/>
      <c r="D81" s="39"/>
      <c r="E81" s="39"/>
      <c r="F81" s="39"/>
      <c r="G81" s="39"/>
      <c r="H81" s="39"/>
      <c r="I81" s="39"/>
      <c r="J81" s="39"/>
      <c r="K81" s="39"/>
      <c r="L81" s="39"/>
      <c r="M81" s="39"/>
      <c r="N81" s="39"/>
      <c r="O81" s="33"/>
      <c r="P81" s="33"/>
    </row>
    <row r="82" spans="2:16" ht="16.5" customHeight="1" thickBot="1">
      <c r="B82" s="15"/>
      <c r="C82" s="18"/>
      <c r="D82" s="18"/>
      <c r="E82" s="18"/>
      <c r="F82" s="18"/>
      <c r="G82" s="18"/>
      <c r="H82" s="18"/>
      <c r="I82" s="18"/>
      <c r="J82" s="18"/>
      <c r="K82" s="18"/>
      <c r="L82" s="18"/>
      <c r="M82" s="18"/>
      <c r="N82" s="18"/>
      <c r="O82" s="33"/>
      <c r="P82" s="33"/>
    </row>
    <row r="83" spans="2:16" ht="16.5" customHeight="1" thickTop="1">
      <c r="B83" s="20" t="s">
        <v>80</v>
      </c>
      <c r="C83" s="19"/>
      <c r="D83" s="19"/>
      <c r="E83" s="19"/>
      <c r="F83" s="19"/>
      <c r="G83" s="19"/>
      <c r="H83" s="19"/>
      <c r="I83" s="19"/>
      <c r="J83" s="19"/>
      <c r="K83" s="19"/>
      <c r="L83" s="19"/>
      <c r="M83" s="19"/>
      <c r="N83" s="19"/>
      <c r="O83" s="34"/>
      <c r="P83" s="34"/>
    </row>
    <row r="84" spans="2:16" ht="16.5" customHeight="1">
      <c r="B84" s="26" t="s">
        <v>111</v>
      </c>
      <c r="C84" s="27">
        <v>0</v>
      </c>
      <c r="D84" s="27">
        <v>0</v>
      </c>
      <c r="E84" s="27">
        <v>0</v>
      </c>
      <c r="F84" s="27">
        <v>5236</v>
      </c>
      <c r="G84" s="27">
        <v>0</v>
      </c>
      <c r="H84" s="27">
        <v>0</v>
      </c>
      <c r="I84" s="27">
        <v>0</v>
      </c>
      <c r="J84" s="27">
        <v>0</v>
      </c>
      <c r="K84" s="27">
        <v>0</v>
      </c>
      <c r="L84" s="27">
        <v>0</v>
      </c>
      <c r="M84" s="27">
        <v>0</v>
      </c>
      <c r="N84" s="27">
        <v>0</v>
      </c>
      <c r="O84" s="30">
        <f>SUM(tblExpenseCategory_09[[#This Row],[jan]:[dec]])</f>
        <v>5236</v>
      </c>
      <c r="P84" s="30">
        <f>tblExpenseCategory_09[[#This Row],[year]]/12</f>
        <v>436.33333333333331</v>
      </c>
    </row>
    <row r="85" spans="2:16" ht="16.5" customHeight="1">
      <c r="B85" s="26" t="s">
        <v>108</v>
      </c>
      <c r="C85" s="27">
        <v>0</v>
      </c>
      <c r="D85" s="27">
        <v>0</v>
      </c>
      <c r="E85" s="27">
        <v>0</v>
      </c>
      <c r="F85" s="27">
        <v>0</v>
      </c>
      <c r="G85" s="27">
        <v>0</v>
      </c>
      <c r="H85" s="27">
        <v>0</v>
      </c>
      <c r="I85" s="27">
        <v>0</v>
      </c>
      <c r="J85" s="27">
        <v>0</v>
      </c>
      <c r="K85" s="27">
        <v>0</v>
      </c>
      <c r="L85" s="27">
        <v>0</v>
      </c>
      <c r="M85" s="27">
        <v>0</v>
      </c>
      <c r="N85" s="27">
        <v>0</v>
      </c>
      <c r="O85" s="30">
        <f>SUM(tblExpenseCategory_09[[#This Row],[jan]:[dec]])</f>
        <v>0</v>
      </c>
      <c r="P85" s="30">
        <f>tblExpenseCategory_09[[#This Row],[year]]/12</f>
        <v>0</v>
      </c>
    </row>
    <row r="86" spans="2:16" ht="16.5" customHeight="1">
      <c r="B86" s="26" t="s">
        <v>110</v>
      </c>
      <c r="C86" s="27">
        <v>0</v>
      </c>
      <c r="D86" s="27">
        <v>0</v>
      </c>
      <c r="E86" s="27">
        <v>0</v>
      </c>
      <c r="F86" s="27">
        <v>0</v>
      </c>
      <c r="G86" s="27">
        <v>0</v>
      </c>
      <c r="H86" s="27">
        <v>0</v>
      </c>
      <c r="I86" s="27">
        <v>7262</v>
      </c>
      <c r="J86" s="27">
        <v>0</v>
      </c>
      <c r="K86" s="27">
        <v>0</v>
      </c>
      <c r="L86" s="27">
        <v>0</v>
      </c>
      <c r="M86" s="27">
        <v>0</v>
      </c>
      <c r="N86" s="27">
        <v>0</v>
      </c>
      <c r="O86" s="30">
        <f>SUM(tblExpenseCategory_09[[#This Row],[jan]:[dec]])</f>
        <v>7262</v>
      </c>
      <c r="P86" s="30">
        <f>tblExpenseCategory_09[[#This Row],[year]]/12</f>
        <v>605.16666666666663</v>
      </c>
    </row>
    <row r="87" spans="2:16" ht="16.5" customHeight="1">
      <c r="B87" s="26" t="str">
        <f>UPPER("Total " &amp; B83)</f>
        <v>TOTAL EQUIPMENT</v>
      </c>
      <c r="C87" s="27">
        <f>SUM(tblExpenseCategory_09[jan])</f>
        <v>0</v>
      </c>
      <c r="D87" s="27">
        <f>SUM(tblExpenseCategory_09[feb])</f>
        <v>0</v>
      </c>
      <c r="E87" s="27">
        <f>SUM(tblExpenseCategory_09[mar])</f>
        <v>0</v>
      </c>
      <c r="F87" s="27">
        <f>SUM(tblExpenseCategory_09[apr])</f>
        <v>5236</v>
      </c>
      <c r="G87" s="27">
        <f>SUM(tblExpenseCategory_09[may])</f>
        <v>0</v>
      </c>
      <c r="H87" s="27">
        <f>SUM(tblExpenseCategory_09[jun])</f>
        <v>0</v>
      </c>
      <c r="I87" s="27">
        <f>SUM(tblExpenseCategory_09[jul])</f>
        <v>7262</v>
      </c>
      <c r="J87" s="27">
        <f>SUM(tblExpenseCategory_09[aug])</f>
        <v>0</v>
      </c>
      <c r="K87" s="27">
        <f>SUM(tblExpenseCategory_09[sep])</f>
        <v>0</v>
      </c>
      <c r="L87" s="27">
        <f>SUM(tblExpenseCategory_09[oct])</f>
        <v>0</v>
      </c>
      <c r="M87" s="27">
        <f>SUM(tblExpenseCategory_09[nov])</f>
        <v>0</v>
      </c>
      <c r="N87" s="27">
        <f>SUM(tblExpenseCategory_09[dec])</f>
        <v>0</v>
      </c>
      <c r="O87" s="30">
        <f>SUM(tblExpenseCategory_09[year])</f>
        <v>12498</v>
      </c>
      <c r="P87" s="30">
        <f>tblExpenseCategory_09[[#Totals],[year]]/12</f>
        <v>1041.5</v>
      </c>
    </row>
    <row r="88" spans="2:16" ht="16.5" customHeight="1">
      <c r="B88" s="39"/>
      <c r="C88" s="39"/>
      <c r="D88" s="39"/>
      <c r="E88" s="39"/>
      <c r="F88" s="39"/>
      <c r="G88" s="39"/>
      <c r="H88" s="39"/>
      <c r="I88" s="39"/>
      <c r="J88" s="39"/>
      <c r="K88" s="39"/>
      <c r="L88" s="39"/>
      <c r="M88" s="39"/>
      <c r="N88" s="39"/>
      <c r="O88" s="33"/>
      <c r="P88" s="33"/>
    </row>
    <row r="89" spans="2:16" ht="16.5" customHeight="1" thickBot="1">
      <c r="B89" s="15"/>
      <c r="C89" s="18"/>
      <c r="D89" s="18"/>
      <c r="E89" s="18"/>
      <c r="F89" s="18"/>
      <c r="G89" s="18"/>
      <c r="H89" s="18"/>
      <c r="I89" s="18"/>
      <c r="J89" s="18"/>
      <c r="K89" s="18"/>
      <c r="L89" s="18"/>
      <c r="M89" s="18"/>
      <c r="N89" s="18"/>
      <c r="O89" s="33"/>
      <c r="P89" s="33"/>
    </row>
    <row r="90" spans="2:16" ht="16.5" customHeight="1" thickTop="1">
      <c r="B90" s="20" t="s">
        <v>35</v>
      </c>
      <c r="C90" s="19"/>
      <c r="D90" s="19"/>
      <c r="E90" s="19"/>
      <c r="F90" s="19"/>
      <c r="G90" s="19"/>
      <c r="H90" s="19"/>
      <c r="I90" s="19"/>
      <c r="J90" s="19"/>
      <c r="K90" s="19"/>
      <c r="L90" s="19"/>
      <c r="M90" s="19"/>
      <c r="N90" s="19"/>
      <c r="O90" s="34"/>
      <c r="P90" s="34"/>
    </row>
    <row r="91" spans="2:16" ht="16.5" customHeight="1">
      <c r="B91" s="26" t="s">
        <v>112</v>
      </c>
      <c r="C91" s="27">
        <v>0</v>
      </c>
      <c r="D91" s="27">
        <v>0</v>
      </c>
      <c r="E91" s="27">
        <v>0</v>
      </c>
      <c r="F91" s="27">
        <v>0</v>
      </c>
      <c r="G91" s="27">
        <v>0</v>
      </c>
      <c r="H91" s="27">
        <v>0</v>
      </c>
      <c r="I91" s="27">
        <v>0</v>
      </c>
      <c r="J91" s="27">
        <v>0</v>
      </c>
      <c r="K91" s="27">
        <v>0</v>
      </c>
      <c r="L91" s="27">
        <v>0</v>
      </c>
      <c r="M91" s="27">
        <v>0</v>
      </c>
      <c r="N91" s="27">
        <v>0</v>
      </c>
      <c r="O91" s="30">
        <f>SUM(tblExpenseCategory_10[[#This Row],[jan]:[dec]])</f>
        <v>0</v>
      </c>
      <c r="P91" s="30">
        <f>tblExpenseCategory_10[[#This Row],[year]]/12</f>
        <v>0</v>
      </c>
    </row>
    <row r="92" spans="2:16" ht="16.5" customHeight="1">
      <c r="B92" s="26" t="str">
        <f>UPPER("Total " &amp; B90)</f>
        <v>TOTAL MISCELLANEOUS</v>
      </c>
      <c r="C92" s="27">
        <f>SUM(tblExpenseCategory_10[jan])</f>
        <v>0</v>
      </c>
      <c r="D92" s="27">
        <f>SUM(tblExpenseCategory_10[feb])</f>
        <v>0</v>
      </c>
      <c r="E92" s="27">
        <f>SUM(tblExpenseCategory_10[mar])</f>
        <v>0</v>
      </c>
      <c r="F92" s="27">
        <f>SUM(tblExpenseCategory_10[apr])</f>
        <v>0</v>
      </c>
      <c r="G92" s="27">
        <f>SUM(tblExpenseCategory_10[may])</f>
        <v>0</v>
      </c>
      <c r="H92" s="27">
        <f>SUM(tblExpenseCategory_10[jun])</f>
        <v>0</v>
      </c>
      <c r="I92" s="27">
        <f>SUM(tblExpenseCategory_10[jul])</f>
        <v>0</v>
      </c>
      <c r="J92" s="27">
        <f>SUM(tblExpenseCategory_10[aug])</f>
        <v>0</v>
      </c>
      <c r="K92" s="27">
        <f>SUM(tblExpenseCategory_10[sep])</f>
        <v>0</v>
      </c>
      <c r="L92" s="27">
        <f>SUM(tblExpenseCategory_10[oct])</f>
        <v>0</v>
      </c>
      <c r="M92" s="27">
        <f>SUM(tblExpenseCategory_10[nov])</f>
        <v>0</v>
      </c>
      <c r="N92" s="27">
        <f>SUM(tblExpenseCategory_10[dec])</f>
        <v>0</v>
      </c>
      <c r="O92" s="30">
        <f>SUM(tblExpenseCategory_10[year])</f>
        <v>0</v>
      </c>
      <c r="P92" s="30">
        <f>tblExpenseCategory_10[[#Totals],[year]]/12</f>
        <v>0</v>
      </c>
    </row>
    <row r="93" spans="2:16" ht="16.5" customHeight="1">
      <c r="B93" s="39"/>
      <c r="C93" s="39"/>
      <c r="D93" s="39"/>
      <c r="E93" s="39"/>
      <c r="F93" s="39"/>
      <c r="G93" s="39"/>
      <c r="H93" s="39"/>
      <c r="I93" s="39"/>
      <c r="J93" s="39"/>
      <c r="K93" s="39"/>
      <c r="L93" s="39"/>
      <c r="M93" s="39"/>
      <c r="N93" s="39"/>
      <c r="O93" s="33"/>
      <c r="P93" s="33"/>
    </row>
    <row r="94" spans="2:16" ht="16.5" customHeight="1" thickBot="1">
      <c r="B94" s="15"/>
      <c r="C94" s="18"/>
      <c r="D94" s="18"/>
      <c r="E94" s="18"/>
      <c r="F94" s="18"/>
      <c r="G94" s="18"/>
      <c r="H94" s="18"/>
      <c r="I94" s="18"/>
      <c r="J94" s="18"/>
      <c r="K94" s="18"/>
      <c r="L94" s="18"/>
      <c r="M94" s="18"/>
      <c r="N94" s="18"/>
      <c r="O94" s="33"/>
      <c r="P94" s="33"/>
    </row>
    <row r="95" spans="2:16" ht="16.5" customHeight="1" thickTop="1">
      <c r="B95" s="20" t="s">
        <v>2</v>
      </c>
      <c r="C95" s="19"/>
      <c r="D95" s="19"/>
      <c r="E95" s="19"/>
      <c r="F95" s="19"/>
      <c r="G95" s="19"/>
      <c r="H95" s="19"/>
      <c r="I95" s="19"/>
      <c r="J95" s="19"/>
      <c r="K95" s="19"/>
      <c r="L95" s="19"/>
      <c r="M95" s="19"/>
      <c r="N95" s="19"/>
      <c r="O95" s="34"/>
      <c r="P95" s="34"/>
    </row>
    <row r="96" spans="2:16" ht="16.5" customHeight="1">
      <c r="B96" s="26"/>
      <c r="C96" s="27"/>
      <c r="D96" s="27"/>
      <c r="E96" s="27"/>
      <c r="F96" s="27"/>
      <c r="G96" s="27"/>
      <c r="H96" s="27"/>
      <c r="I96" s="27"/>
      <c r="J96" s="27"/>
      <c r="K96" s="27"/>
      <c r="L96" s="27"/>
      <c r="M96" s="27"/>
      <c r="N96" s="27"/>
      <c r="O96" s="30">
        <f>SUM(tblExpenseCategory_11[[#This Row],[jan]:[dec]])</f>
        <v>0</v>
      </c>
      <c r="P96" s="30">
        <f>tblExpenseCategory_11[[#This Row],[year]]/12</f>
        <v>0</v>
      </c>
    </row>
    <row r="97" spans="2:16" ht="16.5" customHeight="1">
      <c r="B97" s="26"/>
      <c r="C97" s="27"/>
      <c r="D97" s="27"/>
      <c r="E97" s="27"/>
      <c r="F97" s="27"/>
      <c r="G97" s="27"/>
      <c r="H97" s="27"/>
      <c r="I97" s="27"/>
      <c r="J97" s="27"/>
      <c r="K97" s="27"/>
      <c r="L97" s="27"/>
      <c r="M97" s="27"/>
      <c r="N97" s="27"/>
      <c r="O97" s="30">
        <f>SUM(tblExpenseCategory_11[[#This Row],[jan]:[dec]])</f>
        <v>0</v>
      </c>
      <c r="P97" s="30">
        <f>tblExpenseCategory_11[[#This Row],[year]]/12</f>
        <v>0</v>
      </c>
    </row>
    <row r="98" spans="2:16" ht="16.5" customHeight="1">
      <c r="B98" s="26"/>
      <c r="C98" s="27"/>
      <c r="D98" s="27"/>
      <c r="E98" s="27"/>
      <c r="F98" s="27"/>
      <c r="G98" s="27"/>
      <c r="H98" s="27"/>
      <c r="I98" s="27"/>
      <c r="J98" s="27"/>
      <c r="K98" s="27"/>
      <c r="L98" s="27"/>
      <c r="M98" s="27"/>
      <c r="N98" s="27"/>
      <c r="O98" s="30">
        <f>SUM(tblExpenseCategory_11[[#This Row],[jan]:[dec]])</f>
        <v>0</v>
      </c>
      <c r="P98" s="30">
        <f>tblExpenseCategory_11[[#This Row],[year]]/12</f>
        <v>0</v>
      </c>
    </row>
    <row r="99" spans="2:16" ht="16.5" customHeight="1">
      <c r="B99" s="26" t="str">
        <f>UPPER("Total " &amp; B95)</f>
        <v xml:space="preserve">TOTAL  </v>
      </c>
      <c r="C99" s="27">
        <f>SUM(tblExpenseCategory_11[jan])</f>
        <v>0</v>
      </c>
      <c r="D99" s="27">
        <f>SUM(tblExpenseCategory_11[feb])</f>
        <v>0</v>
      </c>
      <c r="E99" s="27">
        <f>SUM(tblExpenseCategory_11[mar])</f>
        <v>0</v>
      </c>
      <c r="F99" s="27">
        <f>SUM(tblExpenseCategory_11[apr])</f>
        <v>0</v>
      </c>
      <c r="G99" s="27">
        <f>SUM(tblExpenseCategory_11[may])</f>
        <v>0</v>
      </c>
      <c r="H99" s="27">
        <f>SUM(tblExpenseCategory_11[jun])</f>
        <v>0</v>
      </c>
      <c r="I99" s="27">
        <f>SUM(tblExpenseCategory_11[jul])</f>
        <v>0</v>
      </c>
      <c r="J99" s="27">
        <f>SUM(tblExpenseCategory_11[aug])</f>
        <v>0</v>
      </c>
      <c r="K99" s="27">
        <f>SUM(tblExpenseCategory_11[sep])</f>
        <v>0</v>
      </c>
      <c r="L99" s="27">
        <f>SUM(tblExpenseCategory_11[oct])</f>
        <v>0</v>
      </c>
      <c r="M99" s="27">
        <f>SUM(tblExpenseCategory_11[nov])</f>
        <v>0</v>
      </c>
      <c r="N99" s="27">
        <f>SUM(tblExpenseCategory_11[dec])</f>
        <v>0</v>
      </c>
      <c r="O99" s="30">
        <f>SUM(tblExpenseCategory_11[year])</f>
        <v>0</v>
      </c>
      <c r="P99" s="30">
        <f>tblExpenseCategory_11[[#Totals],[year]]/12</f>
        <v>0</v>
      </c>
    </row>
    <row r="100" spans="2:16" ht="16.5" customHeight="1">
      <c r="B100" s="39"/>
      <c r="C100" s="39"/>
      <c r="D100" s="39"/>
      <c r="E100" s="39"/>
      <c r="F100" s="39"/>
      <c r="G100" s="39"/>
      <c r="H100" s="39"/>
      <c r="I100" s="39"/>
      <c r="J100" s="39"/>
      <c r="K100" s="39"/>
      <c r="L100" s="39"/>
      <c r="M100" s="39"/>
      <c r="N100" s="39"/>
      <c r="O100" s="33"/>
      <c r="P100" s="33"/>
    </row>
    <row r="101" spans="2:16" ht="16.5" customHeight="1" thickBot="1">
      <c r="B101" s="15"/>
      <c r="C101" s="18"/>
      <c r="D101" s="18"/>
      <c r="E101" s="18"/>
      <c r="F101" s="18"/>
      <c r="G101" s="18"/>
      <c r="H101" s="18"/>
      <c r="I101" s="18"/>
      <c r="J101" s="18"/>
      <c r="K101" s="18"/>
      <c r="L101" s="18"/>
      <c r="M101" s="18"/>
      <c r="N101" s="18"/>
      <c r="O101" s="33"/>
      <c r="P101" s="33"/>
    </row>
    <row r="102" spans="2:16" ht="16.5" customHeight="1" thickTop="1">
      <c r="B102" s="20" t="s">
        <v>2</v>
      </c>
      <c r="C102" s="19"/>
      <c r="D102" s="19"/>
      <c r="E102" s="19"/>
      <c r="F102" s="19"/>
      <c r="G102" s="19"/>
      <c r="H102" s="19"/>
      <c r="I102" s="19"/>
      <c r="J102" s="19"/>
      <c r="K102" s="19"/>
      <c r="L102" s="19"/>
      <c r="M102" s="19"/>
      <c r="N102" s="19"/>
      <c r="O102" s="34"/>
      <c r="P102" s="34"/>
    </row>
    <row r="103" spans="2:16" ht="16.5" customHeight="1">
      <c r="B103" s="26"/>
      <c r="C103" s="27"/>
      <c r="D103" s="27"/>
      <c r="E103" s="27"/>
      <c r="F103" s="27"/>
      <c r="G103" s="27"/>
      <c r="H103" s="27"/>
      <c r="I103" s="27"/>
      <c r="J103" s="27"/>
      <c r="K103" s="27"/>
      <c r="L103" s="27"/>
      <c r="M103" s="27"/>
      <c r="N103" s="27"/>
      <c r="O103" s="30">
        <f>SUM(tblExpenseCategory_12[[#This Row],[jan]:[dec]])</f>
        <v>0</v>
      </c>
      <c r="P103" s="30">
        <f>tblExpenseCategory_12[[#This Row],[year]]/12</f>
        <v>0</v>
      </c>
    </row>
    <row r="104" spans="2:16" ht="16.5" customHeight="1">
      <c r="B104" s="26"/>
      <c r="C104" s="27"/>
      <c r="D104" s="27"/>
      <c r="E104" s="27"/>
      <c r="F104" s="27"/>
      <c r="G104" s="27"/>
      <c r="H104" s="27"/>
      <c r="I104" s="27"/>
      <c r="J104" s="27"/>
      <c r="K104" s="27"/>
      <c r="L104" s="27"/>
      <c r="M104" s="27"/>
      <c r="N104" s="27"/>
      <c r="O104" s="30">
        <f>SUM(tblExpenseCategory_12[[#This Row],[jan]:[dec]])</f>
        <v>0</v>
      </c>
      <c r="P104" s="30">
        <f>tblExpenseCategory_12[[#This Row],[year]]/12</f>
        <v>0</v>
      </c>
    </row>
    <row r="105" spans="2:16" ht="16.5" customHeight="1">
      <c r="B105" s="26"/>
      <c r="C105" s="27"/>
      <c r="D105" s="27"/>
      <c r="E105" s="27"/>
      <c r="F105" s="27"/>
      <c r="G105" s="27"/>
      <c r="H105" s="27"/>
      <c r="I105" s="27"/>
      <c r="J105" s="27"/>
      <c r="K105" s="27"/>
      <c r="L105" s="27"/>
      <c r="M105" s="27"/>
      <c r="N105" s="27"/>
      <c r="O105" s="30">
        <f>SUM(tblExpenseCategory_12[[#This Row],[jan]:[dec]])</f>
        <v>0</v>
      </c>
      <c r="P105" s="30">
        <f>tblExpenseCategory_12[[#This Row],[year]]/12</f>
        <v>0</v>
      </c>
    </row>
    <row r="106" spans="2:16" ht="16.5" customHeight="1">
      <c r="B106" s="26" t="str">
        <f>UPPER("Total " &amp; B102)</f>
        <v xml:space="preserve">TOTAL  </v>
      </c>
      <c r="C106" s="27">
        <f>SUM(tblExpenseCategory_12[jan])</f>
        <v>0</v>
      </c>
      <c r="D106" s="27">
        <f>SUM(tblExpenseCategory_12[feb])</f>
        <v>0</v>
      </c>
      <c r="E106" s="27">
        <f>SUM(tblExpenseCategory_12[mar])</f>
        <v>0</v>
      </c>
      <c r="F106" s="27">
        <f>SUM(tblExpenseCategory_12[apr])</f>
        <v>0</v>
      </c>
      <c r="G106" s="27">
        <f>SUM(tblExpenseCategory_12[may])</f>
        <v>0</v>
      </c>
      <c r="H106" s="27">
        <f>SUM(tblExpenseCategory_12[jun])</f>
        <v>0</v>
      </c>
      <c r="I106" s="27">
        <f>SUM(tblExpenseCategory_12[jul])</f>
        <v>0</v>
      </c>
      <c r="J106" s="27">
        <f>SUM(tblExpenseCategory_12[aug])</f>
        <v>0</v>
      </c>
      <c r="K106" s="27">
        <f>SUM(tblExpenseCategory_12[sep])</f>
        <v>0</v>
      </c>
      <c r="L106" s="27">
        <f>SUM(tblExpenseCategory_12[oct])</f>
        <v>0</v>
      </c>
      <c r="M106" s="27">
        <f>SUM(tblExpenseCategory_12[nov])</f>
        <v>0</v>
      </c>
      <c r="N106" s="27">
        <f>SUM(tblExpenseCategory_12[dec])</f>
        <v>0</v>
      </c>
      <c r="O106" s="30">
        <f>SUM(tblExpenseCategory_12[year])</f>
        <v>0</v>
      </c>
      <c r="P106" s="30">
        <f>tblExpenseCategory_12[[#Totals],[year]]/12</f>
        <v>0</v>
      </c>
    </row>
    <row r="107" spans="2:16" ht="16.5" customHeight="1">
      <c r="B107" s="39"/>
      <c r="C107" s="39"/>
      <c r="D107" s="39"/>
      <c r="E107" s="39"/>
      <c r="F107" s="39"/>
      <c r="G107" s="39"/>
      <c r="H107" s="39"/>
      <c r="I107" s="39"/>
      <c r="J107" s="39"/>
      <c r="K107" s="39"/>
      <c r="L107" s="39"/>
      <c r="M107" s="39"/>
      <c r="N107" s="39"/>
      <c r="O107" s="33"/>
      <c r="P107" s="33"/>
    </row>
    <row r="108" spans="2:16" ht="16.5" customHeight="1" thickBot="1">
      <c r="B108" s="15"/>
      <c r="C108" s="18"/>
      <c r="D108" s="18"/>
      <c r="E108" s="18"/>
      <c r="F108" s="18"/>
      <c r="G108" s="18"/>
      <c r="H108" s="18"/>
      <c r="I108" s="18"/>
      <c r="J108" s="18"/>
      <c r="K108" s="18"/>
      <c r="L108" s="18"/>
      <c r="M108" s="18"/>
      <c r="N108" s="18"/>
      <c r="O108" s="33"/>
      <c r="P108" s="33"/>
    </row>
    <row r="109" spans="2:16" ht="16.5" customHeight="1" thickTop="1">
      <c r="B109" s="20" t="s">
        <v>2</v>
      </c>
      <c r="C109" s="19"/>
      <c r="D109" s="19"/>
      <c r="E109" s="19"/>
      <c r="F109" s="19"/>
      <c r="G109" s="19"/>
      <c r="H109" s="19"/>
      <c r="I109" s="19"/>
      <c r="J109" s="19"/>
      <c r="K109" s="19"/>
      <c r="L109" s="19"/>
      <c r="M109" s="19"/>
      <c r="N109" s="19"/>
      <c r="O109" s="34"/>
      <c r="P109" s="34"/>
    </row>
    <row r="110" spans="2:16" ht="16.5" customHeight="1">
      <c r="B110" s="26"/>
      <c r="C110" s="27"/>
      <c r="D110" s="27"/>
      <c r="E110" s="27"/>
      <c r="F110" s="27"/>
      <c r="G110" s="27"/>
      <c r="H110" s="27"/>
      <c r="I110" s="27"/>
      <c r="J110" s="27"/>
      <c r="K110" s="27"/>
      <c r="L110" s="27"/>
      <c r="M110" s="27"/>
      <c r="N110" s="27"/>
      <c r="O110" s="30">
        <f>SUM(tblExpenseCategory_13[[#This Row],[jan]:[dec]])</f>
        <v>0</v>
      </c>
      <c r="P110" s="30">
        <f>tblExpenseCategory_13[[#This Row],[year]]/12</f>
        <v>0</v>
      </c>
    </row>
    <row r="111" spans="2:16" ht="16.5" customHeight="1">
      <c r="B111" s="26"/>
      <c r="C111" s="27"/>
      <c r="D111" s="27"/>
      <c r="E111" s="27"/>
      <c r="F111" s="27"/>
      <c r="G111" s="27"/>
      <c r="H111" s="27"/>
      <c r="I111" s="27"/>
      <c r="J111" s="27"/>
      <c r="K111" s="27"/>
      <c r="L111" s="27"/>
      <c r="M111" s="27"/>
      <c r="N111" s="27"/>
      <c r="O111" s="30">
        <f>SUM(tblExpenseCategory_13[[#This Row],[jan]:[dec]])</f>
        <v>0</v>
      </c>
      <c r="P111" s="30">
        <f>tblExpenseCategory_13[[#This Row],[year]]/12</f>
        <v>0</v>
      </c>
    </row>
    <row r="112" spans="2:16" ht="16.5" customHeight="1">
      <c r="B112" s="26"/>
      <c r="C112" s="27"/>
      <c r="D112" s="27"/>
      <c r="E112" s="27"/>
      <c r="F112" s="27"/>
      <c r="G112" s="27"/>
      <c r="H112" s="27"/>
      <c r="I112" s="27"/>
      <c r="J112" s="27"/>
      <c r="K112" s="27"/>
      <c r="L112" s="27"/>
      <c r="M112" s="27"/>
      <c r="N112" s="27"/>
      <c r="O112" s="30">
        <f>SUM(tblExpenseCategory_13[[#This Row],[jan]:[dec]])</f>
        <v>0</v>
      </c>
      <c r="P112" s="30">
        <f>tblExpenseCategory_13[[#This Row],[year]]/12</f>
        <v>0</v>
      </c>
    </row>
    <row r="113" spans="2:16" ht="16.5" customHeight="1">
      <c r="B113" s="26" t="str">
        <f>UPPER("Total " &amp; B109)</f>
        <v xml:space="preserve">TOTAL  </v>
      </c>
      <c r="C113" s="27">
        <f>SUM(tblExpenseCategory_13[jan])</f>
        <v>0</v>
      </c>
      <c r="D113" s="27">
        <f>SUM(tblExpenseCategory_13[feb])</f>
        <v>0</v>
      </c>
      <c r="E113" s="27">
        <f>SUM(tblExpenseCategory_13[mar])</f>
        <v>0</v>
      </c>
      <c r="F113" s="27">
        <f>SUM(tblExpenseCategory_13[apr])</f>
        <v>0</v>
      </c>
      <c r="G113" s="27">
        <f>SUM(tblExpenseCategory_13[may])</f>
        <v>0</v>
      </c>
      <c r="H113" s="27">
        <f>SUM(tblExpenseCategory_13[jun])</f>
        <v>0</v>
      </c>
      <c r="I113" s="27">
        <f>SUM(tblExpenseCategory_13[jul])</f>
        <v>0</v>
      </c>
      <c r="J113" s="27">
        <f>SUM(tblExpenseCategory_13[aug])</f>
        <v>0</v>
      </c>
      <c r="K113" s="27">
        <f>SUM(tblExpenseCategory_13[sep])</f>
        <v>0</v>
      </c>
      <c r="L113" s="27">
        <f>SUM(tblExpenseCategory_13[oct])</f>
        <v>0</v>
      </c>
      <c r="M113" s="27">
        <f>SUM(tblExpenseCategory_13[nov])</f>
        <v>0</v>
      </c>
      <c r="N113" s="27">
        <f>SUM(tblExpenseCategory_13[dec])</f>
        <v>0</v>
      </c>
      <c r="O113" s="30">
        <f>SUM(tblExpenseCategory_13[year])</f>
        <v>0</v>
      </c>
      <c r="P113" s="30">
        <f>tblExpenseCategory_13[[#Totals],[year]]/12</f>
        <v>0</v>
      </c>
    </row>
    <row r="114" spans="2:16" ht="16.5" customHeight="1">
      <c r="B114" s="39"/>
      <c r="C114" s="39"/>
      <c r="D114" s="39"/>
      <c r="E114" s="39"/>
      <c r="F114" s="39"/>
      <c r="G114" s="39"/>
      <c r="H114" s="39"/>
      <c r="I114" s="39"/>
      <c r="J114" s="39"/>
      <c r="K114" s="39"/>
      <c r="L114" s="39"/>
      <c r="M114" s="39"/>
      <c r="N114" s="39"/>
      <c r="O114" s="33"/>
      <c r="P114" s="33"/>
    </row>
    <row r="115" spans="2:16" ht="16.5" customHeight="1" thickBot="1">
      <c r="B115" s="15"/>
      <c r="C115" s="18"/>
      <c r="D115" s="18"/>
      <c r="E115" s="18"/>
      <c r="F115" s="18"/>
      <c r="G115" s="18"/>
      <c r="H115" s="18"/>
      <c r="I115" s="18"/>
      <c r="J115" s="18"/>
      <c r="K115" s="18"/>
      <c r="L115" s="18"/>
      <c r="M115" s="18"/>
      <c r="N115" s="18"/>
      <c r="O115" s="33"/>
      <c r="P115" s="33"/>
    </row>
    <row r="116" spans="2:16" ht="16.5" customHeight="1" thickTop="1">
      <c r="B116" s="20" t="s">
        <v>2</v>
      </c>
      <c r="C116" s="19"/>
      <c r="D116" s="19"/>
      <c r="E116" s="19"/>
      <c r="F116" s="19"/>
      <c r="G116" s="19"/>
      <c r="H116" s="19"/>
      <c r="I116" s="19"/>
      <c r="J116" s="19"/>
      <c r="K116" s="19"/>
      <c r="L116" s="19"/>
      <c r="M116" s="19"/>
      <c r="N116" s="19"/>
      <c r="O116" s="34"/>
      <c r="P116" s="34"/>
    </row>
    <row r="117" spans="2:16" ht="16.5" customHeight="1">
      <c r="B117" s="26"/>
      <c r="C117" s="27"/>
      <c r="D117" s="27"/>
      <c r="E117" s="27"/>
      <c r="F117" s="27"/>
      <c r="G117" s="27"/>
      <c r="H117" s="27"/>
      <c r="I117" s="27"/>
      <c r="J117" s="27"/>
      <c r="K117" s="27"/>
      <c r="L117" s="27"/>
      <c r="M117" s="27"/>
      <c r="N117" s="27"/>
      <c r="O117" s="30">
        <f>SUM(tblExpenseCategory_14[[#This Row],[jan]:[dec]])</f>
        <v>0</v>
      </c>
      <c r="P117" s="30">
        <f>tblExpenseCategory_14[[#This Row],[year]]/12</f>
        <v>0</v>
      </c>
    </row>
    <row r="118" spans="2:16" ht="16.5" customHeight="1">
      <c r="B118" s="26"/>
      <c r="C118" s="27"/>
      <c r="D118" s="27"/>
      <c r="E118" s="27"/>
      <c r="F118" s="27"/>
      <c r="G118" s="27"/>
      <c r="H118" s="27"/>
      <c r="I118" s="27"/>
      <c r="J118" s="27"/>
      <c r="K118" s="27"/>
      <c r="L118" s="27"/>
      <c r="M118" s="27"/>
      <c r="N118" s="27"/>
      <c r="O118" s="30">
        <f>SUM(tblExpenseCategory_14[[#This Row],[jan]:[dec]])</f>
        <v>0</v>
      </c>
      <c r="P118" s="30">
        <f>tblExpenseCategory_14[[#This Row],[year]]/12</f>
        <v>0</v>
      </c>
    </row>
    <row r="119" spans="2:16" ht="16.5" customHeight="1">
      <c r="B119" s="26"/>
      <c r="C119" s="27"/>
      <c r="D119" s="27"/>
      <c r="E119" s="27"/>
      <c r="F119" s="27"/>
      <c r="G119" s="27"/>
      <c r="H119" s="27"/>
      <c r="I119" s="27"/>
      <c r="J119" s="27"/>
      <c r="K119" s="27"/>
      <c r="L119" s="27"/>
      <c r="M119" s="27"/>
      <c r="N119" s="27"/>
      <c r="O119" s="30">
        <f>SUM(tblExpenseCategory_14[[#This Row],[jan]:[dec]])</f>
        <v>0</v>
      </c>
      <c r="P119" s="30">
        <f>tblExpenseCategory_14[[#This Row],[year]]/12</f>
        <v>0</v>
      </c>
    </row>
    <row r="120" spans="2:16" ht="16.5" customHeight="1">
      <c r="B120" s="26" t="str">
        <f>UPPER("Total " &amp; B116)</f>
        <v xml:space="preserve">TOTAL  </v>
      </c>
      <c r="C120" s="27">
        <f>SUM(tblExpenseCategory_14[jan])</f>
        <v>0</v>
      </c>
      <c r="D120" s="27">
        <f>SUM(tblExpenseCategory_14[feb])</f>
        <v>0</v>
      </c>
      <c r="E120" s="27">
        <f>SUM(tblExpenseCategory_14[mar])</f>
        <v>0</v>
      </c>
      <c r="F120" s="27">
        <f>SUM(tblExpenseCategory_14[apr])</f>
        <v>0</v>
      </c>
      <c r="G120" s="27">
        <f>SUM(tblExpenseCategory_14[may])</f>
        <v>0</v>
      </c>
      <c r="H120" s="27">
        <f>SUM(tblExpenseCategory_14[jun])</f>
        <v>0</v>
      </c>
      <c r="I120" s="27">
        <f>SUM(tblExpenseCategory_14[jul])</f>
        <v>0</v>
      </c>
      <c r="J120" s="27">
        <f>SUM(tblExpenseCategory_14[aug])</f>
        <v>0</v>
      </c>
      <c r="K120" s="27">
        <f>SUM(tblExpenseCategory_14[sep])</f>
        <v>0</v>
      </c>
      <c r="L120" s="27">
        <f>SUM(tblExpenseCategory_14[oct])</f>
        <v>0</v>
      </c>
      <c r="M120" s="27">
        <f>SUM(tblExpenseCategory_14[nov])</f>
        <v>0</v>
      </c>
      <c r="N120" s="27">
        <f>SUM(tblExpenseCategory_14[dec])</f>
        <v>0</v>
      </c>
      <c r="O120" s="30">
        <f>SUM(tblExpenseCategory_14[year])</f>
        <v>0</v>
      </c>
      <c r="P120" s="30">
        <f>tblExpenseCategory_14[[#Totals],[year]]/12</f>
        <v>0</v>
      </c>
    </row>
    <row r="121" spans="2:16" ht="16.5" customHeight="1">
      <c r="B121" s="39"/>
      <c r="C121" s="39"/>
      <c r="D121" s="39"/>
      <c r="E121" s="39"/>
      <c r="F121" s="39"/>
      <c r="G121" s="39"/>
      <c r="H121" s="39"/>
      <c r="I121" s="39"/>
      <c r="J121" s="39"/>
      <c r="K121" s="39"/>
      <c r="L121" s="39"/>
      <c r="M121" s="39"/>
      <c r="N121" s="39"/>
      <c r="O121" s="33"/>
      <c r="P121" s="33"/>
    </row>
    <row r="122" spans="2:16" ht="16.5" customHeight="1" thickBot="1">
      <c r="B122" s="15"/>
      <c r="C122" s="18"/>
      <c r="D122" s="18"/>
      <c r="E122" s="18"/>
      <c r="F122" s="18"/>
      <c r="G122" s="18"/>
      <c r="H122" s="18"/>
      <c r="I122" s="18"/>
      <c r="J122" s="18"/>
      <c r="K122" s="18"/>
      <c r="L122" s="18"/>
      <c r="M122" s="18"/>
      <c r="N122" s="18"/>
      <c r="O122" s="33"/>
      <c r="P122" s="33"/>
    </row>
    <row r="123" spans="2:16" ht="16.5" customHeight="1" thickTop="1">
      <c r="B123" s="20" t="s">
        <v>2</v>
      </c>
      <c r="C123" s="19"/>
      <c r="D123" s="19"/>
      <c r="E123" s="19"/>
      <c r="F123" s="19"/>
      <c r="G123" s="19"/>
      <c r="H123" s="19"/>
      <c r="I123" s="19"/>
      <c r="J123" s="19"/>
      <c r="K123" s="19"/>
      <c r="L123" s="19"/>
      <c r="M123" s="19"/>
      <c r="N123" s="19"/>
      <c r="O123" s="34"/>
      <c r="P123" s="34"/>
    </row>
    <row r="124" spans="2:16" ht="16.5" customHeight="1">
      <c r="B124" s="26"/>
      <c r="C124" s="27"/>
      <c r="D124" s="27"/>
      <c r="E124" s="27"/>
      <c r="F124" s="27"/>
      <c r="G124" s="27"/>
      <c r="H124" s="27"/>
      <c r="I124" s="27"/>
      <c r="J124" s="27"/>
      <c r="K124" s="27"/>
      <c r="L124" s="27"/>
      <c r="M124" s="27"/>
      <c r="N124" s="27"/>
      <c r="O124" s="30">
        <f>SUM(tblExpenseCategory_15[[#This Row],[jan]:[dec]])</f>
        <v>0</v>
      </c>
      <c r="P124" s="30">
        <f>tblExpenseCategory_15[[#This Row],[year]]/12</f>
        <v>0</v>
      </c>
    </row>
    <row r="125" spans="2:16" ht="16.5" customHeight="1">
      <c r="B125" s="26"/>
      <c r="C125" s="27"/>
      <c r="D125" s="27"/>
      <c r="E125" s="27"/>
      <c r="F125" s="27"/>
      <c r="G125" s="27"/>
      <c r="H125" s="27"/>
      <c r="I125" s="27"/>
      <c r="J125" s="27"/>
      <c r="K125" s="27"/>
      <c r="L125" s="27"/>
      <c r="M125" s="27"/>
      <c r="N125" s="27"/>
      <c r="O125" s="30">
        <f>SUM(tblExpenseCategory_15[[#This Row],[jan]:[dec]])</f>
        <v>0</v>
      </c>
      <c r="P125" s="30">
        <f>tblExpenseCategory_15[[#This Row],[year]]/12</f>
        <v>0</v>
      </c>
    </row>
    <row r="126" spans="2:16" ht="16.5" customHeight="1">
      <c r="B126" s="26"/>
      <c r="C126" s="27"/>
      <c r="D126" s="27"/>
      <c r="E126" s="27"/>
      <c r="F126" s="27"/>
      <c r="G126" s="27"/>
      <c r="H126" s="27"/>
      <c r="I126" s="27"/>
      <c r="J126" s="27"/>
      <c r="K126" s="27"/>
      <c r="L126" s="27"/>
      <c r="M126" s="27"/>
      <c r="N126" s="27"/>
      <c r="O126" s="30">
        <f>SUM(tblExpenseCategory_15[[#This Row],[jan]:[dec]])</f>
        <v>0</v>
      </c>
      <c r="P126" s="30">
        <f>tblExpenseCategory_15[[#This Row],[year]]/12</f>
        <v>0</v>
      </c>
    </row>
    <row r="127" spans="2:16" ht="16.5" customHeight="1">
      <c r="B127" s="26" t="str">
        <f>UPPER("Total " &amp; B123)</f>
        <v xml:space="preserve">TOTAL  </v>
      </c>
      <c r="C127" s="27">
        <f>SUM(tblExpenseCategory_15[jan])</f>
        <v>0</v>
      </c>
      <c r="D127" s="27">
        <f>SUM(tblExpenseCategory_15[feb])</f>
        <v>0</v>
      </c>
      <c r="E127" s="27">
        <f>SUM(tblExpenseCategory_15[mar])</f>
        <v>0</v>
      </c>
      <c r="F127" s="27">
        <f>SUM(tblExpenseCategory_15[apr])</f>
        <v>0</v>
      </c>
      <c r="G127" s="27">
        <f>SUM(tblExpenseCategory_15[may])</f>
        <v>0</v>
      </c>
      <c r="H127" s="27">
        <f>SUM(tblExpenseCategory_15[jun])</f>
        <v>0</v>
      </c>
      <c r="I127" s="27">
        <f>SUM(tblExpenseCategory_15[jul])</f>
        <v>0</v>
      </c>
      <c r="J127" s="27">
        <f>SUM(tblExpenseCategory_15[aug])</f>
        <v>0</v>
      </c>
      <c r="K127" s="27">
        <f>SUM(tblExpenseCategory_15[sep])</f>
        <v>0</v>
      </c>
      <c r="L127" s="27">
        <f>SUM(tblExpenseCategory_15[oct])</f>
        <v>0</v>
      </c>
      <c r="M127" s="27">
        <f>SUM(tblExpenseCategory_15[nov])</f>
        <v>0</v>
      </c>
      <c r="N127" s="27">
        <f>SUM(tblExpenseCategory_15[dec])</f>
        <v>0</v>
      </c>
      <c r="O127" s="30">
        <f>SUM(tblExpenseCategory_15[year])</f>
        <v>0</v>
      </c>
      <c r="P127" s="30">
        <f>tblExpenseCategory_15[[#Totals],[year]]/12</f>
        <v>0</v>
      </c>
    </row>
  </sheetData>
  <sheetProtection algorithmName="SHA-512" hashValue="/V6IWdNn2koJ0mPAPwPatQSAOSolzWd2IaT4J1enJxbFMCL86eYtCCn6q8hgDGcp4b8xnHnW5XLAjnR8oru4ow==" saltValue="LMg+UsSetbWzLLdBAYaRPw==" spinCount="100000" sheet="1" objects="1" scenarios="1"/>
  <mergeCells count="15">
    <mergeCell ref="B114:N114"/>
    <mergeCell ref="B121:N121"/>
    <mergeCell ref="B107:N107"/>
    <mergeCell ref="B19:N19"/>
    <mergeCell ref="B67:N67"/>
    <mergeCell ref="B74:N74"/>
    <mergeCell ref="B81:N81"/>
    <mergeCell ref="B88:N88"/>
    <mergeCell ref="B93:N93"/>
    <mergeCell ref="B100:N100"/>
    <mergeCell ref="B28:N28"/>
    <mergeCell ref="B37:N37"/>
    <mergeCell ref="B46:N46"/>
    <mergeCell ref="B53:N53"/>
    <mergeCell ref="B60:N60"/>
  </mergeCells>
  <dataValidations count="17">
    <dataValidation type="list" allowBlank="1" sqref="B13:B17">
      <formula1>income</formula1>
    </dataValidation>
    <dataValidation type="list" allowBlank="1" sqref="B21 B30 B39 B48 B55 B62 B69 B76 B83 B90 B95 B102 B109 B116 B123">
      <formula1>expense_categories</formula1>
    </dataValidation>
    <dataValidation type="list" allowBlank="1" sqref="B22:B26">
      <formula1>expense_category_list_01</formula1>
    </dataValidation>
    <dataValidation type="list" allowBlank="1" sqref="B31:B35">
      <formula1>expense_category_list_02</formula1>
    </dataValidation>
    <dataValidation type="list" allowBlank="1" sqref="B40:B44">
      <formula1>expense_category_list_03</formula1>
    </dataValidation>
    <dataValidation type="list" allowBlank="1" sqref="B56:B58">
      <formula1>expense_category_list_05</formula1>
    </dataValidation>
    <dataValidation type="list" allowBlank="1" sqref="B63:B65">
      <formula1>expense_category_list_06</formula1>
    </dataValidation>
    <dataValidation type="list" allowBlank="1" sqref="B70:B72">
      <formula1>expense_category_list_07</formula1>
    </dataValidation>
    <dataValidation type="list" allowBlank="1" sqref="B77:B79">
      <formula1>expense_category_list_08</formula1>
    </dataValidation>
    <dataValidation type="list" allowBlank="1" sqref="B84:B86">
      <formula1>expense_category_list_09</formula1>
    </dataValidation>
    <dataValidation type="list" allowBlank="1" sqref="B91">
      <formula1>expense_category_list_10</formula1>
    </dataValidation>
    <dataValidation type="list" allowBlank="1" sqref="B96:B98">
      <formula1>expense_category_list_11</formula1>
    </dataValidation>
    <dataValidation type="list" allowBlank="1" sqref="B103:B105">
      <formula1>expense_category_list_12</formula1>
    </dataValidation>
    <dataValidation type="list" allowBlank="1" sqref="B110:B112">
      <formula1>expense_category_list_13</formula1>
    </dataValidation>
    <dataValidation type="list" allowBlank="1" sqref="B117:B119">
      <formula1>expense_category_list_14</formula1>
    </dataValidation>
    <dataValidation type="list" allowBlank="1" sqref="B124:B126">
      <formula1>expense_category_list_15</formula1>
    </dataValidation>
    <dataValidation type="list" allowBlank="1" sqref="B49:B51">
      <formula1>expense_category_list_04</formula1>
    </dataValidation>
  </dataValidations>
  <pageMargins left="0.7" right="0.7" top="0.75" bottom="0.75" header="0.3" footer="0.3"/>
  <pageSetup scale="85" fitToHeight="0" orientation="landscape" r:id="rId1"/>
  <colBreaks count="1" manualBreakCount="1">
    <brk id="16" max="1048575" man="1"/>
  </colBreaks>
  <drawing r:id="rId2"/>
  <picture r:id="rId3"/>
  <tableParts count="17">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L59"/>
  <sheetViews>
    <sheetView showGridLines="0" workbookViewId="0">
      <selection activeCell="D23" sqref="D23"/>
    </sheetView>
  </sheetViews>
  <sheetFormatPr defaultRowHeight="18.75" customHeight="1"/>
  <cols>
    <col min="1" max="1" width="6.7109375" customWidth="1"/>
    <col min="2" max="2" width="24.28515625" customWidth="1"/>
    <col min="3" max="3" width="4.28515625" customWidth="1"/>
    <col min="4" max="4" width="24.28515625" customWidth="1"/>
    <col min="5" max="5" width="4.28515625" customWidth="1"/>
    <col min="6" max="6" width="19.85546875" customWidth="1"/>
    <col min="7" max="7" width="3.85546875" customWidth="1"/>
    <col min="8" max="8" width="19.85546875" customWidth="1"/>
    <col min="9" max="9" width="3.85546875" customWidth="1"/>
    <col min="10" max="10" width="19.85546875" customWidth="1"/>
    <col min="11" max="11" width="12.85546875" customWidth="1"/>
    <col min="12" max="12" width="13.5703125" customWidth="1"/>
    <col min="13" max="13" width="19.85546875" customWidth="1"/>
    <col min="14" max="14" width="21.42578125" customWidth="1"/>
    <col min="15" max="15" width="21.7109375" customWidth="1"/>
    <col min="16" max="16" width="18.7109375" customWidth="1"/>
    <col min="17" max="17" width="13.5703125" customWidth="1"/>
    <col min="18" max="18" width="17.85546875" customWidth="1"/>
    <col min="19" max="19" width="14" customWidth="1"/>
    <col min="20" max="20" width="16" customWidth="1"/>
  </cols>
  <sheetData>
    <row r="1" spans="1:12" ht="34.5" customHeight="1">
      <c r="A1" s="6"/>
      <c r="B1" s="24" t="s">
        <v>113</v>
      </c>
      <c r="C1" s="23"/>
      <c r="D1" s="11"/>
      <c r="E1" s="6"/>
      <c r="F1" s="6"/>
      <c r="G1" s="6"/>
      <c r="H1" s="6"/>
      <c r="I1" s="6"/>
      <c r="J1" s="6"/>
      <c r="K1" s="6"/>
      <c r="L1" s="6"/>
    </row>
    <row r="2" spans="1:12" ht="21.75" customHeight="1">
      <c r="B2" s="22" t="s">
        <v>27</v>
      </c>
      <c r="D2" s="22" t="s">
        <v>40</v>
      </c>
      <c r="F2" s="36"/>
      <c r="G2" s="36"/>
      <c r="H2" s="36"/>
      <c r="I2" s="36"/>
      <c r="J2" s="36"/>
      <c r="K2" s="36"/>
    </row>
    <row r="3" spans="1:12" ht="18.75" customHeight="1">
      <c r="B3" t="s">
        <v>74</v>
      </c>
      <c r="D3" t="s">
        <v>2</v>
      </c>
      <c r="F3" s="36"/>
      <c r="G3" s="36"/>
      <c r="H3" s="36"/>
      <c r="I3" s="36"/>
      <c r="J3" s="36"/>
      <c r="K3" s="36"/>
    </row>
    <row r="4" spans="1:12" ht="18.75" customHeight="1">
      <c r="B4" t="s">
        <v>75</v>
      </c>
      <c r="D4" t="s">
        <v>77</v>
      </c>
      <c r="F4" s="21" t="s">
        <v>77</v>
      </c>
      <c r="H4" s="21" t="s">
        <v>28</v>
      </c>
      <c r="J4" s="21" t="s">
        <v>78</v>
      </c>
    </row>
    <row r="5" spans="1:12" ht="18.75" customHeight="1">
      <c r="B5" t="s">
        <v>36</v>
      </c>
      <c r="D5" t="s">
        <v>28</v>
      </c>
      <c r="F5" s="21" t="s">
        <v>81</v>
      </c>
      <c r="H5" s="21" t="s">
        <v>45</v>
      </c>
      <c r="J5" s="21" t="s">
        <v>91</v>
      </c>
    </row>
    <row r="6" spans="1:12" ht="18.75" customHeight="1">
      <c r="B6" t="s">
        <v>37</v>
      </c>
      <c r="D6" t="s">
        <v>78</v>
      </c>
      <c r="F6" s="21" t="s">
        <v>82</v>
      </c>
      <c r="H6" s="21" t="s">
        <v>85</v>
      </c>
      <c r="J6" s="21" t="s">
        <v>92</v>
      </c>
    </row>
    <row r="7" spans="1:12" ht="18.75" customHeight="1">
      <c r="B7" t="s">
        <v>38</v>
      </c>
      <c r="D7" t="s">
        <v>29</v>
      </c>
      <c r="F7" s="21" t="s">
        <v>83</v>
      </c>
      <c r="H7" s="21" t="s">
        <v>86</v>
      </c>
      <c r="J7" s="21" t="s">
        <v>93</v>
      </c>
    </row>
    <row r="8" spans="1:12" ht="18.75" customHeight="1">
      <c r="B8" t="s">
        <v>76</v>
      </c>
      <c r="D8" t="s">
        <v>30</v>
      </c>
      <c r="F8" s="21" t="s">
        <v>84</v>
      </c>
      <c r="H8" s="21" t="s">
        <v>87</v>
      </c>
      <c r="J8" s="21" t="s">
        <v>94</v>
      </c>
    </row>
    <row r="9" spans="1:12" ht="18.75" customHeight="1">
      <c r="B9" t="s">
        <v>39</v>
      </c>
      <c r="D9" t="s">
        <v>31</v>
      </c>
      <c r="F9" s="21" t="s">
        <v>43</v>
      </c>
      <c r="H9" s="21" t="s">
        <v>88</v>
      </c>
      <c r="J9" s="21" t="s">
        <v>95</v>
      </c>
    </row>
    <row r="10" spans="1:12" ht="18.75" customHeight="1">
      <c r="D10" t="s">
        <v>79</v>
      </c>
      <c r="F10" s="21" t="s">
        <v>39</v>
      </c>
      <c r="H10" s="21" t="s">
        <v>89</v>
      </c>
      <c r="J10" s="21" t="s">
        <v>46</v>
      </c>
    </row>
    <row r="11" spans="1:12" ht="18.75" customHeight="1">
      <c r="D11" t="s">
        <v>33</v>
      </c>
      <c r="F11" s="21"/>
      <c r="H11" s="21" t="s">
        <v>90</v>
      </c>
      <c r="J11" s="21" t="s">
        <v>96</v>
      </c>
    </row>
    <row r="12" spans="1:12" ht="18.75" customHeight="1">
      <c r="D12" t="s">
        <v>80</v>
      </c>
      <c r="F12" s="21"/>
      <c r="H12" s="21" t="s">
        <v>39</v>
      </c>
      <c r="J12" s="21" t="s">
        <v>39</v>
      </c>
    </row>
    <row r="13" spans="1:12" ht="18.75" customHeight="1">
      <c r="D13" t="s">
        <v>35</v>
      </c>
      <c r="F13" s="21"/>
    </row>
    <row r="14" spans="1:12" ht="18.75" customHeight="1">
      <c r="F14" s="21"/>
    </row>
    <row r="15" spans="1:12" ht="18.75" customHeight="1">
      <c r="F15" s="21"/>
    </row>
    <row r="16" spans="1:12" ht="18.75" customHeight="1">
      <c r="F16" s="21"/>
    </row>
    <row r="17" spans="6:10" ht="18.75" customHeight="1">
      <c r="F17" s="21"/>
    </row>
    <row r="20" spans="6:10" ht="18.75" customHeight="1">
      <c r="F20" s="21" t="s">
        <v>29</v>
      </c>
      <c r="H20" s="21" t="s">
        <v>30</v>
      </c>
      <c r="J20" s="21" t="s">
        <v>31</v>
      </c>
    </row>
    <row r="21" spans="6:10" ht="18.75" customHeight="1">
      <c r="F21" s="21" t="s">
        <v>48</v>
      </c>
      <c r="H21" s="21" t="s">
        <v>50</v>
      </c>
      <c r="J21" s="21" t="s">
        <v>100</v>
      </c>
    </row>
    <row r="22" spans="6:10" ht="18.75" customHeight="1">
      <c r="F22" s="21" t="s">
        <v>49</v>
      </c>
      <c r="H22" s="21" t="s">
        <v>97</v>
      </c>
      <c r="J22" s="21" t="s">
        <v>101</v>
      </c>
    </row>
    <row r="23" spans="6:10" ht="18.75" customHeight="1">
      <c r="F23" s="21" t="s">
        <v>39</v>
      </c>
      <c r="H23" s="21" t="s">
        <v>98</v>
      </c>
      <c r="J23" s="21" t="s">
        <v>102</v>
      </c>
    </row>
    <row r="24" spans="6:10" ht="18.75" customHeight="1">
      <c r="F24" s="21"/>
      <c r="H24" s="21" t="s">
        <v>99</v>
      </c>
      <c r="J24" s="21" t="s">
        <v>103</v>
      </c>
    </row>
    <row r="25" spans="6:10" ht="18.75" customHeight="1">
      <c r="F25" s="21"/>
      <c r="H25" s="21" t="s">
        <v>39</v>
      </c>
      <c r="J25" s="21" t="s">
        <v>39</v>
      </c>
    </row>
    <row r="26" spans="6:10" ht="18.75" customHeight="1">
      <c r="F26" s="21"/>
    </row>
    <row r="29" spans="6:10" ht="18.75" customHeight="1">
      <c r="F29" s="21" t="s">
        <v>79</v>
      </c>
      <c r="H29" s="21" t="s">
        <v>33</v>
      </c>
      <c r="J29" s="21" t="s">
        <v>80</v>
      </c>
    </row>
    <row r="30" spans="6:10" ht="18.75" customHeight="1">
      <c r="F30" s="21" t="s">
        <v>104</v>
      </c>
      <c r="H30" s="21" t="s">
        <v>42</v>
      </c>
      <c r="J30" s="21" t="s">
        <v>111</v>
      </c>
    </row>
    <row r="31" spans="6:10" ht="18.75" customHeight="1">
      <c r="F31" s="21" t="s">
        <v>105</v>
      </c>
      <c r="H31" s="21" t="s">
        <v>106</v>
      </c>
      <c r="J31" s="21" t="s">
        <v>107</v>
      </c>
    </row>
    <row r="32" spans="6:10" ht="18.75" customHeight="1">
      <c r="F32" s="21" t="s">
        <v>103</v>
      </c>
      <c r="H32" s="21" t="s">
        <v>41</v>
      </c>
      <c r="J32" s="21" t="s">
        <v>108</v>
      </c>
    </row>
    <row r="33" spans="6:10" ht="18.75" customHeight="1">
      <c r="F33" s="21" t="s">
        <v>39</v>
      </c>
      <c r="H33" s="21" t="s">
        <v>39</v>
      </c>
      <c r="J33" s="21" t="s">
        <v>109</v>
      </c>
    </row>
    <row r="34" spans="6:10" ht="18.75" customHeight="1">
      <c r="J34" s="21" t="s">
        <v>110</v>
      </c>
    </row>
    <row r="35" spans="6:10" ht="18.75" customHeight="1">
      <c r="J35" s="21" t="s">
        <v>39</v>
      </c>
    </row>
    <row r="38" spans="6:10" ht="18.75" customHeight="1">
      <c r="F38" s="21" t="s">
        <v>35</v>
      </c>
      <c r="H38" s="21" t="s">
        <v>31</v>
      </c>
      <c r="J38" s="21" t="s">
        <v>32</v>
      </c>
    </row>
    <row r="39" spans="6:10" ht="18.75" customHeight="1">
      <c r="F39" s="21" t="s">
        <v>112</v>
      </c>
      <c r="H39" s="21" t="s">
        <v>51</v>
      </c>
      <c r="J39" s="21" t="s">
        <v>62</v>
      </c>
    </row>
    <row r="40" spans="6:10" ht="18.75" customHeight="1">
      <c r="F40" s="21"/>
      <c r="H40" s="21" t="s">
        <v>52</v>
      </c>
      <c r="J40" s="21" t="s">
        <v>44</v>
      </c>
    </row>
    <row r="41" spans="6:10" ht="18.75" customHeight="1">
      <c r="F41" s="21"/>
      <c r="H41" s="21" t="s">
        <v>53</v>
      </c>
      <c r="J41" s="21" t="s">
        <v>63</v>
      </c>
    </row>
    <row r="42" spans="6:10" ht="18.75" customHeight="1">
      <c r="F42" s="21"/>
      <c r="H42" s="21" t="s">
        <v>54</v>
      </c>
      <c r="J42" s="21" t="s">
        <v>39</v>
      </c>
    </row>
    <row r="43" spans="6:10" ht="18.75" customHeight="1">
      <c r="F43" s="21"/>
      <c r="H43" s="21" t="s">
        <v>55</v>
      </c>
    </row>
    <row r="44" spans="6:10" ht="18.75" customHeight="1">
      <c r="F44" s="21"/>
      <c r="H44" s="21" t="s">
        <v>56</v>
      </c>
    </row>
    <row r="45" spans="6:10" ht="18.75" customHeight="1">
      <c r="F45" s="21"/>
      <c r="H45" s="21" t="s">
        <v>47</v>
      </c>
    </row>
    <row r="46" spans="6:10" ht="18.75" customHeight="1">
      <c r="F46" s="21"/>
      <c r="H46" s="21" t="s">
        <v>57</v>
      </c>
    </row>
    <row r="47" spans="6:10" ht="18.75" customHeight="1">
      <c r="F47" s="21"/>
      <c r="H47" s="21" t="s">
        <v>58</v>
      </c>
    </row>
    <row r="48" spans="6:10" ht="18.75" customHeight="1">
      <c r="F48" s="21"/>
      <c r="H48" s="21" t="s">
        <v>59</v>
      </c>
    </row>
    <row r="49" spans="6:10" ht="18.75" customHeight="1">
      <c r="F49" s="21"/>
      <c r="H49" s="21" t="s">
        <v>60</v>
      </c>
    </row>
    <row r="50" spans="6:10" ht="18.75" customHeight="1">
      <c r="F50" s="21"/>
      <c r="H50" s="21" t="s">
        <v>61</v>
      </c>
    </row>
    <row r="51" spans="6:10" ht="18.75" customHeight="1">
      <c r="H51" s="21" t="s">
        <v>39</v>
      </c>
    </row>
    <row r="53" spans="6:10" ht="18.75" customHeight="1">
      <c r="F53" s="21" t="s">
        <v>33</v>
      </c>
      <c r="H53" s="21" t="s">
        <v>34</v>
      </c>
      <c r="J53" s="21" t="s">
        <v>35</v>
      </c>
    </row>
    <row r="54" spans="6:10" ht="18.75" customHeight="1">
      <c r="F54" s="21" t="s">
        <v>64</v>
      </c>
      <c r="H54" s="21" t="s">
        <v>68</v>
      </c>
      <c r="J54" s="21" t="s">
        <v>71</v>
      </c>
    </row>
    <row r="55" spans="6:10" ht="18.75" customHeight="1">
      <c r="F55" s="21" t="s">
        <v>65</v>
      </c>
      <c r="H55" s="21" t="s">
        <v>69</v>
      </c>
      <c r="J55" s="21" t="s">
        <v>72</v>
      </c>
    </row>
    <row r="56" spans="6:10" ht="18.75" customHeight="1">
      <c r="F56" s="21" t="s">
        <v>66</v>
      </c>
      <c r="H56" s="21" t="s">
        <v>62</v>
      </c>
      <c r="J56" s="21" t="s">
        <v>39</v>
      </c>
    </row>
    <row r="57" spans="6:10" ht="18.75" customHeight="1">
      <c r="F57" s="21" t="s">
        <v>67</v>
      </c>
      <c r="H57" s="21" t="s">
        <v>70</v>
      </c>
    </row>
    <row r="58" spans="6:10" ht="18.75" customHeight="1">
      <c r="F58" s="21" t="s">
        <v>39</v>
      </c>
      <c r="H58" s="21" t="s">
        <v>31</v>
      </c>
    </row>
    <row r="59" spans="6:10" ht="18.75" customHeight="1">
      <c r="H59" s="21" t="s">
        <v>39</v>
      </c>
    </row>
  </sheetData>
  <sheetProtection algorithmName="SHA-512" hashValue="0HJ3JsRyEEBdDrXcIWJPWMupWyz+HHbrnSn1mqsAfDlqtUD3BXhhtRYQ0yEoC8nv4+sYEq4nEH6Ywylsay+tqA==" saltValue="cLvF2gO4Exeb+UXOiaTzLQ==" spinCount="100000" sheet="1" objects="1" scenarios="1"/>
  <pageMargins left="0.7" right="0.7" top="0.75" bottom="0.75" header="0.3" footer="0.3"/>
  <pageSetup scale="64" fitToHeight="0" orientation="portrait" r:id="rId1"/>
  <drawing r:id="rId2"/>
  <picture r:id="rId3"/>
  <tableParts count="17">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P40"/>
  <sheetViews>
    <sheetView showGridLines="0" workbookViewId="0">
      <selection activeCell="B6" sqref="B6"/>
    </sheetView>
  </sheetViews>
  <sheetFormatPr defaultRowHeight="14.25"/>
  <cols>
    <col min="2" max="2" width="32.28515625" customWidth="1"/>
  </cols>
  <sheetData>
    <row r="1" spans="2:16">
      <c r="B1" t="s">
        <v>8</v>
      </c>
    </row>
    <row r="4" spans="2:16">
      <c r="B4" t="s">
        <v>6</v>
      </c>
      <c r="C4">
        <v>13</v>
      </c>
    </row>
    <row r="5" spans="2:16">
      <c r="D5" s="3"/>
      <c r="E5" s="3"/>
      <c r="F5" s="3"/>
      <c r="G5" s="3"/>
      <c r="H5" s="3"/>
      <c r="I5" s="3"/>
      <c r="J5" s="3"/>
      <c r="K5" s="3"/>
      <c r="L5" s="3"/>
      <c r="M5" s="3"/>
      <c r="N5" s="3"/>
      <c r="O5" s="3"/>
    </row>
    <row r="6" spans="2:16">
      <c r="C6" t="s">
        <v>11</v>
      </c>
      <c r="D6" t="s">
        <v>12</v>
      </c>
      <c r="E6" t="s">
        <v>13</v>
      </c>
      <c r="F6" t="s">
        <v>24</v>
      </c>
      <c r="G6" t="s">
        <v>14</v>
      </c>
      <c r="H6" t="s">
        <v>15</v>
      </c>
      <c r="I6" t="s">
        <v>16</v>
      </c>
      <c r="J6" t="s">
        <v>17</v>
      </c>
      <c r="K6" t="s">
        <v>18</v>
      </c>
      <c r="L6" t="s">
        <v>19</v>
      </c>
      <c r="M6" t="s">
        <v>20</v>
      </c>
      <c r="N6" t="s">
        <v>21</v>
      </c>
      <c r="O6" t="s">
        <v>22</v>
      </c>
      <c r="P6" t="s">
        <v>0</v>
      </c>
    </row>
    <row r="7" spans="2:16">
      <c r="B7" s="3" t="str">
        <f>LOWER(Budget!B123)</f>
        <v xml:space="preserve"> </v>
      </c>
      <c r="C7" s="1">
        <f>SUM(tblExpenseCategory_15[jan])</f>
        <v>0</v>
      </c>
      <c r="D7" s="1">
        <f>SUM(tblExpenseCategory_15[feb])</f>
        <v>0</v>
      </c>
      <c r="E7" s="1">
        <f>SUM(tblExpenseCategory_15[mar])</f>
        <v>0</v>
      </c>
      <c r="F7" s="1">
        <f>SUM(tblExpenseCategory_15[apr])</f>
        <v>0</v>
      </c>
      <c r="G7" s="1">
        <f>SUM(tblExpenseCategory_15[may])</f>
        <v>0</v>
      </c>
      <c r="H7" s="1">
        <f>SUM(tblExpenseCategory_15[jun])</f>
        <v>0</v>
      </c>
      <c r="I7" s="1">
        <f>SUM(tblExpenseCategory_15[jul])</f>
        <v>0</v>
      </c>
      <c r="J7" s="1">
        <f>SUM(tblExpenseCategory_15[aug])</f>
        <v>0</v>
      </c>
      <c r="K7" s="1">
        <f>SUM(tblExpenseCategory_15[sep])</f>
        <v>0</v>
      </c>
      <c r="L7" s="1">
        <f>SUM(tblExpenseCategory_15[oct])</f>
        <v>0</v>
      </c>
      <c r="M7" s="1">
        <f>SUM(tblExpenseCategory_15[nov])</f>
        <v>0</v>
      </c>
      <c r="N7" s="1">
        <f>SUM(tblExpenseCategory_15[dec])</f>
        <v>0</v>
      </c>
      <c r="O7" s="1">
        <f>SUM(tblExpenseCategory_15[year])</f>
        <v>0</v>
      </c>
      <c r="P7" s="1">
        <f>SUM(tblExpenseCategory_15[avg])</f>
        <v>0</v>
      </c>
    </row>
    <row r="8" spans="2:16">
      <c r="B8" s="3" t="str">
        <f>LOWER(Budget!B116)</f>
        <v xml:space="preserve"> </v>
      </c>
      <c r="C8" s="1">
        <f>SUM(tblExpenseCategory_14[jan])</f>
        <v>0</v>
      </c>
      <c r="D8" s="1">
        <f>SUM(tblExpenseCategory_14[feb])</f>
        <v>0</v>
      </c>
      <c r="E8" s="1">
        <f>SUM(tblExpenseCategory_14[mar])</f>
        <v>0</v>
      </c>
      <c r="F8" s="1">
        <f>SUM(tblExpenseCategory_14[apr])</f>
        <v>0</v>
      </c>
      <c r="G8" s="1">
        <f>SUM(tblExpenseCategory_14[may])</f>
        <v>0</v>
      </c>
      <c r="H8" s="1">
        <f>SUM(tblExpenseCategory_14[jun])</f>
        <v>0</v>
      </c>
      <c r="I8" s="1">
        <f>SUM(tblExpenseCategory_14[jul])</f>
        <v>0</v>
      </c>
      <c r="J8" s="1">
        <f>SUM(tblExpenseCategory_14[aug])</f>
        <v>0</v>
      </c>
      <c r="K8" s="1">
        <f>SUM(tblExpenseCategory_14[sep])</f>
        <v>0</v>
      </c>
      <c r="L8" s="1">
        <f>SUM(tblExpenseCategory_14[oct])</f>
        <v>0</v>
      </c>
      <c r="M8" s="1">
        <f>SUM(tblExpenseCategory_14[nov])</f>
        <v>0</v>
      </c>
      <c r="N8" s="1">
        <f>SUM(tblExpenseCategory_14[dec])</f>
        <v>0</v>
      </c>
      <c r="O8" s="1">
        <f>SUM(tblExpenseCategory_14[year])</f>
        <v>0</v>
      </c>
      <c r="P8" s="1">
        <f>SUM(tblExpenseCategory_14[avg])</f>
        <v>0</v>
      </c>
    </row>
    <row r="9" spans="2:16">
      <c r="B9" s="3" t="str">
        <f>LOWER(Budget!B109)</f>
        <v xml:space="preserve"> </v>
      </c>
      <c r="C9" s="1">
        <f>SUM(tblExpenseCategory_13[jan])</f>
        <v>0</v>
      </c>
      <c r="D9" s="1">
        <f>SUM(tblExpenseCategory_13[feb])</f>
        <v>0</v>
      </c>
      <c r="E9" s="1">
        <f>SUM(tblExpenseCategory_13[mar])</f>
        <v>0</v>
      </c>
      <c r="F9" s="1">
        <f>SUM(tblExpenseCategory_13[apr])</f>
        <v>0</v>
      </c>
      <c r="G9" s="1">
        <f>SUM(tblExpenseCategory_13[may])</f>
        <v>0</v>
      </c>
      <c r="H9" s="1">
        <f>SUM(tblExpenseCategory_13[jun])</f>
        <v>0</v>
      </c>
      <c r="I9" s="1">
        <f>SUM(tblExpenseCategory_13[jul])</f>
        <v>0</v>
      </c>
      <c r="J9" s="1">
        <f>SUM(tblExpenseCategory_13[aug])</f>
        <v>0</v>
      </c>
      <c r="K9" s="1">
        <f>SUM(tblExpenseCategory_13[sep])</f>
        <v>0</v>
      </c>
      <c r="L9" s="1">
        <f>SUM(tblExpenseCategory_13[oct])</f>
        <v>0</v>
      </c>
      <c r="M9" s="1">
        <f>SUM(tblExpenseCategory_13[nov])</f>
        <v>0</v>
      </c>
      <c r="N9" s="1">
        <f>SUM(tblExpenseCategory_13[dec])</f>
        <v>0</v>
      </c>
      <c r="O9" s="1">
        <f>SUM(tblExpenseCategory_13[year])</f>
        <v>0</v>
      </c>
      <c r="P9" s="1">
        <f>SUM(tblExpenseCategory_13[avg])</f>
        <v>0</v>
      </c>
    </row>
    <row r="10" spans="2:16">
      <c r="B10" s="3" t="str">
        <f>LOWER(Budget!B102)</f>
        <v xml:space="preserve"> </v>
      </c>
      <c r="C10" s="1">
        <f>SUM(tblExpenseCategory_12[jan])</f>
        <v>0</v>
      </c>
      <c r="D10" s="1">
        <f>SUM(tblExpenseCategory_12[feb])</f>
        <v>0</v>
      </c>
      <c r="E10" s="1">
        <f>SUM(tblExpenseCategory_12[mar])</f>
        <v>0</v>
      </c>
      <c r="F10" s="1">
        <f>SUM(tblExpenseCategory_12[apr])</f>
        <v>0</v>
      </c>
      <c r="G10" s="1">
        <f>SUM(tblExpenseCategory_12[may])</f>
        <v>0</v>
      </c>
      <c r="H10" s="1">
        <f>SUM(tblExpenseCategory_12[jun])</f>
        <v>0</v>
      </c>
      <c r="I10" s="1">
        <f>SUM(tblExpenseCategory_12[jul])</f>
        <v>0</v>
      </c>
      <c r="J10" s="1">
        <f>SUM(tblExpenseCategory_12[aug])</f>
        <v>0</v>
      </c>
      <c r="K10" s="1">
        <f>SUM(tblExpenseCategory_12[sep])</f>
        <v>0</v>
      </c>
      <c r="L10" s="1">
        <f>SUM(tblExpenseCategory_12[oct])</f>
        <v>0</v>
      </c>
      <c r="M10" s="1">
        <f>SUM(tblExpenseCategory_12[nov])</f>
        <v>0</v>
      </c>
      <c r="N10" s="1">
        <f>SUM(tblExpenseCategory_12[dec])</f>
        <v>0</v>
      </c>
      <c r="O10" s="1">
        <f>SUM(tblExpenseCategory_12[year])</f>
        <v>0</v>
      </c>
      <c r="P10" s="1">
        <f>SUM(tblExpenseCategory_12[avg])</f>
        <v>0</v>
      </c>
    </row>
    <row r="11" spans="2:16">
      <c r="B11" s="3" t="str">
        <f>LOWER(Budget!B95)</f>
        <v xml:space="preserve"> </v>
      </c>
      <c r="C11" s="1">
        <f>SUM(tblExpenseCategory_11[jan])</f>
        <v>0</v>
      </c>
      <c r="D11" s="1">
        <f>SUM(tblExpenseCategory_11[feb])</f>
        <v>0</v>
      </c>
      <c r="E11" s="1">
        <f>SUM(tblExpenseCategory_11[mar])</f>
        <v>0</v>
      </c>
      <c r="F11" s="1">
        <f>SUM(tblExpenseCategory_11[apr])</f>
        <v>0</v>
      </c>
      <c r="G11" s="1">
        <f>SUM(tblExpenseCategory_11[may])</f>
        <v>0</v>
      </c>
      <c r="H11" s="1">
        <f>SUM(tblExpenseCategory_11[jun])</f>
        <v>0</v>
      </c>
      <c r="I11" s="1">
        <f>SUM(tblExpenseCategory_11[jul])</f>
        <v>0</v>
      </c>
      <c r="J11" s="1">
        <f>SUM(tblExpenseCategory_11[aug])</f>
        <v>0</v>
      </c>
      <c r="K11" s="1">
        <f>SUM(tblExpenseCategory_11[sep])</f>
        <v>0</v>
      </c>
      <c r="L11" s="1">
        <f>SUM(tblExpenseCategory_11[oct])</f>
        <v>0</v>
      </c>
      <c r="M11" s="1">
        <f>SUM(tblExpenseCategory_11[nov])</f>
        <v>0</v>
      </c>
      <c r="N11" s="1">
        <f>SUM(tblExpenseCategory_11[dec])</f>
        <v>0</v>
      </c>
      <c r="O11" s="1">
        <f>SUM(tblExpenseCategory_11[year])</f>
        <v>0</v>
      </c>
      <c r="P11" s="1">
        <f>SUM(tblExpenseCategory_11[avg])</f>
        <v>0</v>
      </c>
    </row>
    <row r="12" spans="2:16">
      <c r="B12" s="3" t="str">
        <f>LOWER(Budget!B90)</f>
        <v>miscellaneous</v>
      </c>
      <c r="C12" s="1">
        <f>SUM(tblExpenseCategory_10[jan])</f>
        <v>0</v>
      </c>
      <c r="D12" s="1">
        <f>SUM(tblExpenseCategory_10[feb])</f>
        <v>0</v>
      </c>
      <c r="E12" s="1">
        <f>SUM(tblExpenseCategory_10[mar])</f>
        <v>0</v>
      </c>
      <c r="F12" s="1">
        <f>SUM(tblExpenseCategory_10[apr])</f>
        <v>0</v>
      </c>
      <c r="G12" s="1">
        <f>SUM(tblExpenseCategory_10[may])</f>
        <v>0</v>
      </c>
      <c r="H12" s="1">
        <f>SUM(tblExpenseCategory_10[jun])</f>
        <v>0</v>
      </c>
      <c r="I12" s="1">
        <f>SUM(tblExpenseCategory_10[jul])</f>
        <v>0</v>
      </c>
      <c r="J12" s="1">
        <f>SUM(tblExpenseCategory_10[aug])</f>
        <v>0</v>
      </c>
      <c r="K12" s="1">
        <f>SUM(tblExpenseCategory_10[sep])</f>
        <v>0</v>
      </c>
      <c r="L12" s="1">
        <f>SUM(tblExpenseCategory_10[oct])</f>
        <v>0</v>
      </c>
      <c r="M12" s="1">
        <f>SUM(tblExpenseCategory_10[nov])</f>
        <v>0</v>
      </c>
      <c r="N12" s="1">
        <f>SUM(tblExpenseCategory_10[dec])</f>
        <v>0</v>
      </c>
      <c r="O12" s="1">
        <f>SUM(tblExpenseCategory_10[year])</f>
        <v>0</v>
      </c>
      <c r="P12" s="1">
        <f>SUM(tblExpenseCategory_10[avg])</f>
        <v>0</v>
      </c>
    </row>
    <row r="13" spans="2:16">
      <c r="B13" s="3" t="str">
        <f>LOWER(Budget!B83)</f>
        <v>equipment</v>
      </c>
      <c r="C13" s="1">
        <f>SUM(tblExpenseCategory_09[jan])</f>
        <v>0</v>
      </c>
      <c r="D13" s="1">
        <f>SUM(tblExpenseCategory_09[feb])</f>
        <v>0</v>
      </c>
      <c r="E13" s="1">
        <f>SUM(tblExpenseCategory_09[mar])</f>
        <v>0</v>
      </c>
      <c r="F13" s="1">
        <f>SUM(tblExpenseCategory_09[apr])</f>
        <v>5236</v>
      </c>
      <c r="G13" s="1">
        <f>SUM(tblExpenseCategory_09[may])</f>
        <v>0</v>
      </c>
      <c r="H13" s="1">
        <f>SUM(tblExpenseCategory_09[jun])</f>
        <v>0</v>
      </c>
      <c r="I13" s="1">
        <f>SUM(tblExpenseCategory_09[jul])</f>
        <v>7262</v>
      </c>
      <c r="J13" s="1">
        <f>SUM(tblExpenseCategory_09[aug])</f>
        <v>0</v>
      </c>
      <c r="K13" s="1">
        <f>SUM(tblExpenseCategory_09[sep])</f>
        <v>0</v>
      </c>
      <c r="L13" s="1">
        <f>SUM(tblExpenseCategory_09[oct])</f>
        <v>0</v>
      </c>
      <c r="M13" s="1">
        <f>SUM(tblExpenseCategory_09[nov])</f>
        <v>0</v>
      </c>
      <c r="N13" s="1">
        <f>SUM(tblExpenseCategory_09[dec])</f>
        <v>0</v>
      </c>
      <c r="O13" s="1">
        <f>SUM(tblExpenseCategory_09[year])</f>
        <v>12498</v>
      </c>
      <c r="P13" s="1">
        <f>SUM(tblExpenseCategory_09[avg])</f>
        <v>1041.5</v>
      </c>
    </row>
    <row r="14" spans="2:16">
      <c r="B14" s="3" t="str">
        <f>LOWER(Budget!B76)</f>
        <v>subscriptions</v>
      </c>
      <c r="C14" s="1">
        <f>SUM(tblExpenseCategory_08[jan])</f>
        <v>936</v>
      </c>
      <c r="D14" s="1">
        <f>SUM(tblExpenseCategory_08[feb])</f>
        <v>936</v>
      </c>
      <c r="E14" s="1">
        <f>SUM(tblExpenseCategory_08[mar])</f>
        <v>936</v>
      </c>
      <c r="F14" s="1">
        <f>SUM(tblExpenseCategory_08[apr])</f>
        <v>936</v>
      </c>
      <c r="G14" s="1">
        <f>SUM(tblExpenseCategory_08[may])</f>
        <v>936</v>
      </c>
      <c r="H14" s="1">
        <f>SUM(tblExpenseCategory_08[jun])</f>
        <v>936</v>
      </c>
      <c r="I14" s="1">
        <f>SUM(tblExpenseCategory_08[jul])</f>
        <v>936</v>
      </c>
      <c r="J14" s="1">
        <f>SUM(tblExpenseCategory_08[aug])</f>
        <v>936</v>
      </c>
      <c r="K14" s="1">
        <f>SUM(tblExpenseCategory_08[sep])</f>
        <v>936</v>
      </c>
      <c r="L14" s="1">
        <f>SUM(tblExpenseCategory_08[oct])</f>
        <v>936</v>
      </c>
      <c r="M14" s="1">
        <f>SUM(tblExpenseCategory_08[nov])</f>
        <v>936</v>
      </c>
      <c r="N14" s="1">
        <f>SUM(tblExpenseCategory_08[dec])</f>
        <v>936</v>
      </c>
      <c r="O14" s="1">
        <f>SUM(tblExpenseCategory_08[year])</f>
        <v>11232</v>
      </c>
      <c r="P14" s="1">
        <f>SUM(tblExpenseCategory_08[avg])</f>
        <v>936</v>
      </c>
    </row>
    <row r="15" spans="2:16">
      <c r="B15" s="3" t="str">
        <f>LOWER(Budget!B69)</f>
        <v>morale</v>
      </c>
      <c r="C15" s="1">
        <f>SUM(tblExpenseCategory_07[jan])</f>
        <v>0</v>
      </c>
      <c r="D15" s="1">
        <f>SUM(tblExpenseCategory_07[feb])</f>
        <v>0</v>
      </c>
      <c r="E15" s="1">
        <f>SUM(tblExpenseCategory_07[mar])</f>
        <v>0</v>
      </c>
      <c r="F15" s="1">
        <f>SUM(tblExpenseCategory_07[apr])</f>
        <v>0</v>
      </c>
      <c r="G15" s="1">
        <f>SUM(tblExpenseCategory_07[may])</f>
        <v>0</v>
      </c>
      <c r="H15" s="1">
        <f>SUM(tblExpenseCategory_07[jun])</f>
        <v>0</v>
      </c>
      <c r="I15" s="1">
        <f>SUM(tblExpenseCategory_07[jul])</f>
        <v>200</v>
      </c>
      <c r="J15" s="1">
        <f>SUM(tblExpenseCategory_07[aug])</f>
        <v>0</v>
      </c>
      <c r="K15" s="1">
        <f>SUM(tblExpenseCategory_07[sep])</f>
        <v>0</v>
      </c>
      <c r="L15" s="1">
        <f>SUM(tblExpenseCategory_07[oct])</f>
        <v>0</v>
      </c>
      <c r="M15" s="1">
        <f>SUM(tblExpenseCategory_07[nov])</f>
        <v>0</v>
      </c>
      <c r="N15" s="1">
        <f>SUM(tblExpenseCategory_07[dec])</f>
        <v>1500</v>
      </c>
      <c r="O15" s="1">
        <f>SUM(tblExpenseCategory_07[year])</f>
        <v>1700</v>
      </c>
      <c r="P15" s="1">
        <f>SUM(tblExpenseCategory_07[avg])</f>
        <v>141.66666666666666</v>
      </c>
    </row>
    <row r="16" spans="2:16">
      <c r="B16" s="3" t="str">
        <f>LOWER(Budget!B62)</f>
        <v>entertainment</v>
      </c>
      <c r="C16" s="1">
        <f>SUM(tblExpenseCategory_06[jan])</f>
        <v>0</v>
      </c>
      <c r="D16" s="1">
        <f>SUM(tblExpenseCategory_06[feb])</f>
        <v>0</v>
      </c>
      <c r="E16" s="1">
        <f>SUM(tblExpenseCategory_06[mar])</f>
        <v>225</v>
      </c>
      <c r="F16" s="1">
        <f>SUM(tblExpenseCategory_06[apr])</f>
        <v>0</v>
      </c>
      <c r="G16" s="1">
        <f>SUM(tblExpenseCategory_06[may])</f>
        <v>190</v>
      </c>
      <c r="H16" s="1">
        <f>SUM(tblExpenseCategory_06[jun])</f>
        <v>0</v>
      </c>
      <c r="I16" s="1">
        <f>SUM(tblExpenseCategory_06[jul])</f>
        <v>750</v>
      </c>
      <c r="J16" s="1">
        <f>SUM(tblExpenseCategory_06[aug])</f>
        <v>0</v>
      </c>
      <c r="K16" s="1">
        <f>SUM(tblExpenseCategory_06[sep])</f>
        <v>0</v>
      </c>
      <c r="L16" s="1">
        <f>SUM(tblExpenseCategory_06[oct])</f>
        <v>0</v>
      </c>
      <c r="M16" s="1">
        <f>SUM(tblExpenseCategory_06[nov])</f>
        <v>400</v>
      </c>
      <c r="N16" s="1">
        <f>SUM(tblExpenseCategory_06[dec])</f>
        <v>950</v>
      </c>
      <c r="O16" s="1">
        <f>SUM(tblExpenseCategory_06[year])</f>
        <v>2515</v>
      </c>
      <c r="P16" s="1">
        <f>SUM(tblExpenseCategory_06[avg])</f>
        <v>209.58333333333334</v>
      </c>
    </row>
    <row r="17" spans="2:16">
      <c r="B17" s="3" t="str">
        <f>LOWER(Budget!B55)</f>
        <v>obligations</v>
      </c>
      <c r="C17" s="1">
        <f>SUM(tblExpenseCategory_05[jan])</f>
        <v>0</v>
      </c>
      <c r="D17" s="1">
        <f>SUM(tblExpenseCategory_05[feb])</f>
        <v>0</v>
      </c>
      <c r="E17" s="1">
        <f>SUM(tblExpenseCategory_05[mar])</f>
        <v>0</v>
      </c>
      <c r="F17" s="1">
        <f>SUM(tblExpenseCategory_05[apr])</f>
        <v>0</v>
      </c>
      <c r="G17" s="1">
        <f>SUM(tblExpenseCategory_05[may])</f>
        <v>0</v>
      </c>
      <c r="H17" s="1">
        <f>SUM(tblExpenseCategory_05[jun])</f>
        <v>0</v>
      </c>
      <c r="I17" s="1">
        <f>SUM(tblExpenseCategory_05[jul])</f>
        <v>0</v>
      </c>
      <c r="J17" s="1">
        <f>SUM(tblExpenseCategory_05[aug])</f>
        <v>0</v>
      </c>
      <c r="K17" s="1">
        <f>SUM(tblExpenseCategory_05[sep])</f>
        <v>0</v>
      </c>
      <c r="L17" s="1">
        <f>SUM(tblExpenseCategory_05[oct])</f>
        <v>0</v>
      </c>
      <c r="M17" s="1">
        <f>SUM(tblExpenseCategory_05[nov])</f>
        <v>0</v>
      </c>
      <c r="N17" s="1">
        <f>SUM(tblExpenseCategory_05[dec])</f>
        <v>0</v>
      </c>
      <c r="O17" s="1">
        <f>SUM(tblExpenseCategory_05[year])</f>
        <v>0</v>
      </c>
      <c r="P17" s="1">
        <f>SUM(tblExpenseCategory_05[avg])</f>
        <v>0</v>
      </c>
    </row>
    <row r="18" spans="2:16">
      <c r="B18" s="3" t="str">
        <f>LOWER(Budget!B48)</f>
        <v>charity</v>
      </c>
      <c r="C18" s="1">
        <f>SUM(tblExpenseCategory_04[jan])</f>
        <v>0</v>
      </c>
      <c r="D18" s="1">
        <f>SUM(tblExpenseCategory_04[feb])</f>
        <v>0</v>
      </c>
      <c r="E18" s="1">
        <f>SUM(tblExpenseCategory_04[mar])</f>
        <v>0</v>
      </c>
      <c r="F18" s="1">
        <f>SUM(tblExpenseCategory_04[apr])</f>
        <v>0</v>
      </c>
      <c r="G18" s="1">
        <f>SUM(tblExpenseCategory_04[may])</f>
        <v>200</v>
      </c>
      <c r="H18" s="1">
        <f>SUM(tblExpenseCategory_04[jun])</f>
        <v>0</v>
      </c>
      <c r="I18" s="1">
        <f>SUM(tblExpenseCategory_04[jul])</f>
        <v>0</v>
      </c>
      <c r="J18" s="1">
        <f>SUM(tblExpenseCategory_04[aug])</f>
        <v>0</v>
      </c>
      <c r="K18" s="1">
        <f>SUM(tblExpenseCategory_04[sep])</f>
        <v>0</v>
      </c>
      <c r="L18" s="1">
        <f>SUM(tblExpenseCategory_04[oct])</f>
        <v>0</v>
      </c>
      <c r="M18" s="1">
        <f>SUM(tblExpenseCategory_04[nov])</f>
        <v>300</v>
      </c>
      <c r="N18" s="1">
        <f>SUM(tblExpenseCategory_04[dec])</f>
        <v>700</v>
      </c>
      <c r="O18" s="1">
        <f>SUM(tblExpenseCategory_04[year])</f>
        <v>1200</v>
      </c>
      <c r="P18" s="1">
        <f>SUM(tblExpenseCategory_04[avg])</f>
        <v>100</v>
      </c>
    </row>
    <row r="19" spans="2:16">
      <c r="B19" s="3" t="str">
        <f>LOWER(Budget!B39)</f>
        <v>training</v>
      </c>
      <c r="C19" s="1">
        <f>SUM(tblExpenseCategory_03[jan])</f>
        <v>0</v>
      </c>
      <c r="D19" s="1">
        <f>SUM(tblExpenseCategory_03[feb])</f>
        <v>0</v>
      </c>
      <c r="E19" s="1">
        <f>SUM(tblExpenseCategory_03[mar])</f>
        <v>1252</v>
      </c>
      <c r="F19" s="1">
        <f>SUM(tblExpenseCategory_03[apr])</f>
        <v>0</v>
      </c>
      <c r="G19" s="1">
        <f>SUM(tblExpenseCategory_03[may])</f>
        <v>0</v>
      </c>
      <c r="H19" s="1">
        <f>SUM(tblExpenseCategory_03[jun])</f>
        <v>1252</v>
      </c>
      <c r="I19" s="1">
        <f>SUM(tblExpenseCategory_03[jul])</f>
        <v>0</v>
      </c>
      <c r="J19" s="1">
        <f>SUM(tblExpenseCategory_03[aug])</f>
        <v>0</v>
      </c>
      <c r="K19" s="1">
        <f>SUM(tblExpenseCategory_03[sep])</f>
        <v>1252</v>
      </c>
      <c r="L19" s="1">
        <f>SUM(tblExpenseCategory_03[oct])</f>
        <v>0</v>
      </c>
      <c r="M19" s="1">
        <f>SUM(tblExpenseCategory_03[nov])</f>
        <v>0</v>
      </c>
      <c r="N19" s="1">
        <f>SUM(tblExpenseCategory_03[dec])</f>
        <v>1252</v>
      </c>
      <c r="O19" s="1">
        <f>SUM(tblExpenseCategory_03[year])</f>
        <v>5008</v>
      </c>
      <c r="P19" s="1">
        <f>SUM(tblExpenseCategory_03[avg])</f>
        <v>417.33333333333331</v>
      </c>
    </row>
    <row r="20" spans="2:16">
      <c r="B20" t="str">
        <f>LOWER(Budget!B30)</f>
        <v>transportation</v>
      </c>
      <c r="C20" s="1">
        <f>SUM(tblExpenseCategory_02[jan])</f>
        <v>1399</v>
      </c>
      <c r="D20" s="1">
        <f>SUM(tblExpenseCategory_02[feb])</f>
        <v>331</v>
      </c>
      <c r="E20" s="1">
        <f>SUM(tblExpenseCategory_02[mar])</f>
        <v>354</v>
      </c>
      <c r="F20" s="1">
        <f>SUM(tblExpenseCategory_02[apr])</f>
        <v>380</v>
      </c>
      <c r="G20" s="1">
        <f>SUM(tblExpenseCategory_02[may])</f>
        <v>0</v>
      </c>
      <c r="H20" s="1">
        <f>SUM(tblExpenseCategory_02[jun])</f>
        <v>0</v>
      </c>
      <c r="I20" s="1">
        <f>SUM(tblExpenseCategory_02[jul])</f>
        <v>2461</v>
      </c>
      <c r="J20" s="1">
        <f>SUM(tblExpenseCategory_02[aug])</f>
        <v>281</v>
      </c>
      <c r="K20" s="1">
        <f>SUM(tblExpenseCategory_02[sep])</f>
        <v>494</v>
      </c>
      <c r="L20" s="1">
        <f>SUM(tblExpenseCategory_02[oct])</f>
        <v>0</v>
      </c>
      <c r="M20" s="1">
        <f>SUM(tblExpenseCategory_02[nov])</f>
        <v>0</v>
      </c>
      <c r="N20" s="1">
        <f>SUM(tblExpenseCategory_02[dec])</f>
        <v>1501</v>
      </c>
      <c r="O20" s="1">
        <f>SUM(tblExpenseCategory_02[year])</f>
        <v>7201</v>
      </c>
      <c r="P20" s="1">
        <f>SUM(tblExpenseCategory_02[avg])</f>
        <v>600.08333333333326</v>
      </c>
    </row>
    <row r="21" spans="2:16">
      <c r="B21" t="str">
        <f>LOWER(Budget!B21)</f>
        <v>office supplies</v>
      </c>
      <c r="C21" s="1">
        <f>SUM(tblExpenseCategory_01[jan])</f>
        <v>215</v>
      </c>
      <c r="D21" s="1">
        <f>SUM(tblExpenseCategory_01[feb])</f>
        <v>0</v>
      </c>
      <c r="E21" s="1">
        <f>SUM(tblExpenseCategory_01[mar])</f>
        <v>78</v>
      </c>
      <c r="F21" s="1">
        <f>SUM(tblExpenseCategory_01[apr])</f>
        <v>0</v>
      </c>
      <c r="G21" s="1">
        <f>SUM(tblExpenseCategory_01[may])</f>
        <v>219</v>
      </c>
      <c r="H21" s="1">
        <f>SUM(tblExpenseCategory_01[jun])</f>
        <v>0</v>
      </c>
      <c r="I21" s="1">
        <f>SUM(tblExpenseCategory_01[jul])</f>
        <v>121</v>
      </c>
      <c r="J21" s="1">
        <f>SUM(tblExpenseCategory_01[aug])</f>
        <v>110</v>
      </c>
      <c r="K21" s="1">
        <f>SUM(tblExpenseCategory_01[sep])</f>
        <v>78</v>
      </c>
      <c r="L21" s="1">
        <f>SUM(tblExpenseCategory_01[oct])</f>
        <v>0</v>
      </c>
      <c r="M21" s="1">
        <f>SUM(tblExpenseCategory_01[nov])</f>
        <v>252</v>
      </c>
      <c r="N21" s="1">
        <f>SUM(tblExpenseCategory_01[dec])</f>
        <v>0</v>
      </c>
      <c r="O21" s="1">
        <f>SUM(tblExpenseCategory_01[year])</f>
        <v>1073</v>
      </c>
      <c r="P21" s="1">
        <f>SUM(tblExpenseCategory_01[avg])</f>
        <v>89.416666666666671</v>
      </c>
    </row>
    <row r="22" spans="2:16">
      <c r="C22" s="1"/>
      <c r="D22" s="1"/>
      <c r="E22" s="1"/>
      <c r="F22" s="1"/>
      <c r="G22" s="1"/>
      <c r="H22" s="1"/>
      <c r="I22" s="1"/>
      <c r="J22" s="1"/>
      <c r="K22" s="1"/>
      <c r="L22" s="1"/>
      <c r="M22" s="1"/>
      <c r="N22" s="1"/>
      <c r="O22" s="1"/>
      <c r="P22" s="1"/>
    </row>
    <row r="23" spans="2:16">
      <c r="C23" s="1"/>
      <c r="D23" s="1"/>
      <c r="E23" s="1"/>
      <c r="F23" s="1"/>
      <c r="G23" s="1"/>
      <c r="H23" s="1"/>
      <c r="I23" s="1"/>
      <c r="J23" s="1"/>
      <c r="K23" s="1"/>
      <c r="L23" s="1"/>
      <c r="M23" s="1"/>
      <c r="N23" s="1"/>
      <c r="O23" s="1"/>
      <c r="P23" s="1"/>
    </row>
    <row r="24" spans="2:16">
      <c r="C24" s="1"/>
      <c r="D24" s="1"/>
      <c r="E24" s="1"/>
      <c r="F24" s="1"/>
      <c r="G24" s="1"/>
      <c r="H24" s="1"/>
      <c r="I24" s="1"/>
      <c r="J24" s="1"/>
      <c r="K24" s="1"/>
      <c r="L24" s="1"/>
      <c r="M24" s="1"/>
      <c r="N24" s="1"/>
      <c r="O24" s="1"/>
      <c r="P24" s="1"/>
    </row>
    <row r="25" spans="2:16">
      <c r="C25" s="1"/>
      <c r="D25" s="1"/>
      <c r="E25" s="1"/>
      <c r="F25" s="1"/>
      <c r="G25" s="1"/>
      <c r="H25" s="1"/>
      <c r="I25" s="1"/>
      <c r="J25" s="1"/>
      <c r="K25" s="1"/>
      <c r="L25" s="1"/>
      <c r="M25" s="1"/>
      <c r="N25" s="1"/>
      <c r="O25" s="1"/>
      <c r="P25" s="1"/>
    </row>
    <row r="26" spans="2:16">
      <c r="B26" t="s">
        <v>7</v>
      </c>
      <c r="C26" s="1">
        <f>SUM(Budget!$C$8:C$8)</f>
        <v>7575</v>
      </c>
      <c r="D26" s="1">
        <f>SUM(Budget!$C$8:D$8)</f>
        <v>6659</v>
      </c>
      <c r="E26" s="1">
        <f>SUM(Budget!$C$8:E$8)</f>
        <v>4029</v>
      </c>
      <c r="F26" s="1">
        <f>SUM(Budget!$C$8:F$8)</f>
        <v>7791</v>
      </c>
      <c r="G26" s="1">
        <f>SUM(Budget!$C$8:G$8)</f>
        <v>6444</v>
      </c>
      <c r="H26" s="1">
        <f>SUM(Budget!$C$8:H$8)</f>
        <v>4479</v>
      </c>
      <c r="I26" s="1">
        <f>SUM(Budget!$C$8:I$8)</f>
        <v>3188</v>
      </c>
      <c r="J26" s="1">
        <f>SUM(Budget!$C$8:J$8)</f>
        <v>2117</v>
      </c>
      <c r="K26" s="1">
        <f>SUM(Budget!$C$8:K$8)</f>
        <v>-451</v>
      </c>
      <c r="L26" s="1">
        <f>SUM(Budget!$C$8:L$8)</f>
        <v>8856</v>
      </c>
      <c r="M26" s="1">
        <f>SUM(Budget!$C$8:M$8)</f>
        <v>7301</v>
      </c>
      <c r="N26" s="1">
        <f>SUM(Budget!$C$8:N$8)</f>
        <v>986</v>
      </c>
      <c r="O26" s="1">
        <f>SUM(Budget!$C$8:O$8)</f>
        <v>1972</v>
      </c>
      <c r="P26" s="1"/>
    </row>
    <row r="27" spans="2:16">
      <c r="P27" s="1"/>
    </row>
    <row r="28" spans="2:16">
      <c r="B28" t="s">
        <v>9</v>
      </c>
      <c r="C28" s="1" t="e">
        <f>IF(Budget!C$8&lt;0,NA(),IF(period+2&lt;&gt;COLUMN(Budget!C$8),NA(),Budget!C$8))</f>
        <v>#N/A</v>
      </c>
      <c r="D28" s="4" t="e">
        <f>IF(Budget!D$8&lt;0,NA(),IF(period+2&lt;&gt;COLUMN(Budget!D$8),NA(),Budget!D$8))</f>
        <v>#N/A</v>
      </c>
      <c r="E28" s="4" t="e">
        <f>IF(Budget!E$8&lt;0,NA(),IF(period+2&lt;&gt;COLUMN(Budget!E$8),NA(),Budget!E$8))</f>
        <v>#N/A</v>
      </c>
      <c r="F28" s="4" t="e">
        <f>IF(Budget!F$8&lt;0,NA(),IF(period+2&lt;&gt;COLUMN(Budget!F$8),NA(),Budget!F$8))</f>
        <v>#N/A</v>
      </c>
      <c r="G28" s="4" t="e">
        <f>IF(Budget!G$8&lt;0,NA(),IF(period+2&lt;&gt;COLUMN(Budget!G$8),NA(),Budget!G$8))</f>
        <v>#N/A</v>
      </c>
      <c r="H28" s="4" t="e">
        <f>IF(Budget!H$8&lt;0,NA(),IF(period+2&lt;&gt;COLUMN(Budget!H$8),NA(),Budget!H$8))</f>
        <v>#N/A</v>
      </c>
      <c r="I28" s="4" t="e">
        <f>IF(Budget!I$8&lt;0,NA(),IF(period+2&lt;&gt;COLUMN(Budget!I$8),NA(),Budget!I$8))</f>
        <v>#N/A</v>
      </c>
      <c r="J28" s="4" t="e">
        <f>IF(Budget!J$8&lt;0,NA(),IF(period+2&lt;&gt;COLUMN(Budget!J$8),NA(),Budget!J$8))</f>
        <v>#N/A</v>
      </c>
      <c r="K28" s="4" t="e">
        <f>IF(Budget!K$8&lt;0,NA(),IF(period+2&lt;&gt;COLUMN(Budget!K$8),NA(),Budget!K$8))</f>
        <v>#N/A</v>
      </c>
      <c r="L28" s="4" t="e">
        <f>IF(Budget!L$8&lt;0,NA(),IF(period+2&lt;&gt;COLUMN(Budget!L$8),NA(),Budget!L$8))</f>
        <v>#N/A</v>
      </c>
      <c r="M28" s="4" t="e">
        <f>IF(Budget!M$8&lt;0,NA(),IF(period+2&lt;&gt;COLUMN(Budget!M$8),NA(),Budget!M$8))</f>
        <v>#N/A</v>
      </c>
      <c r="N28" s="4" t="e">
        <f>IF(Budget!N$8&lt;0,NA(),IF(period+2&lt;&gt;COLUMN(Budget!N$8),NA(),Budget!N$8))</f>
        <v>#N/A</v>
      </c>
      <c r="O28" s="4">
        <f>IF(Budget!O$8&lt;0,NA(),IF(period+2&lt;&gt;COLUMN(Budget!O$8),NA(),Budget!O$8))</f>
        <v>986</v>
      </c>
    </row>
    <row r="29" spans="2:16">
      <c r="B29" t="s">
        <v>10</v>
      </c>
      <c r="C29" s="1" t="e">
        <f>IF(Budget!C$8&gt;=0,NA(),IF(period+2&lt;&gt;COLUMN(Budget!C$8),NA(),Budget!C$8))</f>
        <v>#N/A</v>
      </c>
      <c r="D29" s="4" t="e">
        <f>IF(Budget!D$8&gt;=0,NA(),IF(period+2&lt;&gt;COLUMN(Budget!D$8),NA(),Budget!D$8))</f>
        <v>#N/A</v>
      </c>
      <c r="E29" s="4" t="e">
        <f>IF(Budget!E$8&gt;=0,NA(),IF(period+2&lt;&gt;COLUMN(Budget!E$8),NA(),Budget!E$8))</f>
        <v>#N/A</v>
      </c>
      <c r="F29" s="4" t="e">
        <f>IF(Budget!F$8&gt;=0,NA(),IF(period+2&lt;&gt;COLUMN(Budget!F$8),NA(),Budget!F$8))</f>
        <v>#N/A</v>
      </c>
      <c r="G29" s="4" t="e">
        <f>IF(Budget!G$8&gt;=0,NA(),IF(period+2&lt;&gt;COLUMN(Budget!G$8),NA(),Budget!G$8))</f>
        <v>#N/A</v>
      </c>
      <c r="H29" s="4" t="e">
        <f>IF(Budget!H$8&gt;=0,NA(),IF(period+2&lt;&gt;COLUMN(Budget!H$8),NA(),Budget!H$8))</f>
        <v>#N/A</v>
      </c>
      <c r="I29" s="4" t="e">
        <f>IF(Budget!I$8&gt;=0,NA(),IF(period+2&lt;&gt;COLUMN(Budget!I$8),NA(),Budget!I$8))</f>
        <v>#N/A</v>
      </c>
      <c r="J29" s="4" t="e">
        <f>IF(Budget!J$8&gt;=0,NA(),IF(period+2&lt;&gt;COLUMN(Budget!J$8),NA(),Budget!J$8))</f>
        <v>#N/A</v>
      </c>
      <c r="K29" s="4" t="e">
        <f>IF(Budget!K$8&gt;=0,NA(),IF(period+2&lt;&gt;COLUMN(Budget!K$8),NA(),Budget!K$8))</f>
        <v>#N/A</v>
      </c>
      <c r="L29" s="4" t="e">
        <f>IF(Budget!L$8&gt;=0,NA(),IF(period+2&lt;&gt;COLUMN(Budget!L$8),NA(),Budget!L$8))</f>
        <v>#N/A</v>
      </c>
      <c r="M29" s="4" t="e">
        <f>IF(Budget!M$8&gt;=0,NA(),IF(period+2&lt;&gt;COLUMN(Budget!M$8),NA(),Budget!M$8))</f>
        <v>#N/A</v>
      </c>
      <c r="N29" s="4" t="e">
        <f>IF(Budget!N$8&gt;=0,NA(),IF(period+2&lt;&gt;COLUMN(Budget!N$8),NA(),Budget!N$8))</f>
        <v>#N/A</v>
      </c>
      <c r="O29" s="4" t="e">
        <f>IF(Budget!O$8&gt;=0,NA(),IF(period+2&lt;&gt;COLUMN(Budget!O$8),NA(),Budget!O$8))</f>
        <v>#N/A</v>
      </c>
    </row>
    <row r="35" spans="2:4">
      <c r="B35" s="3"/>
    </row>
    <row r="37" spans="2:4">
      <c r="B37" t="str">
        <f>LOWER(display_long_period)</f>
        <v>year</v>
      </c>
    </row>
    <row r="38" spans="2:4">
      <c r="B38" t="str">
        <f>display_long_period &amp; " Income"</f>
        <v>Year Income</v>
      </c>
      <c r="C38" s="2">
        <f>INDEX(Budget!$C$6:$P$6,,period)</f>
        <v>43413</v>
      </c>
    </row>
    <row r="39" spans="2:4">
      <c r="B39" t="str">
        <f>display_long_period &amp; " Expenses: " &amp; TEXT(INDEX(Budget!$C$7:$P$7,,period),"$#,##0")</f>
        <v>Year Expenses: $42,427</v>
      </c>
      <c r="C39" s="2">
        <f>INDEX(Budget!$C$7:$P$7,,period)</f>
        <v>42427</v>
      </c>
    </row>
    <row r="40" spans="2:4">
      <c r="B40" t="str">
        <f>display_long_period &amp; " Cash Flow"</f>
        <v>Year Cash Flow</v>
      </c>
      <c r="C40" s="2">
        <f>ABS(INDEX(Budget!$C$8:$P$8,,period))</f>
        <v>986</v>
      </c>
      <c r="D40" t="str">
        <f>REPT("-",INDEX(Budget!$C$8:$P$8,,period)&lt;0)</f>
        <v/>
      </c>
    </row>
  </sheetData>
  <sheetProtection algorithmName="SHA-512" hashValue="Zy9OIJhwh5oKqU+syst4z672odQKfCj5NC4ViPwtDjh2PGINqQHyK+G77DwCfCSxSMm6pEyAFxYkZW26e6ZyyQ==" saltValue="ASObXnnmSQ8EytO5e9J9QQ==" spinCount="100000" sheet="1" objects="1" scenarios="1"/>
  <pageMargins left="0.7" right="0.7" top="0.75" bottom="0.75" header="0.3" footer="0.3"/>
  <pageSetup orientation="portrait" r:id="rId1"/>
</worksheet>
</file>

<file path=customUI/customUI.xml>
</file>

<file path=customUI/customUI14.xml><?xml version="1.0" encoding="utf-8"?>
<customUI xmlns="http://schemas.microsoft.com/office/2009/07/customui">
  <commands>
    <command idMso="ApplicationOptionsDialog" enabled="false"/>
    <command idMso="FileExit" enabled="false"/>
  </commands>
  <ribbon>
    <tabs>
      <tab idMso="TabHome" visible="false"/>
      <tab idMso="TabInsert" visible="false"/>
      <tab idMso="TabPageLayoutExcel" visible="false"/>
      <tab idMso="TabFormulas" visible="false"/>
      <tab idMso="TabData" visible="false"/>
      <tab idMso="TabReview" visible="true"/>
      <tab idMso="TabView" visible="false"/>
      <tab idMso="TabDeveloper" visible="false"/>
      <tab idMso="TabHelp" visible="false"/>
    </tabs>
  </ribbon>
  <backstage>
    <button idMso="FileSave" visible="false"/>
    <button idMso="FileSaveAs" visible="false"/>
    <button idMso="FileOpen" visible="false"/>
    <button idMso="FileClose" visible="false"/>
    <button idMso="ApplicationOptionsDialog" visible="false"/>
    <button idMso="FileExit" visible="false"/>
    <button idMso="HistoryTab" visible="false"/>
    <button idMso="OfficeFeedback" visible="false"/>
    <tab idMso="TabInfo" visible="false"/>
    <tab idMso="TabRecent" visible="false"/>
    <tab idMso="TabNew" visible="false"/>
    <tab idMso="TabPrint" visible="false"/>
    <tab idMso="TabShare" visible="false"/>
    <tab idMso="TabHelp" visible="false"/>
    <tab idMso="TabPublish" visible="false"/>
    <tab idMso="TabSave" visible="false"/>
    <tab idMso="TabOfficeStart" visible="false"/>
    <tab idMso="Publish2Tab" visible="false"/>
    <tab idMso="TabOfficeFeedback" visible="false"/>
  </backstage>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C45E4A1-AE48-4D6A-9A6A-B8EF5FA77F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Dashboard</vt:lpstr>
      <vt:lpstr>Budget</vt:lpstr>
      <vt:lpstr>Setup</vt:lpstr>
      <vt:lpstr>chart data</vt:lpstr>
      <vt:lpstr>BudgetName</vt:lpstr>
      <vt:lpstr>expense_categories</vt:lpstr>
      <vt:lpstr>expenses_charity</vt:lpstr>
      <vt:lpstr>expenses_children</vt:lpstr>
      <vt:lpstr>expenses_daily_living</vt:lpstr>
      <vt:lpstr>expenses_education</vt:lpstr>
      <vt:lpstr>expenses_entertainment</vt:lpstr>
      <vt:lpstr>expenses_health</vt:lpstr>
      <vt:lpstr>expenses_home</vt:lpstr>
      <vt:lpstr>expenses_insurance</vt:lpstr>
      <vt:lpstr>expenses_misc</vt:lpstr>
      <vt:lpstr>expenses_obligations</vt:lpstr>
      <vt:lpstr>expenses_pets</vt:lpstr>
      <vt:lpstr>expenses_savings</vt:lpstr>
      <vt:lpstr>expenses_subscriptions</vt:lpstr>
      <vt:lpstr>expenses_transportation</vt:lpstr>
      <vt:lpstr>expenses_vacation</vt:lpstr>
      <vt:lpstr>income</vt:lpstr>
      <vt:lpstr>period</vt:lpstr>
      <vt:lpstr>Budget!Print_Titles</vt:lpstr>
      <vt:lpstr>shpButtonDetails</vt:lpstr>
      <vt:lpstr>StartCell</vt:lpstr>
      <vt:lpstr>StartingBalance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Generic family budget</dc:title>
  <dc:creator>Jason Scott</dc:creator>
  <cp:keywords/>
  <cp:lastModifiedBy>Jason Scott</cp:lastModifiedBy>
  <dcterms:created xsi:type="dcterms:W3CDTF">2017-05-08T01:35:50Z</dcterms:created>
  <dcterms:modified xsi:type="dcterms:W3CDTF">2017-05-15T19:00:12Z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TC027802329991</vt:lpwstr>
  </property>
</Properties>
</file>