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9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0.xml" ContentType="application/vnd.openxmlformats-officedocument.drawing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1.xml" ContentType="application/vnd.openxmlformats-officedocument.drawing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2.xml" ContentType="application/vnd.openxmlformats-officedocument.drawing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3.xml" ContentType="application/vnd.openxmlformats-officedocument.drawing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4.xml" ContentType="application/vnd.openxmlformats-officedocument.drawing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15.xml" ContentType="application/vnd.openxmlformats-officedocument.drawing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1079458\work\Miscellanous\STEG\"/>
    </mc:Choice>
  </mc:AlternateContent>
  <xr:revisionPtr revIDLastSave="0" documentId="13_ncr:1_{38CE9E62-3D1C-4583-B2A0-DDE992BDAF3F}" xr6:coauthVersionLast="46" xr6:coauthVersionMax="46" xr10:uidLastSave="{00000000-0000-0000-0000-000000000000}"/>
  <bookViews>
    <workbookView xWindow="-120" yWindow="-120" windowWidth="20730" windowHeight="11160" firstSheet="12" activeTab="14" xr2:uid="{00000000-000D-0000-FFFF-FFFF00000000}"/>
  </bookViews>
  <sheets>
    <sheet name="STEG - Sept. 2017" sheetId="1" r:id="rId1"/>
    <sheet name="STEG - Jan. 2018" sheetId="6" r:id="rId2"/>
    <sheet name="STEG - May 2018" sheetId="7" r:id="rId3"/>
    <sheet name="STEG - Sep 2018" sheetId="8" r:id="rId4"/>
    <sheet name="STEG - Jan 2019" sheetId="9" r:id="rId5"/>
    <sheet name="STEG - Mai 2019" sheetId="10" r:id="rId6"/>
    <sheet name="STEG - Sept 2019" sheetId="11" r:id="rId7"/>
    <sheet name="STEG - jan 2020" sheetId="12" r:id="rId8"/>
    <sheet name="STEG - Mai 2020" sheetId="14" r:id="rId9"/>
    <sheet name="STEG - Sep 2020" sheetId="15" r:id="rId10"/>
    <sheet name="STEG - Jan 2021" sheetId="16" r:id="rId11"/>
    <sheet name="STEG - May 2021" sheetId="17" r:id="rId12"/>
    <sheet name="STEG - Sep 2021" sheetId="18" r:id="rId13"/>
    <sheet name="STEG - Jan 2022" sheetId="19" r:id="rId14"/>
    <sheet name="STEG - May 2022" sheetId="20" r:id="rId15"/>
  </sheets>
  <definedNames>
    <definedName name="_xlcn.WorksheetConnection_steg_simulation.xlsxelectricity_cost1" hidden="1">electricity_cost[]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lectricity_cost" name="electricity_cost" connection="WorksheetConnection_steg_simulation.xlsx!electricity_cos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0" i="20" l="1"/>
  <c r="Q20" i="20"/>
  <c r="F20" i="20"/>
  <c r="H20" i="20" s="1"/>
  <c r="I20" i="20" s="1"/>
  <c r="Q19" i="20"/>
  <c r="R19" i="20" s="1"/>
  <c r="S19" i="20" s="1"/>
  <c r="T19" i="20" s="1"/>
  <c r="F19" i="20"/>
  <c r="Q18" i="20"/>
  <c r="F18" i="20"/>
  <c r="E11" i="20"/>
  <c r="Q26" i="19"/>
  <c r="V27" i="19" s="1"/>
  <c r="Q27" i="19"/>
  <c r="R27" i="19" s="1"/>
  <c r="S27" i="19" s="1"/>
  <c r="Q28" i="19"/>
  <c r="R28" i="19" s="1"/>
  <c r="S28" i="19" s="1"/>
  <c r="V28" i="19"/>
  <c r="F28" i="19"/>
  <c r="H28" i="19" s="1"/>
  <c r="I28" i="19" s="1"/>
  <c r="J28" i="19" s="1"/>
  <c r="K28" i="19" s="1"/>
  <c r="F27" i="19"/>
  <c r="H27" i="19" s="1"/>
  <c r="I27" i="19" s="1"/>
  <c r="J27" i="19" s="1"/>
  <c r="F26" i="19"/>
  <c r="H26" i="19" s="1"/>
  <c r="I26" i="19" s="1"/>
  <c r="J26" i="19" s="1"/>
  <c r="Q25" i="19"/>
  <c r="F25" i="19"/>
  <c r="H25" i="19" s="1"/>
  <c r="I25" i="19" s="1"/>
  <c r="Q24" i="19"/>
  <c r="R24" i="19" s="1"/>
  <c r="S24" i="19" s="1"/>
  <c r="T24" i="19" s="1"/>
  <c r="F24" i="19"/>
  <c r="Q23" i="19"/>
  <c r="V24" i="19" s="1"/>
  <c r="F23" i="19"/>
  <c r="Q22" i="19"/>
  <c r="F22" i="19"/>
  <c r="Q21" i="19"/>
  <c r="F21" i="19"/>
  <c r="H21" i="19" s="1"/>
  <c r="I21" i="19" s="1"/>
  <c r="Q20" i="19"/>
  <c r="F20" i="19"/>
  <c r="Q19" i="19"/>
  <c r="R19" i="19" s="1"/>
  <c r="S19" i="19" s="1"/>
  <c r="T19" i="19" s="1"/>
  <c r="F19" i="19"/>
  <c r="Q18" i="19"/>
  <c r="F18" i="19"/>
  <c r="H18" i="19" s="1"/>
  <c r="I18" i="19" s="1"/>
  <c r="E11" i="19"/>
  <c r="Q25" i="18"/>
  <c r="R25" i="18" s="1"/>
  <c r="S25" i="18" s="1"/>
  <c r="F25" i="18"/>
  <c r="H25" i="18" s="1"/>
  <c r="I25" i="18" s="1"/>
  <c r="J25" i="18" s="1"/>
  <c r="Q24" i="18"/>
  <c r="R24" i="18" s="1"/>
  <c r="S24" i="18" s="1"/>
  <c r="F24" i="18"/>
  <c r="H24" i="18" s="1"/>
  <c r="I24" i="18" s="1"/>
  <c r="J24" i="18" s="1"/>
  <c r="R20" i="20" l="1"/>
  <c r="S20" i="20" s="1"/>
  <c r="T20" i="20" s="1"/>
  <c r="U20" i="20" s="1"/>
  <c r="V19" i="20"/>
  <c r="V20" i="20"/>
  <c r="R18" i="20"/>
  <c r="S18" i="20" s="1"/>
  <c r="T18" i="20" s="1"/>
  <c r="U19" i="20" s="1"/>
  <c r="L20" i="20"/>
  <c r="L19" i="20"/>
  <c r="H18" i="20"/>
  <c r="I18" i="20" s="1"/>
  <c r="J18" i="20" s="1"/>
  <c r="J20" i="20"/>
  <c r="H19" i="20"/>
  <c r="I19" i="20" s="1"/>
  <c r="W28" i="19"/>
  <c r="T28" i="19"/>
  <c r="T27" i="19"/>
  <c r="U28" i="19" s="1"/>
  <c r="W27" i="19"/>
  <c r="R26" i="19"/>
  <c r="S26" i="19" s="1"/>
  <c r="T26" i="19" s="1"/>
  <c r="U27" i="19" s="1"/>
  <c r="V25" i="19"/>
  <c r="V26" i="19"/>
  <c r="L28" i="19"/>
  <c r="K27" i="19"/>
  <c r="L27" i="19"/>
  <c r="L25" i="19"/>
  <c r="L26" i="19"/>
  <c r="L22" i="19"/>
  <c r="L21" i="19"/>
  <c r="V19" i="19"/>
  <c r="V20" i="19"/>
  <c r="R20" i="19"/>
  <c r="S20" i="19" s="1"/>
  <c r="T20" i="19" s="1"/>
  <c r="U20" i="19" s="1"/>
  <c r="R25" i="19"/>
  <c r="S25" i="19" s="1"/>
  <c r="T25" i="19" s="1"/>
  <c r="V23" i="19"/>
  <c r="R18" i="19"/>
  <c r="S18" i="19" s="1"/>
  <c r="T18" i="19" s="1"/>
  <c r="U19" i="19" s="1"/>
  <c r="V21" i="19"/>
  <c r="L24" i="19"/>
  <c r="H22" i="19"/>
  <c r="I22" i="19" s="1"/>
  <c r="J22" i="19" s="1"/>
  <c r="H23" i="19"/>
  <c r="I23" i="19" s="1"/>
  <c r="J23" i="19" s="1"/>
  <c r="L23" i="19"/>
  <c r="L19" i="19"/>
  <c r="J25" i="19"/>
  <c r="K26" i="19" s="1"/>
  <c r="J21" i="19"/>
  <c r="J18" i="19"/>
  <c r="H20" i="19"/>
  <c r="I20" i="19" s="1"/>
  <c r="L20" i="19"/>
  <c r="R22" i="19"/>
  <c r="S22" i="19" s="1"/>
  <c r="T22" i="19" s="1"/>
  <c r="V22" i="19"/>
  <c r="H24" i="19"/>
  <c r="I24" i="19" s="1"/>
  <c r="H19" i="19"/>
  <c r="I19" i="19" s="1"/>
  <c r="E10" i="19" s="1"/>
  <c r="R21" i="19"/>
  <c r="S21" i="19" s="1"/>
  <c r="T21" i="19" s="1"/>
  <c r="R23" i="19"/>
  <c r="S23" i="19" s="1"/>
  <c r="T23" i="19" s="1"/>
  <c r="U24" i="19" s="1"/>
  <c r="W25" i="18"/>
  <c r="T25" i="18"/>
  <c r="V25" i="18"/>
  <c r="K25" i="18"/>
  <c r="L25" i="18"/>
  <c r="W24" i="18"/>
  <c r="T24" i="18"/>
  <c r="U25" i="18" s="1"/>
  <c r="Q23" i="18"/>
  <c r="V24" i="18" s="1"/>
  <c r="F23" i="18"/>
  <c r="H23" i="18" s="1"/>
  <c r="I23" i="18" s="1"/>
  <c r="J23" i="18" s="1"/>
  <c r="K24" i="18" s="1"/>
  <c r="Q22" i="18"/>
  <c r="R22" i="18" s="1"/>
  <c r="S22" i="18" s="1"/>
  <c r="F22" i="18"/>
  <c r="H22" i="18" s="1"/>
  <c r="I22" i="18" s="1"/>
  <c r="J22" i="18" s="1"/>
  <c r="Q21" i="18"/>
  <c r="R21" i="18" s="1"/>
  <c r="S21" i="18" s="1"/>
  <c r="F21" i="18"/>
  <c r="Q20" i="18"/>
  <c r="R20" i="18" s="1"/>
  <c r="S20" i="18" s="1"/>
  <c r="T20" i="18" s="1"/>
  <c r="F20" i="18"/>
  <c r="Q19" i="18"/>
  <c r="F19" i="18"/>
  <c r="Q18" i="18"/>
  <c r="F18" i="18"/>
  <c r="H18" i="18" s="1"/>
  <c r="I18" i="18" s="1"/>
  <c r="E11" i="18"/>
  <c r="W18" i="20" l="1"/>
  <c r="E10" i="20"/>
  <c r="E12" i="20" s="1"/>
  <c r="J19" i="20"/>
  <c r="K20" i="20" s="1"/>
  <c r="W19" i="20"/>
  <c r="W26" i="19"/>
  <c r="U22" i="19"/>
  <c r="U25" i="19"/>
  <c r="U26" i="19"/>
  <c r="W25" i="19"/>
  <c r="E12" i="19"/>
  <c r="W18" i="19"/>
  <c r="J24" i="19"/>
  <c r="K25" i="19" s="1"/>
  <c r="W24" i="19"/>
  <c r="W23" i="19"/>
  <c r="J20" i="19"/>
  <c r="K21" i="19" s="1"/>
  <c r="W20" i="19"/>
  <c r="U23" i="19"/>
  <c r="W21" i="19"/>
  <c r="K23" i="19"/>
  <c r="W19" i="19"/>
  <c r="J19" i="19"/>
  <c r="K22" i="19"/>
  <c r="W22" i="19"/>
  <c r="U21" i="19"/>
  <c r="L24" i="18"/>
  <c r="R23" i="18"/>
  <c r="S23" i="18" s="1"/>
  <c r="W23" i="18" s="1"/>
  <c r="L21" i="18"/>
  <c r="V22" i="18"/>
  <c r="V23" i="18"/>
  <c r="V21" i="18"/>
  <c r="L23" i="18"/>
  <c r="K23" i="18"/>
  <c r="H21" i="18"/>
  <c r="I21" i="18" s="1"/>
  <c r="J21" i="18" s="1"/>
  <c r="K22" i="18" s="1"/>
  <c r="W22" i="18"/>
  <c r="T22" i="18"/>
  <c r="L22" i="18"/>
  <c r="T21" i="18"/>
  <c r="V19" i="18"/>
  <c r="V20" i="18"/>
  <c r="R18" i="18"/>
  <c r="S18" i="18" s="1"/>
  <c r="T18" i="18" s="1"/>
  <c r="L20" i="18"/>
  <c r="H19" i="18"/>
  <c r="I19" i="18" s="1"/>
  <c r="E10" i="18" s="1"/>
  <c r="L19" i="18"/>
  <c r="J18" i="18"/>
  <c r="H20" i="18"/>
  <c r="I20" i="18" s="1"/>
  <c r="R19" i="18"/>
  <c r="S19" i="18" s="1"/>
  <c r="T19" i="18" s="1"/>
  <c r="U20" i="18" s="1"/>
  <c r="V26" i="17"/>
  <c r="V27" i="17"/>
  <c r="V28" i="17"/>
  <c r="V29" i="17"/>
  <c r="V30" i="17"/>
  <c r="V31" i="17"/>
  <c r="U27" i="17"/>
  <c r="U28" i="17"/>
  <c r="U29" i="17"/>
  <c r="U30" i="17"/>
  <c r="U31" i="17"/>
  <c r="Q31" i="17"/>
  <c r="R31" i="17" s="1"/>
  <c r="S31" i="17" s="1"/>
  <c r="F31" i="17"/>
  <c r="H31" i="17" s="1"/>
  <c r="I31" i="17" s="1"/>
  <c r="J31" i="17" s="1"/>
  <c r="Q30" i="17"/>
  <c r="F30" i="17"/>
  <c r="H30" i="17" s="1"/>
  <c r="I30" i="17" s="1"/>
  <c r="Q29" i="17"/>
  <c r="F29" i="17"/>
  <c r="H29" i="17" s="1"/>
  <c r="I29" i="17" s="1"/>
  <c r="Q28" i="17"/>
  <c r="R28" i="17" s="1"/>
  <c r="S28" i="17" s="1"/>
  <c r="T28" i="17" s="1"/>
  <c r="F28" i="17"/>
  <c r="Q27" i="17"/>
  <c r="R27" i="17" s="1"/>
  <c r="S27" i="17" s="1"/>
  <c r="T27" i="17" s="1"/>
  <c r="F27" i="17"/>
  <c r="Q26" i="17"/>
  <c r="F26" i="17"/>
  <c r="H26" i="17" s="1"/>
  <c r="I26" i="17" s="1"/>
  <c r="Q25" i="17"/>
  <c r="F25" i="17"/>
  <c r="H25" i="17" s="1"/>
  <c r="I25" i="17" s="1"/>
  <c r="Q24" i="17"/>
  <c r="F24" i="17"/>
  <c r="Q23" i="17"/>
  <c r="R23" i="17" s="1"/>
  <c r="S23" i="17" s="1"/>
  <c r="T23" i="17" s="1"/>
  <c r="F23" i="17"/>
  <c r="Q22" i="17"/>
  <c r="F22" i="17"/>
  <c r="Q21" i="17"/>
  <c r="F21" i="17"/>
  <c r="H21" i="17" s="1"/>
  <c r="I21" i="17" s="1"/>
  <c r="Q20" i="17"/>
  <c r="F20" i="17"/>
  <c r="Q19" i="17"/>
  <c r="R19" i="17" s="1"/>
  <c r="S19" i="17" s="1"/>
  <c r="T19" i="17" s="1"/>
  <c r="F19" i="17"/>
  <c r="Q18" i="17"/>
  <c r="F18" i="17"/>
  <c r="H18" i="17" s="1"/>
  <c r="I18" i="17" s="1"/>
  <c r="E11" i="17"/>
  <c r="K19" i="20" l="1"/>
  <c r="W34" i="19" a="1"/>
  <c r="W34" i="19" s="1"/>
  <c r="K20" i="19"/>
  <c r="K24" i="19"/>
  <c r="K19" i="19"/>
  <c r="E12" i="18"/>
  <c r="T23" i="18"/>
  <c r="U22" i="18"/>
  <c r="U21" i="18"/>
  <c r="W21" i="18"/>
  <c r="W19" i="18"/>
  <c r="W18" i="18"/>
  <c r="W28" i="18" s="1" a="1"/>
  <c r="W28" i="18" s="1"/>
  <c r="J19" i="18"/>
  <c r="K19" i="18" s="1"/>
  <c r="J20" i="18"/>
  <c r="K21" i="18" s="1"/>
  <c r="W20" i="18"/>
  <c r="U19" i="18"/>
  <c r="W31" i="17"/>
  <c r="T31" i="17"/>
  <c r="L31" i="17"/>
  <c r="V19" i="17"/>
  <c r="V20" i="17"/>
  <c r="V24" i="17"/>
  <c r="V22" i="17"/>
  <c r="L22" i="17"/>
  <c r="R18" i="17"/>
  <c r="S18" i="17" s="1"/>
  <c r="T18" i="17" s="1"/>
  <c r="U19" i="17" s="1"/>
  <c r="L26" i="17"/>
  <c r="R20" i="17"/>
  <c r="S20" i="17" s="1"/>
  <c r="T20" i="17" s="1"/>
  <c r="U20" i="17" s="1"/>
  <c r="R21" i="17"/>
  <c r="S21" i="17" s="1"/>
  <c r="T21" i="17" s="1"/>
  <c r="L24" i="17"/>
  <c r="R24" i="17"/>
  <c r="S24" i="17" s="1"/>
  <c r="T24" i="17" s="1"/>
  <c r="U24" i="17" s="1"/>
  <c r="R25" i="17"/>
  <c r="S25" i="17" s="1"/>
  <c r="T25" i="17" s="1"/>
  <c r="V21" i="17"/>
  <c r="V25" i="17"/>
  <c r="L30" i="17"/>
  <c r="H22" i="17"/>
  <c r="I22" i="17" s="1"/>
  <c r="J22" i="17" s="1"/>
  <c r="L28" i="17"/>
  <c r="L20" i="17"/>
  <c r="J21" i="17"/>
  <c r="J25" i="17"/>
  <c r="J26" i="17"/>
  <c r="L25" i="17"/>
  <c r="H24" i="17"/>
  <c r="I24" i="17" s="1"/>
  <c r="L19" i="17"/>
  <c r="V23" i="17"/>
  <c r="R22" i="17"/>
  <c r="S22" i="17" s="1"/>
  <c r="T22" i="17" s="1"/>
  <c r="U23" i="17" s="1"/>
  <c r="H23" i="17"/>
  <c r="I23" i="17" s="1"/>
  <c r="L27" i="17"/>
  <c r="R29" i="17"/>
  <c r="S29" i="17" s="1"/>
  <c r="T29" i="17" s="1"/>
  <c r="J18" i="17"/>
  <c r="L29" i="17"/>
  <c r="H28" i="17"/>
  <c r="I28" i="17" s="1"/>
  <c r="L21" i="17"/>
  <c r="H20" i="17"/>
  <c r="I20" i="17" s="1"/>
  <c r="H19" i="17"/>
  <c r="I19" i="17" s="1"/>
  <c r="L23" i="17"/>
  <c r="R26" i="17"/>
  <c r="S26" i="17" s="1"/>
  <c r="T26" i="17" s="1"/>
  <c r="H27" i="17"/>
  <c r="I27" i="17" s="1"/>
  <c r="J29" i="17"/>
  <c r="J30" i="17"/>
  <c r="K31" i="17" s="1"/>
  <c r="R30" i="17"/>
  <c r="S30" i="17" s="1"/>
  <c r="T30" i="17" s="1"/>
  <c r="U35" i="16"/>
  <c r="U36" i="16"/>
  <c r="U37" i="16"/>
  <c r="U38" i="16"/>
  <c r="U39" i="16"/>
  <c r="U40" i="16"/>
  <c r="U41" i="16"/>
  <c r="U42" i="16"/>
  <c r="U43" i="16"/>
  <c r="U44" i="16"/>
  <c r="U31" i="16"/>
  <c r="U32" i="16"/>
  <c r="U33" i="16"/>
  <c r="U34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Q35" i="16"/>
  <c r="R35" i="16" s="1"/>
  <c r="S35" i="16" s="1"/>
  <c r="Q36" i="16"/>
  <c r="R36" i="16" s="1"/>
  <c r="S36" i="16" s="1"/>
  <c r="Q37" i="16"/>
  <c r="Q38" i="16"/>
  <c r="Q39" i="16"/>
  <c r="R39" i="16" s="1"/>
  <c r="S39" i="16" s="1"/>
  <c r="Q40" i="16"/>
  <c r="Q41" i="16"/>
  <c r="Q42" i="16"/>
  <c r="R42" i="16" s="1"/>
  <c r="S42" i="16" s="1"/>
  <c r="Q43" i="16"/>
  <c r="R43" i="16" s="1"/>
  <c r="S43" i="16" s="1"/>
  <c r="Q44" i="16"/>
  <c r="R44" i="16" s="1"/>
  <c r="S44" i="16" s="1"/>
  <c r="R37" i="16"/>
  <c r="S37" i="16" s="1"/>
  <c r="R38" i="16"/>
  <c r="S38" i="16" s="1"/>
  <c r="R41" i="16"/>
  <c r="S41" i="16" s="1"/>
  <c r="Q34" i="16"/>
  <c r="R34" i="16" s="1"/>
  <c r="S34" i="16" s="1"/>
  <c r="F44" i="16"/>
  <c r="H44" i="16" s="1"/>
  <c r="I44" i="16" s="1"/>
  <c r="J44" i="16" s="1"/>
  <c r="F43" i="16"/>
  <c r="H43" i="16" s="1"/>
  <c r="I43" i="16" s="1"/>
  <c r="J43" i="16" s="1"/>
  <c r="F42" i="16"/>
  <c r="H42" i="16" s="1"/>
  <c r="I42" i="16" s="1"/>
  <c r="J42" i="16" s="1"/>
  <c r="F41" i="16"/>
  <c r="H41" i="16" s="1"/>
  <c r="I41" i="16" s="1"/>
  <c r="J41" i="16" s="1"/>
  <c r="F40" i="16"/>
  <c r="H40" i="16" s="1"/>
  <c r="I40" i="16" s="1"/>
  <c r="J40" i="16" s="1"/>
  <c r="F39" i="16"/>
  <c r="F38" i="16"/>
  <c r="H38" i="16" s="1"/>
  <c r="I38" i="16" s="1"/>
  <c r="J38" i="16" s="1"/>
  <c r="F34" i="16"/>
  <c r="H34" i="16" s="1"/>
  <c r="I34" i="16" s="1"/>
  <c r="J34" i="16" s="1"/>
  <c r="F35" i="16"/>
  <c r="H35" i="16" s="1"/>
  <c r="I35" i="16" s="1"/>
  <c r="J35" i="16" s="1"/>
  <c r="F36" i="16"/>
  <c r="H36" i="16" s="1"/>
  <c r="I36" i="16" s="1"/>
  <c r="J36" i="16" s="1"/>
  <c r="F37" i="16"/>
  <c r="L38" i="16" s="1"/>
  <c r="U23" i="18" l="1"/>
  <c r="U24" i="18"/>
  <c r="K20" i="18"/>
  <c r="E10" i="17"/>
  <c r="E12" i="17" s="1"/>
  <c r="W29" i="17"/>
  <c r="W18" i="17"/>
  <c r="K30" i="17"/>
  <c r="W25" i="17"/>
  <c r="W30" i="17"/>
  <c r="U21" i="17"/>
  <c r="W21" i="17"/>
  <c r="U25" i="17"/>
  <c r="K22" i="17"/>
  <c r="J27" i="17"/>
  <c r="W27" i="17"/>
  <c r="J19" i="17"/>
  <c r="K19" i="17" s="1"/>
  <c r="W19" i="17"/>
  <c r="W26" i="17"/>
  <c r="U22" i="17"/>
  <c r="J20" i="17"/>
  <c r="K21" i="17" s="1"/>
  <c r="W20" i="17"/>
  <c r="J23" i="17"/>
  <c r="K23" i="17" s="1"/>
  <c r="W23" i="17"/>
  <c r="W24" i="17"/>
  <c r="J24" i="17"/>
  <c r="K25" i="17" s="1"/>
  <c r="W22" i="17"/>
  <c r="W28" i="17"/>
  <c r="J28" i="17"/>
  <c r="K29" i="17" s="1"/>
  <c r="K26" i="17"/>
  <c r="U26" i="17"/>
  <c r="T39" i="16"/>
  <c r="W39" i="16"/>
  <c r="T38" i="16"/>
  <c r="W38" i="16"/>
  <c r="W44" i="16"/>
  <c r="T44" i="16"/>
  <c r="W41" i="16"/>
  <c r="T41" i="16"/>
  <c r="W37" i="16"/>
  <c r="T37" i="16"/>
  <c r="T42" i="16"/>
  <c r="W42" i="16"/>
  <c r="W36" i="16"/>
  <c r="T36" i="16"/>
  <c r="W43" i="16"/>
  <c r="T43" i="16"/>
  <c r="T35" i="16"/>
  <c r="W35" i="16"/>
  <c r="R40" i="16"/>
  <c r="S40" i="16" s="1"/>
  <c r="W34" i="16"/>
  <c r="T34" i="16"/>
  <c r="L40" i="16"/>
  <c r="K44" i="16"/>
  <c r="L44" i="16"/>
  <c r="K42" i="16"/>
  <c r="L43" i="16"/>
  <c r="K43" i="16"/>
  <c r="K41" i="16"/>
  <c r="L42" i="16"/>
  <c r="L39" i="16"/>
  <c r="L41" i="16"/>
  <c r="H39" i="16"/>
  <c r="I39" i="16" s="1"/>
  <c r="J39" i="16" s="1"/>
  <c r="K39" i="16" s="1"/>
  <c r="L37" i="16"/>
  <c r="H37" i="16"/>
  <c r="I37" i="16" s="1"/>
  <c r="J37" i="16" s="1"/>
  <c r="K38" i="16" s="1"/>
  <c r="L36" i="16"/>
  <c r="K35" i="16"/>
  <c r="L35" i="16"/>
  <c r="K36" i="16"/>
  <c r="Q30" i="16"/>
  <c r="R30" i="16" s="1"/>
  <c r="S30" i="16" s="1"/>
  <c r="Q31" i="16"/>
  <c r="Q32" i="16"/>
  <c r="R32" i="16" s="1"/>
  <c r="S32" i="16" s="1"/>
  <c r="Q33" i="16"/>
  <c r="F30" i="16"/>
  <c r="F31" i="16"/>
  <c r="F32" i="16"/>
  <c r="H32" i="16" s="1"/>
  <c r="I32" i="16" s="1"/>
  <c r="J32" i="16" s="1"/>
  <c r="F33" i="16"/>
  <c r="H30" i="16"/>
  <c r="I30" i="16" s="1"/>
  <c r="J30" i="16" s="1"/>
  <c r="H31" i="16"/>
  <c r="I31" i="16" s="1"/>
  <c r="J31" i="16" s="1"/>
  <c r="K28" i="17" l="1"/>
  <c r="K27" i="17"/>
  <c r="K24" i="17"/>
  <c r="K20" i="17"/>
  <c r="W40" i="16"/>
  <c r="T40" i="16"/>
  <c r="R33" i="16"/>
  <c r="S33" i="16" s="1"/>
  <c r="T33" i="16" s="1"/>
  <c r="K40" i="16"/>
  <c r="K37" i="16"/>
  <c r="K32" i="16"/>
  <c r="L32" i="16"/>
  <c r="V31" i="16"/>
  <c r="H33" i="16"/>
  <c r="I33" i="16" s="1"/>
  <c r="J33" i="16" s="1"/>
  <c r="K34" i="16" s="1"/>
  <c r="L34" i="16"/>
  <c r="L33" i="16"/>
  <c r="L31" i="16"/>
  <c r="K31" i="16"/>
  <c r="T32" i="16"/>
  <c r="W32" i="16"/>
  <c r="R31" i="16"/>
  <c r="S31" i="16" s="1"/>
  <c r="W30" i="16"/>
  <c r="T30" i="16"/>
  <c r="Q29" i="16"/>
  <c r="V30" i="16" s="1"/>
  <c r="F29" i="16"/>
  <c r="L30" i="16" s="1"/>
  <c r="W33" i="16" l="1"/>
  <c r="K33" i="16"/>
  <c r="T31" i="16"/>
  <c r="W31" i="16"/>
  <c r="R29" i="16"/>
  <c r="S29" i="16" s="1"/>
  <c r="T29" i="16" s="1"/>
  <c r="U30" i="16" s="1"/>
  <c r="H29" i="16"/>
  <c r="I29" i="16" s="1"/>
  <c r="J29" i="16" s="1"/>
  <c r="K30" i="16" s="1"/>
  <c r="Q28" i="16"/>
  <c r="Q27" i="16"/>
  <c r="F28" i="16"/>
  <c r="L29" i="16" s="1"/>
  <c r="F27" i="16"/>
  <c r="V28" i="16" l="1"/>
  <c r="V29" i="16"/>
  <c r="H27" i="16"/>
  <c r="I27" i="16" s="1"/>
  <c r="J27" i="16" s="1"/>
  <c r="L28" i="16"/>
  <c r="W29" i="16"/>
  <c r="R28" i="16"/>
  <c r="S28" i="16" s="1"/>
  <c r="T28" i="16" s="1"/>
  <c r="U29" i="16" s="1"/>
  <c r="H28" i="16"/>
  <c r="I28" i="16" s="1"/>
  <c r="J28" i="16" s="1"/>
  <c r="K29" i="16" s="1"/>
  <c r="R27" i="16"/>
  <c r="S27" i="16" s="1"/>
  <c r="T27" i="16" s="1"/>
  <c r="Q26" i="16"/>
  <c r="V27" i="16" s="1"/>
  <c r="F26" i="16"/>
  <c r="U28" i="16" l="1"/>
  <c r="K28" i="16"/>
  <c r="R26" i="16"/>
  <c r="S26" i="16" s="1"/>
  <c r="T26" i="16" s="1"/>
  <c r="U27" i="16" s="1"/>
  <c r="H26" i="16"/>
  <c r="I26" i="16" s="1"/>
  <c r="J26" i="16" s="1"/>
  <c r="K27" i="16" s="1"/>
  <c r="L27" i="16"/>
  <c r="Q25" i="16"/>
  <c r="F25" i="16"/>
  <c r="W28" i="16" l="1"/>
  <c r="W26" i="16"/>
  <c r="R25" i="16"/>
  <c r="S25" i="16" s="1"/>
  <c r="T25" i="16" s="1"/>
  <c r="V26" i="16"/>
  <c r="H25" i="16"/>
  <c r="I25" i="16" s="1"/>
  <c r="W27" i="16" s="1"/>
  <c r="L26" i="16"/>
  <c r="F20" i="16"/>
  <c r="H20" i="16" s="1"/>
  <c r="I20" i="16" s="1"/>
  <c r="J20" i="16" s="1"/>
  <c r="F21" i="16"/>
  <c r="H21" i="16" s="1"/>
  <c r="I21" i="16" s="1"/>
  <c r="J21" i="16" s="1"/>
  <c r="F22" i="16"/>
  <c r="F23" i="16"/>
  <c r="F24" i="16"/>
  <c r="L25" i="16" s="1"/>
  <c r="Q24" i="16"/>
  <c r="Q23" i="16"/>
  <c r="Q22" i="16"/>
  <c r="Q21" i="16"/>
  <c r="R21" i="16" s="1"/>
  <c r="S21" i="16" s="1"/>
  <c r="T21" i="16" s="1"/>
  <c r="Q20" i="16"/>
  <c r="Q19" i="16"/>
  <c r="F19" i="16"/>
  <c r="H19" i="16" s="1"/>
  <c r="I19" i="16" s="1"/>
  <c r="J19" i="16" s="1"/>
  <c r="Q18" i="16"/>
  <c r="R18" i="16" s="1"/>
  <c r="S18" i="16" s="1"/>
  <c r="T18" i="16" s="1"/>
  <c r="F18" i="16"/>
  <c r="E11" i="16"/>
  <c r="W36" i="15"/>
  <c r="W37" i="15"/>
  <c r="I35" i="15"/>
  <c r="J35" i="15" s="1"/>
  <c r="L35" i="15"/>
  <c r="I36" i="15"/>
  <c r="J36" i="15" s="1"/>
  <c r="L36" i="15"/>
  <c r="I37" i="15"/>
  <c r="J37" i="15" s="1"/>
  <c r="L37" i="15"/>
  <c r="V20" i="16" l="1"/>
  <c r="V24" i="16"/>
  <c r="V23" i="16"/>
  <c r="U26" i="16"/>
  <c r="V25" i="16"/>
  <c r="R22" i="16"/>
  <c r="S22" i="16" s="1"/>
  <c r="T22" i="16" s="1"/>
  <c r="U22" i="16" s="1"/>
  <c r="V22" i="16"/>
  <c r="H23" i="16"/>
  <c r="I23" i="16" s="1"/>
  <c r="L24" i="16"/>
  <c r="J25" i="16"/>
  <c r="K26" i="16" s="1"/>
  <c r="W25" i="16"/>
  <c r="L23" i="16"/>
  <c r="H24" i="16"/>
  <c r="I24" i="16" s="1"/>
  <c r="L22" i="16"/>
  <c r="H22" i="16"/>
  <c r="I22" i="16" s="1"/>
  <c r="V21" i="16"/>
  <c r="L21" i="16"/>
  <c r="K21" i="16"/>
  <c r="K20" i="16"/>
  <c r="L20" i="16"/>
  <c r="R23" i="16"/>
  <c r="S23" i="16" s="1"/>
  <c r="T23" i="16" s="1"/>
  <c r="R19" i="16"/>
  <c r="S19" i="16" s="1"/>
  <c r="T19" i="16" s="1"/>
  <c r="U19" i="16" s="1"/>
  <c r="L19" i="16"/>
  <c r="H18" i="16"/>
  <c r="I18" i="16" s="1"/>
  <c r="R20" i="16"/>
  <c r="S20" i="16" s="1"/>
  <c r="T20" i="16" s="1"/>
  <c r="U21" i="16" s="1"/>
  <c r="W21" i="16"/>
  <c r="R24" i="16"/>
  <c r="S24" i="16" s="1"/>
  <c r="T24" i="16" s="1"/>
  <c r="V19" i="16"/>
  <c r="K35" i="15"/>
  <c r="K36" i="15"/>
  <c r="K37" i="15"/>
  <c r="I26" i="15"/>
  <c r="J26" i="15" s="1"/>
  <c r="L26" i="15"/>
  <c r="I27" i="15"/>
  <c r="J27" i="15" s="1"/>
  <c r="L27" i="15"/>
  <c r="I28" i="15"/>
  <c r="J28" i="15" s="1"/>
  <c r="L28" i="15"/>
  <c r="I29" i="15"/>
  <c r="J29" i="15" s="1"/>
  <c r="L29" i="15"/>
  <c r="I30" i="15"/>
  <c r="J30" i="15" s="1"/>
  <c r="L30" i="15"/>
  <c r="I31" i="15"/>
  <c r="J31" i="15" s="1"/>
  <c r="L31" i="15"/>
  <c r="I32" i="15"/>
  <c r="J32" i="15" s="1"/>
  <c r="L32" i="15"/>
  <c r="I33" i="15"/>
  <c r="J33" i="15" s="1"/>
  <c r="L33" i="15"/>
  <c r="I34" i="15"/>
  <c r="J34" i="15" s="1"/>
  <c r="L34" i="15"/>
  <c r="Q35" i="15"/>
  <c r="Q36" i="15"/>
  <c r="R36" i="15" s="1"/>
  <c r="S36" i="15" s="1"/>
  <c r="Q37" i="15"/>
  <c r="R37" i="15" s="1"/>
  <c r="S37" i="15" s="1"/>
  <c r="R35" i="15"/>
  <c r="S35" i="15" s="1"/>
  <c r="F35" i="15"/>
  <c r="H35" i="15" s="1"/>
  <c r="F36" i="15"/>
  <c r="F37" i="15"/>
  <c r="H36" i="15"/>
  <c r="H37" i="15"/>
  <c r="E10" i="16" l="1"/>
  <c r="E12" i="16" s="1"/>
  <c r="U24" i="16"/>
  <c r="U25" i="16"/>
  <c r="U23" i="16"/>
  <c r="J22" i="16"/>
  <c r="W22" i="16"/>
  <c r="J24" i="16"/>
  <c r="K25" i="16" s="1"/>
  <c r="W24" i="16"/>
  <c r="J23" i="16"/>
  <c r="W23" i="16"/>
  <c r="U20" i="16"/>
  <c r="W20" i="16"/>
  <c r="W18" i="16"/>
  <c r="J18" i="16"/>
  <c r="K19" i="16" s="1"/>
  <c r="W19" i="16"/>
  <c r="K32" i="15"/>
  <c r="K28" i="15"/>
  <c r="K34" i="15"/>
  <c r="K30" i="15"/>
  <c r="K33" i="15"/>
  <c r="K31" i="15"/>
  <c r="K29" i="15"/>
  <c r="K27" i="15"/>
  <c r="T37" i="15"/>
  <c r="V37" i="15"/>
  <c r="T36" i="15"/>
  <c r="U37" i="15" s="1"/>
  <c r="V36" i="15"/>
  <c r="T35" i="15"/>
  <c r="W35" i="15"/>
  <c r="Q33" i="15"/>
  <c r="R33" i="15" s="1"/>
  <c r="S33" i="15" s="1"/>
  <c r="Q34" i="15"/>
  <c r="F33" i="15"/>
  <c r="H33" i="15" s="1"/>
  <c r="F34" i="15"/>
  <c r="K24" i="16" l="1"/>
  <c r="K23" i="16"/>
  <c r="K22" i="16"/>
  <c r="U36" i="15"/>
  <c r="R34" i="15"/>
  <c r="S34" i="15" s="1"/>
  <c r="V35" i="15"/>
  <c r="H34" i="15"/>
  <c r="V34" i="15"/>
  <c r="T34" i="15"/>
  <c r="U35" i="15" s="1"/>
  <c r="W33" i="15"/>
  <c r="T33" i="15"/>
  <c r="Q31" i="15"/>
  <c r="R31" i="15" s="1"/>
  <c r="S31" i="15" s="1"/>
  <c r="Q32" i="15"/>
  <c r="F31" i="15"/>
  <c r="F32" i="15"/>
  <c r="W34" i="15" l="1"/>
  <c r="U34" i="15"/>
  <c r="R32" i="15"/>
  <c r="S32" i="15" s="1"/>
  <c r="T32" i="15" s="1"/>
  <c r="U33" i="15" s="1"/>
  <c r="V33" i="15"/>
  <c r="H32" i="15"/>
  <c r="V32" i="15"/>
  <c r="T31" i="15"/>
  <c r="H31" i="15"/>
  <c r="Q29" i="15"/>
  <c r="R29" i="15" s="1"/>
  <c r="S29" i="15" s="1"/>
  <c r="T29" i="15" s="1"/>
  <c r="Q30" i="15"/>
  <c r="F29" i="15"/>
  <c r="F30" i="15"/>
  <c r="Q27" i="15"/>
  <c r="R27" i="15" s="1"/>
  <c r="S27" i="15" s="1"/>
  <c r="T27" i="15" s="1"/>
  <c r="Q28" i="15"/>
  <c r="R28" i="15" s="1"/>
  <c r="S28" i="15" s="1"/>
  <c r="T28" i="15" s="1"/>
  <c r="F28" i="15"/>
  <c r="F27" i="15"/>
  <c r="H27" i="15" s="1"/>
  <c r="W32" i="15" l="1"/>
  <c r="W31" i="15"/>
  <c r="H28" i="15"/>
  <c r="W28" i="15" s="1"/>
  <c r="H29" i="15"/>
  <c r="U32" i="15"/>
  <c r="W27" i="15"/>
  <c r="V30" i="15"/>
  <c r="R30" i="15"/>
  <c r="S30" i="15" s="1"/>
  <c r="T30" i="15" s="1"/>
  <c r="U31" i="15" s="1"/>
  <c r="V31" i="15"/>
  <c r="U28" i="15"/>
  <c r="V29" i="15"/>
  <c r="V28" i="15"/>
  <c r="H30" i="15"/>
  <c r="U29" i="15"/>
  <c r="Q25" i="15"/>
  <c r="R25" i="15" s="1"/>
  <c r="S25" i="15" s="1"/>
  <c r="Q26" i="15"/>
  <c r="V27" i="15" s="1"/>
  <c r="F25" i="15"/>
  <c r="F26" i="15"/>
  <c r="W29" i="15" l="1"/>
  <c r="U30" i="15"/>
  <c r="W30" i="15"/>
  <c r="V26" i="15"/>
  <c r="R26" i="15"/>
  <c r="S26" i="15" s="1"/>
  <c r="T26" i="15" s="1"/>
  <c r="U27" i="15" s="1"/>
  <c r="H26" i="15"/>
  <c r="T25" i="15"/>
  <c r="H25" i="15"/>
  <c r="I25" i="15" s="1"/>
  <c r="J25" i="15" s="1"/>
  <c r="K26" i="15" s="1"/>
  <c r="Q23" i="15"/>
  <c r="R23" i="15" s="1"/>
  <c r="S23" i="15" s="1"/>
  <c r="Q24" i="15"/>
  <c r="F22" i="15"/>
  <c r="H22" i="15" s="1"/>
  <c r="I22" i="15" s="1"/>
  <c r="J22" i="15" s="1"/>
  <c r="F23" i="15"/>
  <c r="F24" i="15"/>
  <c r="L25" i="15" s="1"/>
  <c r="U26" i="15" l="1"/>
  <c r="W26" i="15"/>
  <c r="H24" i="15"/>
  <c r="I24" i="15" s="1"/>
  <c r="J24" i="15" s="1"/>
  <c r="K25" i="15" s="1"/>
  <c r="H23" i="15"/>
  <c r="I23" i="15" s="1"/>
  <c r="J23" i="15" s="1"/>
  <c r="L24" i="15"/>
  <c r="W25" i="15"/>
  <c r="R24" i="15"/>
  <c r="S24" i="15" s="1"/>
  <c r="T24" i="15" s="1"/>
  <c r="U25" i="15" s="1"/>
  <c r="V25" i="15"/>
  <c r="T23" i="15"/>
  <c r="V24" i="15"/>
  <c r="L23" i="15"/>
  <c r="Q22" i="15"/>
  <c r="W24" i="15" l="1"/>
  <c r="K24" i="15"/>
  <c r="W23" i="15"/>
  <c r="K23" i="15"/>
  <c r="U24" i="15"/>
  <c r="R22" i="15"/>
  <c r="S22" i="15" s="1"/>
  <c r="T22" i="15" s="1"/>
  <c r="U23" i="15" s="1"/>
  <c r="V23" i="15"/>
  <c r="Q21" i="15"/>
  <c r="V22" i="15" s="1"/>
  <c r="F21" i="15"/>
  <c r="L22" i="15" s="1"/>
  <c r="Q38" i="14"/>
  <c r="R38" i="14" s="1"/>
  <c r="S38" i="14" s="1"/>
  <c r="F38" i="14"/>
  <c r="H38" i="14" s="1"/>
  <c r="I38" i="14" s="1"/>
  <c r="Q20" i="15"/>
  <c r="F20" i="15"/>
  <c r="L21" i="15" s="1"/>
  <c r="Q19" i="15"/>
  <c r="R19" i="15" s="1"/>
  <c r="S19" i="15" s="1"/>
  <c r="T19" i="15" s="1"/>
  <c r="F19" i="15"/>
  <c r="H19" i="15" s="1"/>
  <c r="I19" i="15" s="1"/>
  <c r="J19" i="15" s="1"/>
  <c r="Q18" i="15"/>
  <c r="F18" i="15"/>
  <c r="E11" i="15"/>
  <c r="W38" i="14" l="1"/>
  <c r="J38" i="14"/>
  <c r="W22" i="15"/>
  <c r="R21" i="15"/>
  <c r="S21" i="15" s="1"/>
  <c r="T21" i="15" s="1"/>
  <c r="U22" i="15" s="1"/>
  <c r="V21" i="15"/>
  <c r="H21" i="15"/>
  <c r="I21" i="15" s="1"/>
  <c r="J21" i="15" s="1"/>
  <c r="K22" i="15" s="1"/>
  <c r="T38" i="14"/>
  <c r="L20" i="15"/>
  <c r="H20" i="15"/>
  <c r="I20" i="15" s="1"/>
  <c r="J20" i="15" s="1"/>
  <c r="V19" i="15"/>
  <c r="L19" i="15"/>
  <c r="H18" i="15"/>
  <c r="I18" i="15" s="1"/>
  <c r="E10" i="15" s="1"/>
  <c r="R18" i="15"/>
  <c r="S18" i="15" s="1"/>
  <c r="T18" i="15" s="1"/>
  <c r="U19" i="15" s="1"/>
  <c r="W19" i="15"/>
  <c r="R20" i="15"/>
  <c r="S20" i="15" s="1"/>
  <c r="T20" i="15" s="1"/>
  <c r="V20" i="15"/>
  <c r="Q37" i="14"/>
  <c r="V38" i="14" s="1"/>
  <c r="F37" i="14"/>
  <c r="L38" i="14" l="1"/>
  <c r="H37" i="14"/>
  <c r="I37" i="14" s="1"/>
  <c r="E12" i="15"/>
  <c r="K21" i="15"/>
  <c r="U21" i="15"/>
  <c r="W21" i="15"/>
  <c r="K20" i="15"/>
  <c r="R37" i="14"/>
  <c r="S37" i="14" s="1"/>
  <c r="T37" i="14" s="1"/>
  <c r="U38" i="14" s="1"/>
  <c r="J18" i="15"/>
  <c r="K19" i="15" s="1"/>
  <c r="W18" i="15"/>
  <c r="U20" i="15"/>
  <c r="W20" i="15"/>
  <c r="Q35" i="14"/>
  <c r="Q36" i="14"/>
  <c r="V37" i="14" s="1"/>
  <c r="F35" i="14"/>
  <c r="F36" i="14"/>
  <c r="L37" i="14" s="1"/>
  <c r="J37" i="14" l="1"/>
  <c r="K38" i="14" s="1"/>
  <c r="W37" i="14"/>
  <c r="H35" i="14"/>
  <c r="I35" i="14" s="1"/>
  <c r="J35" i="14" s="1"/>
  <c r="L36" i="14"/>
  <c r="V36" i="14"/>
  <c r="R36" i="14"/>
  <c r="S36" i="14" s="1"/>
  <c r="T36" i="14" s="1"/>
  <c r="U37" i="14" s="1"/>
  <c r="H36" i="14"/>
  <c r="I36" i="14" s="1"/>
  <c r="J36" i="14" s="1"/>
  <c r="K37" i="14" s="1"/>
  <c r="R35" i="14"/>
  <c r="S35" i="14" s="1"/>
  <c r="T35" i="14" s="1"/>
  <c r="Q31" i="14"/>
  <c r="Q32" i="14"/>
  <c r="V32" i="14" s="1"/>
  <c r="Q33" i="14"/>
  <c r="Q34" i="14"/>
  <c r="V35" i="14" s="1"/>
  <c r="R31" i="14"/>
  <c r="S31" i="14" s="1"/>
  <c r="R32" i="14"/>
  <c r="S32" i="14" s="1"/>
  <c r="R33" i="14"/>
  <c r="S33" i="14" s="1"/>
  <c r="R34" i="14"/>
  <c r="S34" i="14" s="1"/>
  <c r="F33" i="14"/>
  <c r="F34" i="14"/>
  <c r="L35" i="14" s="1"/>
  <c r="F31" i="14"/>
  <c r="F32" i="14"/>
  <c r="U36" i="14" l="1"/>
  <c r="V33" i="14"/>
  <c r="H32" i="14"/>
  <c r="I32" i="14" s="1"/>
  <c r="J32" i="14" s="1"/>
  <c r="L33" i="14"/>
  <c r="H31" i="14"/>
  <c r="I31" i="14" s="1"/>
  <c r="J31" i="14" s="1"/>
  <c r="L32" i="14"/>
  <c r="K36" i="14"/>
  <c r="H33" i="14"/>
  <c r="I33" i="14" s="1"/>
  <c r="J33" i="14" s="1"/>
  <c r="L34" i="14"/>
  <c r="W35" i="14"/>
  <c r="W36" i="14"/>
  <c r="V34" i="14"/>
  <c r="H34" i="14"/>
  <c r="I34" i="14" s="1"/>
  <c r="J34" i="14" s="1"/>
  <c r="K35" i="14" s="1"/>
  <c r="T33" i="14"/>
  <c r="W32" i="14"/>
  <c r="T32" i="14"/>
  <c r="T31" i="14"/>
  <c r="T34" i="14"/>
  <c r="U35" i="14" s="1"/>
  <c r="Q29" i="14"/>
  <c r="R29" i="14" s="1"/>
  <c r="S29" i="14" s="1"/>
  <c r="Q30" i="14"/>
  <c r="V31" i="14" s="1"/>
  <c r="F29" i="14"/>
  <c r="H29" i="14" s="1"/>
  <c r="I29" i="14" s="1"/>
  <c r="J29" i="14" s="1"/>
  <c r="F30" i="14"/>
  <c r="K34" i="14" l="1"/>
  <c r="W31" i="14"/>
  <c r="W33" i="14"/>
  <c r="K32" i="14"/>
  <c r="K33" i="14"/>
  <c r="U33" i="14"/>
  <c r="U32" i="14"/>
  <c r="U34" i="14"/>
  <c r="W34" i="14"/>
  <c r="R30" i="14"/>
  <c r="S30" i="14" s="1"/>
  <c r="T30" i="14" s="1"/>
  <c r="U31" i="14" s="1"/>
  <c r="V30" i="14"/>
  <c r="H30" i="14"/>
  <c r="I30" i="14" s="1"/>
  <c r="J30" i="14" s="1"/>
  <c r="L31" i="14"/>
  <c r="L30" i="14"/>
  <c r="T29" i="14"/>
  <c r="W29" i="14"/>
  <c r="Q27" i="14"/>
  <c r="Q28" i="14"/>
  <c r="F27" i="14"/>
  <c r="F28" i="14"/>
  <c r="L29" i="14" s="1"/>
  <c r="R27" i="14" l="1"/>
  <c r="S27" i="14" s="1"/>
  <c r="T27" i="14" s="1"/>
  <c r="V29" i="14"/>
  <c r="V28" i="14"/>
  <c r="U30" i="14"/>
  <c r="H27" i="14"/>
  <c r="I27" i="14" s="1"/>
  <c r="J27" i="14" s="1"/>
  <c r="L28" i="14"/>
  <c r="W30" i="14"/>
  <c r="K30" i="14"/>
  <c r="K31" i="14"/>
  <c r="R28" i="14"/>
  <c r="S28" i="14" s="1"/>
  <c r="T28" i="14" s="1"/>
  <c r="H28" i="14"/>
  <c r="I28" i="14" s="1"/>
  <c r="J28" i="14" s="1"/>
  <c r="K29" i="14" s="1"/>
  <c r="Q26" i="14"/>
  <c r="V27" i="14" s="1"/>
  <c r="F26" i="14"/>
  <c r="L27" i="14" s="1"/>
  <c r="Q25" i="14"/>
  <c r="F25" i="14"/>
  <c r="Q24" i="14"/>
  <c r="F24" i="14"/>
  <c r="H24" i="14" s="1"/>
  <c r="I24" i="14" s="1"/>
  <c r="J24" i="14" s="1"/>
  <c r="Q23" i="14"/>
  <c r="R23" i="14" s="1"/>
  <c r="S23" i="14" s="1"/>
  <c r="T23" i="14" s="1"/>
  <c r="F23" i="14"/>
  <c r="Q22" i="14"/>
  <c r="R22" i="14" s="1"/>
  <c r="S22" i="14" s="1"/>
  <c r="T22" i="14" s="1"/>
  <c r="F22" i="14"/>
  <c r="Q21" i="14"/>
  <c r="F21" i="14"/>
  <c r="H21" i="14" s="1"/>
  <c r="I21" i="14" s="1"/>
  <c r="Q20" i="14"/>
  <c r="F20" i="14"/>
  <c r="H20" i="14" s="1"/>
  <c r="I20" i="14" s="1"/>
  <c r="Q19" i="14"/>
  <c r="R19" i="14" s="1"/>
  <c r="S19" i="14" s="1"/>
  <c r="T19" i="14" s="1"/>
  <c r="F19" i="14"/>
  <c r="Q18" i="14"/>
  <c r="F18" i="14"/>
  <c r="H18" i="14" s="1"/>
  <c r="I18" i="14" s="1"/>
  <c r="E11" i="14"/>
  <c r="W27" i="14" l="1"/>
  <c r="U28" i="14"/>
  <c r="W28" i="14"/>
  <c r="U29" i="14"/>
  <c r="H25" i="14"/>
  <c r="I25" i="14" s="1"/>
  <c r="J25" i="14" s="1"/>
  <c r="L26" i="14"/>
  <c r="K28" i="14"/>
  <c r="R26" i="14"/>
  <c r="S26" i="14" s="1"/>
  <c r="T26" i="14" s="1"/>
  <c r="U27" i="14" s="1"/>
  <c r="L20" i="14"/>
  <c r="V26" i="14"/>
  <c r="L23" i="14"/>
  <c r="V25" i="14"/>
  <c r="U23" i="14"/>
  <c r="V21" i="14"/>
  <c r="V22" i="14"/>
  <c r="R24" i="14"/>
  <c r="S24" i="14" s="1"/>
  <c r="T24" i="14" s="1"/>
  <c r="U24" i="14" s="1"/>
  <c r="V20" i="14"/>
  <c r="R20" i="14"/>
  <c r="S20" i="14" s="1"/>
  <c r="T20" i="14" s="1"/>
  <c r="U20" i="14" s="1"/>
  <c r="V23" i="14"/>
  <c r="V24" i="14"/>
  <c r="V19" i="14"/>
  <c r="L25" i="14"/>
  <c r="L21" i="14"/>
  <c r="L22" i="14"/>
  <c r="L24" i="14"/>
  <c r="H22" i="14"/>
  <c r="I22" i="14" s="1"/>
  <c r="J22" i="14" s="1"/>
  <c r="H26" i="14"/>
  <c r="J18" i="14"/>
  <c r="R18" i="14"/>
  <c r="S18" i="14" s="1"/>
  <c r="T18" i="14" s="1"/>
  <c r="U19" i="14" s="1"/>
  <c r="J20" i="14"/>
  <c r="H19" i="14"/>
  <c r="I19" i="14" s="1"/>
  <c r="L19" i="14"/>
  <c r="J21" i="14"/>
  <c r="R21" i="14"/>
  <c r="S21" i="14" s="1"/>
  <c r="T21" i="14" s="1"/>
  <c r="U22" i="14" s="1"/>
  <c r="H23" i="14"/>
  <c r="I23" i="14" s="1"/>
  <c r="R25" i="14"/>
  <c r="S25" i="14" s="1"/>
  <c r="T25" i="14" s="1"/>
  <c r="I26" i="14" l="1"/>
  <c r="J26" i="14" s="1"/>
  <c r="K27" i="14" s="1"/>
  <c r="U26" i="14"/>
  <c r="W24" i="14"/>
  <c r="W20" i="14"/>
  <c r="W22" i="14"/>
  <c r="K22" i="14"/>
  <c r="J23" i="14"/>
  <c r="K24" i="14" s="1"/>
  <c r="W23" i="14"/>
  <c r="J19" i="14"/>
  <c r="K20" i="14" s="1"/>
  <c r="W19" i="14"/>
  <c r="W18" i="14"/>
  <c r="K21" i="14"/>
  <c r="K25" i="14"/>
  <c r="W25" i="14"/>
  <c r="W21" i="14"/>
  <c r="U25" i="14"/>
  <c r="U21" i="14"/>
  <c r="Q38" i="12"/>
  <c r="R38" i="12" s="1"/>
  <c r="S38" i="12" s="1"/>
  <c r="T38" i="12" s="1"/>
  <c r="F38" i="12"/>
  <c r="H38" i="12" s="1"/>
  <c r="I38" i="12" s="1"/>
  <c r="W38" i="12" l="1"/>
  <c r="J38" i="12"/>
  <c r="E10" i="14"/>
  <c r="E12" i="14" s="1"/>
  <c r="W26" i="14"/>
  <c r="K26" i="14"/>
  <c r="K19" i="14"/>
  <c r="K23" i="14"/>
  <c r="Q37" i="12"/>
  <c r="V38" i="12" s="1"/>
  <c r="F36" i="12"/>
  <c r="F37" i="12"/>
  <c r="L38" i="12" s="1"/>
  <c r="Q36" i="12"/>
  <c r="R36" i="12" s="1"/>
  <c r="S36" i="12" s="1"/>
  <c r="L37" i="12" l="1"/>
  <c r="R37" i="12"/>
  <c r="S37" i="12" s="1"/>
  <c r="T37" i="12" s="1"/>
  <c r="U38" i="12" s="1"/>
  <c r="H37" i="12"/>
  <c r="I37" i="12" s="1"/>
  <c r="J37" i="12" s="1"/>
  <c r="K38" i="12" s="1"/>
  <c r="V37" i="12"/>
  <c r="H36" i="12"/>
  <c r="I36" i="12" s="1"/>
  <c r="J36" i="12" s="1"/>
  <c r="T36" i="12"/>
  <c r="Q35" i="12"/>
  <c r="V36" i="12" s="1"/>
  <c r="F35" i="12"/>
  <c r="L36" i="12" s="1"/>
  <c r="Q34" i="12"/>
  <c r="R34" i="12" s="1"/>
  <c r="S34" i="12" s="1"/>
  <c r="T34" i="12" s="1"/>
  <c r="F34" i="12"/>
  <c r="H34" i="12" s="1"/>
  <c r="I34" i="12" s="1"/>
  <c r="J34" i="12" s="1"/>
  <c r="Q33" i="12"/>
  <c r="R33" i="12" s="1"/>
  <c r="S33" i="12" s="1"/>
  <c r="T33" i="12" s="1"/>
  <c r="F33" i="12"/>
  <c r="H33" i="12" s="1"/>
  <c r="I33" i="12" s="1"/>
  <c r="J33" i="12" s="1"/>
  <c r="Q32" i="12"/>
  <c r="R32" i="12" s="1"/>
  <c r="S32" i="12" s="1"/>
  <c r="T32" i="12" s="1"/>
  <c r="F32" i="12"/>
  <c r="H32" i="12" s="1"/>
  <c r="I32" i="12" s="1"/>
  <c r="J32" i="12" s="1"/>
  <c r="H35" i="12" l="1"/>
  <c r="I35" i="12" s="1"/>
  <c r="J35" i="12" s="1"/>
  <c r="K37" i="12"/>
  <c r="U37" i="12"/>
  <c r="W37" i="12"/>
  <c r="K36" i="12"/>
  <c r="V35" i="12"/>
  <c r="W36" i="12"/>
  <c r="V34" i="12"/>
  <c r="R35" i="12"/>
  <c r="S35" i="12" s="1"/>
  <c r="W35" i="12" s="1"/>
  <c r="U33" i="12"/>
  <c r="U34" i="12"/>
  <c r="V33" i="12"/>
  <c r="K35" i="12"/>
  <c r="L35" i="12"/>
  <c r="W34" i="12"/>
  <c r="K34" i="12"/>
  <c r="L34" i="12"/>
  <c r="L33" i="12"/>
  <c r="W33" i="12"/>
  <c r="K33" i="12"/>
  <c r="W32" i="12"/>
  <c r="Q31" i="12"/>
  <c r="V32" i="12" s="1"/>
  <c r="F31" i="12"/>
  <c r="L32" i="12" s="1"/>
  <c r="Q27" i="12"/>
  <c r="R27" i="12" s="1"/>
  <c r="S27" i="12" s="1"/>
  <c r="Q28" i="12"/>
  <c r="Q29" i="12"/>
  <c r="R29" i="12" s="1"/>
  <c r="S29" i="12" s="1"/>
  <c r="Q30" i="12"/>
  <c r="R30" i="12" s="1"/>
  <c r="S30" i="12" s="1"/>
  <c r="F27" i="12"/>
  <c r="F28" i="12"/>
  <c r="F29" i="12"/>
  <c r="H29" i="12" s="1"/>
  <c r="I29" i="12" s="1"/>
  <c r="J29" i="12" s="1"/>
  <c r="F30" i="12"/>
  <c r="H30" i="12" s="1"/>
  <c r="I30" i="12" s="1"/>
  <c r="J30" i="12" s="1"/>
  <c r="T35" i="12" l="1"/>
  <c r="U36" i="12" s="1"/>
  <c r="L28" i="12"/>
  <c r="V28" i="12"/>
  <c r="R31" i="12"/>
  <c r="S31" i="12" s="1"/>
  <c r="T31" i="12" s="1"/>
  <c r="U32" i="12" s="1"/>
  <c r="H31" i="12"/>
  <c r="I31" i="12" s="1"/>
  <c r="J31" i="12" s="1"/>
  <c r="K32" i="12" s="1"/>
  <c r="V31" i="12"/>
  <c r="L30" i="12"/>
  <c r="V30" i="12"/>
  <c r="V29" i="12"/>
  <c r="K30" i="12"/>
  <c r="H28" i="12"/>
  <c r="I28" i="12" s="1"/>
  <c r="J28" i="12" s="1"/>
  <c r="L29" i="12"/>
  <c r="L31" i="12"/>
  <c r="W29" i="12"/>
  <c r="T29" i="12"/>
  <c r="R28" i="12"/>
  <c r="S28" i="12" s="1"/>
  <c r="T28" i="12" s="1"/>
  <c r="T27" i="12"/>
  <c r="T30" i="12"/>
  <c r="W30" i="12"/>
  <c r="H27" i="12"/>
  <c r="I27" i="12" s="1"/>
  <c r="J27" i="12" s="1"/>
  <c r="Q26" i="12"/>
  <c r="F26" i="12"/>
  <c r="L27" i="12" s="1"/>
  <c r="U35" i="12" l="1"/>
  <c r="K31" i="12"/>
  <c r="U28" i="12"/>
  <c r="U31" i="12"/>
  <c r="W31" i="12"/>
  <c r="U29" i="12"/>
  <c r="U30" i="12"/>
  <c r="V27" i="12"/>
  <c r="W27" i="12"/>
  <c r="K28" i="12"/>
  <c r="K29" i="12"/>
  <c r="W28" i="12"/>
  <c r="R26" i="12"/>
  <c r="S26" i="12" s="1"/>
  <c r="T26" i="12" s="1"/>
  <c r="H26" i="12"/>
  <c r="I26" i="12" s="1"/>
  <c r="J26" i="12" s="1"/>
  <c r="Q19" i="12"/>
  <c r="R19" i="12" s="1"/>
  <c r="S19" i="12" s="1"/>
  <c r="T19" i="12" s="1"/>
  <c r="Q20" i="12"/>
  <c r="R20" i="12" s="1"/>
  <c r="S20" i="12" s="1"/>
  <c r="T20" i="12" s="1"/>
  <c r="Q21" i="12"/>
  <c r="R21" i="12" s="1"/>
  <c r="S21" i="12" s="1"/>
  <c r="Q22" i="12"/>
  <c r="Q23" i="12"/>
  <c r="Q24" i="12"/>
  <c r="Q25" i="12"/>
  <c r="R22" i="12"/>
  <c r="S22" i="12" s="1"/>
  <c r="F25" i="12"/>
  <c r="L26" i="12" s="1"/>
  <c r="F24" i="12"/>
  <c r="H24" i="12" s="1"/>
  <c r="I24" i="12" s="1"/>
  <c r="J24" i="12" s="1"/>
  <c r="F21" i="12"/>
  <c r="H21" i="12" s="1"/>
  <c r="I21" i="12" s="1"/>
  <c r="J21" i="12" s="1"/>
  <c r="F22" i="12"/>
  <c r="H22" i="12" s="1"/>
  <c r="I22" i="12" s="1"/>
  <c r="J22" i="12" s="1"/>
  <c r="F23" i="12"/>
  <c r="H23" i="12" s="1"/>
  <c r="I23" i="12" s="1"/>
  <c r="J23" i="12" s="1"/>
  <c r="F20" i="12"/>
  <c r="F19" i="12"/>
  <c r="H19" i="12" s="1"/>
  <c r="I19" i="12" s="1"/>
  <c r="J19" i="12" s="1"/>
  <c r="Q18" i="12"/>
  <c r="F18" i="12"/>
  <c r="H18" i="12" s="1"/>
  <c r="I18" i="12" s="1"/>
  <c r="E11" i="12"/>
  <c r="V25" i="12" l="1"/>
  <c r="K22" i="12"/>
  <c r="K24" i="12"/>
  <c r="U27" i="12"/>
  <c r="V26" i="12"/>
  <c r="R24" i="12"/>
  <c r="S24" i="12" s="1"/>
  <c r="T24" i="12" s="1"/>
  <c r="V24" i="12"/>
  <c r="R23" i="12"/>
  <c r="S23" i="12" s="1"/>
  <c r="T23" i="12" s="1"/>
  <c r="V23" i="12"/>
  <c r="V22" i="12"/>
  <c r="K23" i="12"/>
  <c r="W26" i="12"/>
  <c r="K27" i="12"/>
  <c r="U20" i="12"/>
  <c r="V19" i="12"/>
  <c r="V20" i="12"/>
  <c r="V21" i="12"/>
  <c r="R25" i="12"/>
  <c r="S25" i="12" s="1"/>
  <c r="H25" i="12"/>
  <c r="I25" i="12" s="1"/>
  <c r="J25" i="12" s="1"/>
  <c r="K25" i="12" s="1"/>
  <c r="T22" i="12"/>
  <c r="W22" i="12"/>
  <c r="W21" i="12"/>
  <c r="T21" i="12"/>
  <c r="U21" i="12" s="1"/>
  <c r="L25" i="12"/>
  <c r="L24" i="12"/>
  <c r="L22" i="12"/>
  <c r="L21" i="12"/>
  <c r="L23" i="12"/>
  <c r="H20" i="12"/>
  <c r="I20" i="12" s="1"/>
  <c r="J20" i="12" s="1"/>
  <c r="K20" i="12" s="1"/>
  <c r="L20" i="12"/>
  <c r="L19" i="12"/>
  <c r="R18" i="12"/>
  <c r="S18" i="12" s="1"/>
  <c r="T18" i="12" s="1"/>
  <c r="U19" i="12" s="1"/>
  <c r="J18" i="12"/>
  <c r="K19" i="12" s="1"/>
  <c r="Q35" i="11"/>
  <c r="R35" i="11" s="1"/>
  <c r="S35" i="11" s="1"/>
  <c r="F35" i="11"/>
  <c r="H35" i="11" s="1"/>
  <c r="I35" i="11" s="1"/>
  <c r="J35" i="11" s="1"/>
  <c r="E10" i="12" l="1"/>
  <c r="E12" i="12" s="1"/>
  <c r="W24" i="12"/>
  <c r="W23" i="12"/>
  <c r="U24" i="12"/>
  <c r="U23" i="12"/>
  <c r="U22" i="12"/>
  <c r="K26" i="12"/>
  <c r="K21" i="12"/>
  <c r="W25" i="12"/>
  <c r="T25" i="12"/>
  <c r="W20" i="12"/>
  <c r="W18" i="12"/>
  <c r="W19" i="12"/>
  <c r="T35" i="11"/>
  <c r="W35" i="11"/>
  <c r="U25" i="12" l="1"/>
  <c r="U26" i="12"/>
  <c r="Q34" i="11"/>
  <c r="F34" i="11"/>
  <c r="L35" i="11" s="1"/>
  <c r="Q33" i="11"/>
  <c r="R33" i="11" s="1"/>
  <c r="S33" i="11" s="1"/>
  <c r="F33" i="11"/>
  <c r="Q30" i="11"/>
  <c r="Q31" i="11"/>
  <c r="R31" i="11" s="1"/>
  <c r="S31" i="11" s="1"/>
  <c r="Q32" i="11"/>
  <c r="R32" i="11" s="1"/>
  <c r="S32" i="11" s="1"/>
  <c r="T32" i="11" s="1"/>
  <c r="F30" i="11"/>
  <c r="F31" i="11"/>
  <c r="F32" i="11"/>
  <c r="Q28" i="11"/>
  <c r="R28" i="11" s="1"/>
  <c r="S28" i="11" s="1"/>
  <c r="Q29" i="11"/>
  <c r="R29" i="11" s="1"/>
  <c r="S29" i="11" s="1"/>
  <c r="F29" i="11"/>
  <c r="H29" i="11" s="1"/>
  <c r="I29" i="11" s="1"/>
  <c r="J29" i="11" s="1"/>
  <c r="F28" i="11"/>
  <c r="H33" i="11" l="1"/>
  <c r="I33" i="11" s="1"/>
  <c r="J33" i="11" s="1"/>
  <c r="L34" i="11"/>
  <c r="H32" i="11"/>
  <c r="I32" i="11" s="1"/>
  <c r="L33" i="11"/>
  <c r="H31" i="11"/>
  <c r="I31" i="11" s="1"/>
  <c r="J31" i="11" s="1"/>
  <c r="L32" i="11"/>
  <c r="V30" i="11"/>
  <c r="R34" i="11"/>
  <c r="S34" i="11" s="1"/>
  <c r="T34" i="11" s="1"/>
  <c r="U35" i="11" s="1"/>
  <c r="V35" i="11"/>
  <c r="V33" i="11"/>
  <c r="V29" i="11"/>
  <c r="V32" i="11"/>
  <c r="V34" i="11"/>
  <c r="V31" i="11"/>
  <c r="H34" i="11"/>
  <c r="I34" i="11" s="1"/>
  <c r="J34" i="11" s="1"/>
  <c r="K35" i="11" s="1"/>
  <c r="L30" i="11"/>
  <c r="T33" i="11"/>
  <c r="U33" i="11" s="1"/>
  <c r="H30" i="11"/>
  <c r="I30" i="11" s="1"/>
  <c r="J30" i="11" s="1"/>
  <c r="K30" i="11" s="1"/>
  <c r="W32" i="11"/>
  <c r="J32" i="11"/>
  <c r="T31" i="11"/>
  <c r="R30" i="11"/>
  <c r="S30" i="11" s="1"/>
  <c r="L31" i="11"/>
  <c r="T29" i="11"/>
  <c r="W29" i="11"/>
  <c r="T28" i="11"/>
  <c r="L29" i="11"/>
  <c r="H28" i="11"/>
  <c r="I28" i="11" s="1"/>
  <c r="J28" i="11" s="1"/>
  <c r="Q26" i="11"/>
  <c r="R26" i="11" s="1"/>
  <c r="S26" i="11" s="1"/>
  <c r="Q27" i="11"/>
  <c r="F26" i="11"/>
  <c r="H26" i="11" s="1"/>
  <c r="I26" i="11" s="1"/>
  <c r="J26" i="11" s="1"/>
  <c r="F27" i="11"/>
  <c r="L28" i="11" s="1"/>
  <c r="V27" i="11" l="1"/>
  <c r="W31" i="11"/>
  <c r="K32" i="11"/>
  <c r="W33" i="11"/>
  <c r="U29" i="11"/>
  <c r="U34" i="11"/>
  <c r="U32" i="11"/>
  <c r="V28" i="11"/>
  <c r="W34" i="11"/>
  <c r="K31" i="11"/>
  <c r="K34" i="11"/>
  <c r="K33" i="11"/>
  <c r="K29" i="11"/>
  <c r="W30" i="11"/>
  <c r="T30" i="11"/>
  <c r="U30" i="11" s="1"/>
  <c r="W28" i="11"/>
  <c r="R27" i="11"/>
  <c r="S27" i="11" s="1"/>
  <c r="T27" i="11" s="1"/>
  <c r="U28" i="11" s="1"/>
  <c r="H27" i="11"/>
  <c r="I27" i="11" s="1"/>
  <c r="J27" i="11" s="1"/>
  <c r="K27" i="11" s="1"/>
  <c r="L27" i="11"/>
  <c r="W26" i="11"/>
  <c r="T26" i="11"/>
  <c r="U31" i="11" l="1"/>
  <c r="K28" i="11"/>
  <c r="U27" i="11"/>
  <c r="W27" i="11"/>
  <c r="Q20" i="11"/>
  <c r="Q21" i="11"/>
  <c r="Q22" i="11"/>
  <c r="Q23" i="11"/>
  <c r="Q24" i="11"/>
  <c r="Q25" i="11"/>
  <c r="V26" i="11" s="1"/>
  <c r="F20" i="11"/>
  <c r="F21" i="11"/>
  <c r="F22" i="11"/>
  <c r="F23" i="11"/>
  <c r="F24" i="11"/>
  <c r="F25" i="11"/>
  <c r="L26" i="11" s="1"/>
  <c r="Q19" i="11"/>
  <c r="F19" i="11"/>
  <c r="Q18" i="11"/>
  <c r="F18" i="11"/>
  <c r="E11" i="11"/>
  <c r="V21" i="11" l="1"/>
  <c r="L24" i="11"/>
  <c r="H21" i="11"/>
  <c r="I21" i="11" s="1"/>
  <c r="J21" i="11" s="1"/>
  <c r="L22" i="11"/>
  <c r="V24" i="11"/>
  <c r="R19" i="11"/>
  <c r="S19" i="11" s="1"/>
  <c r="T19" i="11" s="1"/>
  <c r="V20" i="11"/>
  <c r="R18" i="11"/>
  <c r="S18" i="11" s="1"/>
  <c r="T18" i="11" s="1"/>
  <c r="V19" i="11"/>
  <c r="H24" i="11"/>
  <c r="I24" i="11" s="1"/>
  <c r="J24" i="11" s="1"/>
  <c r="L25" i="11"/>
  <c r="L21" i="11"/>
  <c r="R22" i="11"/>
  <c r="S22" i="11" s="1"/>
  <c r="T22" i="11" s="1"/>
  <c r="V23" i="11"/>
  <c r="R21" i="11"/>
  <c r="S21" i="11" s="1"/>
  <c r="T21" i="11" s="1"/>
  <c r="V22" i="11"/>
  <c r="H19" i="11"/>
  <c r="I19" i="11" s="1"/>
  <c r="J19" i="11" s="1"/>
  <c r="L20" i="11"/>
  <c r="L23" i="11"/>
  <c r="R24" i="11"/>
  <c r="S24" i="11" s="1"/>
  <c r="T24" i="11" s="1"/>
  <c r="V25" i="11"/>
  <c r="R25" i="11"/>
  <c r="S25" i="11" s="1"/>
  <c r="T25" i="11" s="1"/>
  <c r="U26" i="11" s="1"/>
  <c r="H25" i="11"/>
  <c r="I25" i="11" s="1"/>
  <c r="J25" i="11" s="1"/>
  <c r="K26" i="11" s="1"/>
  <c r="R23" i="11"/>
  <c r="S23" i="11" s="1"/>
  <c r="T23" i="11" s="1"/>
  <c r="H23" i="11"/>
  <c r="I23" i="11" s="1"/>
  <c r="J23" i="11" s="1"/>
  <c r="H22" i="11"/>
  <c r="I22" i="11" s="1"/>
  <c r="J22" i="11" s="1"/>
  <c r="R20" i="11"/>
  <c r="S20" i="11" s="1"/>
  <c r="T20" i="11" s="1"/>
  <c r="H20" i="11"/>
  <c r="I20" i="11" s="1"/>
  <c r="J20" i="11" s="1"/>
  <c r="L19" i="11"/>
  <c r="H18" i="11"/>
  <c r="I18" i="11" s="1"/>
  <c r="Q38" i="10"/>
  <c r="R38" i="10" s="1"/>
  <c r="S38" i="10" s="1"/>
  <c r="F38" i="10"/>
  <c r="H38" i="10" s="1"/>
  <c r="I38" i="10" s="1"/>
  <c r="J38" i="10" s="1"/>
  <c r="Q37" i="10"/>
  <c r="R37" i="10" s="1"/>
  <c r="S37" i="10" s="1"/>
  <c r="F37" i="10"/>
  <c r="H37" i="10" s="1"/>
  <c r="I37" i="10" s="1"/>
  <c r="J37" i="10" s="1"/>
  <c r="U21" i="11" l="1"/>
  <c r="V38" i="10"/>
  <c r="K21" i="11"/>
  <c r="K24" i="11"/>
  <c r="U22" i="11"/>
  <c r="E10" i="11"/>
  <c r="E12" i="11" s="1"/>
  <c r="U19" i="11"/>
  <c r="U24" i="11"/>
  <c r="W19" i="11"/>
  <c r="W21" i="11"/>
  <c r="W24" i="11"/>
  <c r="K25" i="11"/>
  <c r="U20" i="11"/>
  <c r="K20" i="11"/>
  <c r="U23" i="11"/>
  <c r="U25" i="11"/>
  <c r="K23" i="11"/>
  <c r="K22" i="11"/>
  <c r="W25" i="11"/>
  <c r="W23" i="11"/>
  <c r="W22" i="11"/>
  <c r="W20" i="11"/>
  <c r="J18" i="11"/>
  <c r="K19" i="11" s="1"/>
  <c r="W18" i="11"/>
  <c r="T38" i="10"/>
  <c r="W38" i="10"/>
  <c r="K38" i="10"/>
  <c r="L38" i="10"/>
  <c r="W37" i="10"/>
  <c r="T37" i="10"/>
  <c r="U38" i="10" l="1"/>
  <c r="Q35" i="10"/>
  <c r="R35" i="10" s="1"/>
  <c r="S35" i="10" s="1"/>
  <c r="Q36" i="10"/>
  <c r="F35" i="10"/>
  <c r="F36" i="10"/>
  <c r="L37" i="10" s="1"/>
  <c r="V36" i="10" l="1"/>
  <c r="V37" i="10"/>
  <c r="R36" i="10"/>
  <c r="S36" i="10" s="1"/>
  <c r="T36" i="10" s="1"/>
  <c r="H36" i="10"/>
  <c r="I36" i="10" s="1"/>
  <c r="J36" i="10" s="1"/>
  <c r="K37" i="10" s="1"/>
  <c r="L36" i="10"/>
  <c r="T35" i="10"/>
  <c r="H35" i="10"/>
  <c r="I35" i="10" s="1"/>
  <c r="J35" i="10" s="1"/>
  <c r="Q31" i="10"/>
  <c r="R31" i="10" s="1"/>
  <c r="S31" i="10" s="1"/>
  <c r="T31" i="10" s="1"/>
  <c r="Q32" i="10"/>
  <c r="R32" i="10" s="1"/>
  <c r="S32" i="10" s="1"/>
  <c r="T32" i="10" s="1"/>
  <c r="Q33" i="10"/>
  <c r="R33" i="10" s="1"/>
  <c r="S33" i="10" s="1"/>
  <c r="T33" i="10" s="1"/>
  <c r="Q34" i="10"/>
  <c r="V34" i="10" s="1"/>
  <c r="F31" i="10"/>
  <c r="L32" i="10" s="1"/>
  <c r="F32" i="10"/>
  <c r="F33" i="10"/>
  <c r="F34" i="10"/>
  <c r="L35" i="10" s="1"/>
  <c r="H32" i="10"/>
  <c r="I32" i="10" s="1"/>
  <c r="H33" i="10"/>
  <c r="I33" i="10" s="1"/>
  <c r="H34" i="10" l="1"/>
  <c r="I34" i="10" s="1"/>
  <c r="J34" i="10" s="1"/>
  <c r="K35" i="10" s="1"/>
  <c r="U36" i="10"/>
  <c r="U37" i="10"/>
  <c r="H31" i="10"/>
  <c r="I31" i="10" s="1"/>
  <c r="W31" i="10" s="1"/>
  <c r="K36" i="10"/>
  <c r="L33" i="10"/>
  <c r="U32" i="10"/>
  <c r="V35" i="10"/>
  <c r="U33" i="10"/>
  <c r="W36" i="10"/>
  <c r="L34" i="10"/>
  <c r="W35" i="10"/>
  <c r="V33" i="10"/>
  <c r="V32" i="10"/>
  <c r="J33" i="10"/>
  <c r="W33" i="10"/>
  <c r="J32" i="10"/>
  <c r="W32" i="10"/>
  <c r="R34" i="10"/>
  <c r="S34" i="10" s="1"/>
  <c r="T34" i="10" s="1"/>
  <c r="U34" i="10" s="1"/>
  <c r="Q28" i="10"/>
  <c r="R28" i="10" s="1"/>
  <c r="S28" i="10" s="1"/>
  <c r="T28" i="10" s="1"/>
  <c r="Q29" i="10"/>
  <c r="Q30" i="10"/>
  <c r="F30" i="10"/>
  <c r="L31" i="10" s="1"/>
  <c r="F29" i="10"/>
  <c r="F28" i="10"/>
  <c r="J31" i="10" l="1"/>
  <c r="K33" i="10"/>
  <c r="U35" i="10"/>
  <c r="K34" i="10"/>
  <c r="K32" i="10"/>
  <c r="V30" i="10"/>
  <c r="V31" i="10"/>
  <c r="R29" i="10"/>
  <c r="S29" i="10" s="1"/>
  <c r="T29" i="10" s="1"/>
  <c r="U29" i="10" s="1"/>
  <c r="V29" i="10"/>
  <c r="W34" i="10"/>
  <c r="H29" i="10"/>
  <c r="I29" i="10" s="1"/>
  <c r="L30" i="10"/>
  <c r="H28" i="10"/>
  <c r="I28" i="10" s="1"/>
  <c r="J28" i="10" s="1"/>
  <c r="L29" i="10"/>
  <c r="R30" i="10"/>
  <c r="S30" i="10" s="1"/>
  <c r="T30" i="10" s="1"/>
  <c r="H30" i="10"/>
  <c r="I30" i="10" s="1"/>
  <c r="Q27" i="10"/>
  <c r="V28" i="10" s="1"/>
  <c r="F27" i="10"/>
  <c r="L28" i="10" s="1"/>
  <c r="W28" i="10" l="1"/>
  <c r="U31" i="10"/>
  <c r="U30" i="10"/>
  <c r="J30" i="10"/>
  <c r="K31" i="10" s="1"/>
  <c r="W30" i="10"/>
  <c r="J29" i="10"/>
  <c r="K29" i="10" s="1"/>
  <c r="W29" i="10"/>
  <c r="R27" i="10"/>
  <c r="S27" i="10" s="1"/>
  <c r="T27" i="10" s="1"/>
  <c r="U28" i="10" s="1"/>
  <c r="H27" i="10"/>
  <c r="I27" i="10" s="1"/>
  <c r="J27" i="10" s="1"/>
  <c r="K28" i="10" s="1"/>
  <c r="Q25" i="10"/>
  <c r="R25" i="10" s="1"/>
  <c r="S25" i="10" s="1"/>
  <c r="T25" i="10" s="1"/>
  <c r="Q26" i="10"/>
  <c r="V27" i="10" s="1"/>
  <c r="F25" i="10"/>
  <c r="F26" i="10"/>
  <c r="L27" i="10" s="1"/>
  <c r="K30" i="10" l="1"/>
  <c r="H26" i="10"/>
  <c r="I26" i="10" s="1"/>
  <c r="J26" i="10" s="1"/>
  <c r="K27" i="10" s="1"/>
  <c r="W27" i="10"/>
  <c r="H25" i="10"/>
  <c r="I25" i="10" s="1"/>
  <c r="J25" i="10" s="1"/>
  <c r="L26" i="10"/>
  <c r="R26" i="10"/>
  <c r="S26" i="10" s="1"/>
  <c r="T26" i="10" s="1"/>
  <c r="U27" i="10" s="1"/>
  <c r="V26" i="10"/>
  <c r="Q24" i="10"/>
  <c r="V25" i="10" s="1"/>
  <c r="F24" i="10"/>
  <c r="L25" i="10" s="1"/>
  <c r="K26" i="10" l="1"/>
  <c r="W25" i="10"/>
  <c r="U26" i="10"/>
  <c r="W26" i="10"/>
  <c r="H24" i="10"/>
  <c r="I24" i="10" s="1"/>
  <c r="J24" i="10" s="1"/>
  <c r="K25" i="10" s="1"/>
  <c r="R24" i="10"/>
  <c r="S24" i="10" s="1"/>
  <c r="T24" i="10" s="1"/>
  <c r="U25" i="10" s="1"/>
  <c r="Q23" i="10"/>
  <c r="V24" i="10" s="1"/>
  <c r="F23" i="10"/>
  <c r="L24" i="10" s="1"/>
  <c r="Q22" i="10"/>
  <c r="R22" i="10" s="1"/>
  <c r="S22" i="10" s="1"/>
  <c r="F22" i="10"/>
  <c r="H22" i="10" s="1"/>
  <c r="I22" i="10" s="1"/>
  <c r="W24" i="10" l="1"/>
  <c r="V23" i="10"/>
  <c r="R23" i="10"/>
  <c r="S23" i="10" s="1"/>
  <c r="T23" i="10" s="1"/>
  <c r="U24" i="10" s="1"/>
  <c r="H23" i="10"/>
  <c r="I23" i="10" s="1"/>
  <c r="W22" i="10"/>
  <c r="J22" i="10"/>
  <c r="L23" i="10"/>
  <c r="T22" i="10"/>
  <c r="Q21" i="10"/>
  <c r="R21" i="10" s="1"/>
  <c r="S21" i="10" s="1"/>
  <c r="F21" i="10"/>
  <c r="L22" i="10" s="1"/>
  <c r="Q20" i="10"/>
  <c r="R20" i="10" s="1"/>
  <c r="S20" i="10" s="1"/>
  <c r="F20" i="10"/>
  <c r="Q19" i="10"/>
  <c r="F19" i="10"/>
  <c r="H19" i="10" s="1"/>
  <c r="I19" i="10" s="1"/>
  <c r="Q18" i="10"/>
  <c r="R18" i="10" s="1"/>
  <c r="S18" i="10" s="1"/>
  <c r="T18" i="10" s="1"/>
  <c r="F18" i="10"/>
  <c r="H18" i="10" s="1"/>
  <c r="I18" i="10" s="1"/>
  <c r="E11" i="10"/>
  <c r="Q36" i="9"/>
  <c r="R36" i="9" s="1"/>
  <c r="S36" i="9" s="1"/>
  <c r="F36" i="9"/>
  <c r="H36" i="9" s="1"/>
  <c r="V22" i="10" l="1"/>
  <c r="U23" i="10"/>
  <c r="J23" i="10"/>
  <c r="K24" i="10" s="1"/>
  <c r="W23" i="10"/>
  <c r="T20" i="10"/>
  <c r="V20" i="10"/>
  <c r="V21" i="10"/>
  <c r="T21" i="10"/>
  <c r="U22" i="10" s="1"/>
  <c r="L21" i="10"/>
  <c r="H20" i="10"/>
  <c r="I20" i="10" s="1"/>
  <c r="L20" i="10"/>
  <c r="L19" i="10"/>
  <c r="J18" i="10"/>
  <c r="W18" i="10"/>
  <c r="J19" i="10"/>
  <c r="R19" i="10"/>
  <c r="S19" i="10" s="1"/>
  <c r="T19" i="10" s="1"/>
  <c r="V19" i="10"/>
  <c r="H21" i="10"/>
  <c r="I21" i="10" s="1"/>
  <c r="T36" i="9"/>
  <c r="I36" i="9"/>
  <c r="J36" i="9" s="1"/>
  <c r="Q35" i="9"/>
  <c r="V36" i="9" s="1"/>
  <c r="Q34" i="9"/>
  <c r="R34" i="9" s="1"/>
  <c r="S34" i="9" s="1"/>
  <c r="F34" i="9"/>
  <c r="H34" i="9" s="1"/>
  <c r="I34" i="9" s="1"/>
  <c r="F35" i="9"/>
  <c r="H35" i="9" s="1"/>
  <c r="E10" i="10" l="1"/>
  <c r="K23" i="10"/>
  <c r="U20" i="10"/>
  <c r="U21" i="10"/>
  <c r="W20" i="10"/>
  <c r="J20" i="10"/>
  <c r="K20" i="10" s="1"/>
  <c r="J21" i="10"/>
  <c r="K22" i="10" s="1"/>
  <c r="W21" i="10"/>
  <c r="U19" i="10"/>
  <c r="K19" i="10"/>
  <c r="E12" i="10"/>
  <c r="W19" i="10"/>
  <c r="W36" i="9"/>
  <c r="R35" i="9"/>
  <c r="S35" i="9" s="1"/>
  <c r="T35" i="9" s="1"/>
  <c r="U36" i="9" s="1"/>
  <c r="V35" i="9"/>
  <c r="I35" i="9"/>
  <c r="L36" i="9"/>
  <c r="J34" i="9"/>
  <c r="W34" i="9"/>
  <c r="L35" i="9"/>
  <c r="T34" i="9"/>
  <c r="K21" i="10" l="1"/>
  <c r="W35" i="9"/>
  <c r="U35" i="9"/>
  <c r="J35" i="9"/>
  <c r="K36" i="9" s="1"/>
  <c r="Q33" i="9"/>
  <c r="V34" i="9" s="1"/>
  <c r="F33" i="9"/>
  <c r="L34" i="9" s="1"/>
  <c r="K35" i="9" l="1"/>
  <c r="R33" i="9"/>
  <c r="S33" i="9" s="1"/>
  <c r="T33" i="9" s="1"/>
  <c r="U34" i="9" s="1"/>
  <c r="H33" i="9"/>
  <c r="I33" i="9" s="1"/>
  <c r="J33" i="9" s="1"/>
  <c r="K34" i="9" s="1"/>
  <c r="W33" i="9" l="1"/>
  <c r="Q32" i="9"/>
  <c r="V33" i="9" s="1"/>
  <c r="F32" i="9"/>
  <c r="R32" i="9" l="1"/>
  <c r="S32" i="9" s="1"/>
  <c r="T32" i="9" s="1"/>
  <c r="U33" i="9" s="1"/>
  <c r="H32" i="9"/>
  <c r="I32" i="9" s="1"/>
  <c r="J32" i="9" s="1"/>
  <c r="K33" i="9" s="1"/>
  <c r="L33" i="9"/>
  <c r="Q31" i="9"/>
  <c r="V32" i="9" s="1"/>
  <c r="F31" i="9"/>
  <c r="L32" i="9" s="1"/>
  <c r="W32" i="9" l="1"/>
  <c r="R31" i="9"/>
  <c r="S31" i="9" s="1"/>
  <c r="H31" i="9"/>
  <c r="I31" i="9" s="1"/>
  <c r="J31" i="9" s="1"/>
  <c r="K32" i="9" s="1"/>
  <c r="Q30" i="9"/>
  <c r="V31" i="9" s="1"/>
  <c r="F30" i="9"/>
  <c r="L31" i="9" s="1"/>
  <c r="T31" i="9" l="1"/>
  <c r="U32" i="9" s="1"/>
  <c r="W31" i="9"/>
  <c r="R30" i="9"/>
  <c r="S30" i="9" s="1"/>
  <c r="T30" i="9" s="1"/>
  <c r="H30" i="9"/>
  <c r="I30" i="9" s="1"/>
  <c r="Q29" i="9"/>
  <c r="V30" i="9" s="1"/>
  <c r="F29" i="9"/>
  <c r="U31" i="9" l="1"/>
  <c r="H29" i="9"/>
  <c r="I29" i="9" s="1"/>
  <c r="J29" i="9" s="1"/>
  <c r="L30" i="9"/>
  <c r="J30" i="9"/>
  <c r="K31" i="9" s="1"/>
  <c r="W30" i="9"/>
  <c r="R29" i="9"/>
  <c r="S29" i="9" s="1"/>
  <c r="T29" i="9" s="1"/>
  <c r="U30" i="9" s="1"/>
  <c r="Q28" i="9"/>
  <c r="V29" i="9" s="1"/>
  <c r="F28" i="9"/>
  <c r="K30" i="9" l="1"/>
  <c r="H28" i="9"/>
  <c r="I28" i="9" s="1"/>
  <c r="J28" i="9" s="1"/>
  <c r="K29" i="9" s="1"/>
  <c r="L29" i="9"/>
  <c r="W29" i="9"/>
  <c r="R28" i="9"/>
  <c r="S28" i="9" s="1"/>
  <c r="T28" i="9" s="1"/>
  <c r="U29" i="9" s="1"/>
  <c r="Q27" i="9"/>
  <c r="F27" i="9"/>
  <c r="H27" i="9" l="1"/>
  <c r="I27" i="9" s="1"/>
  <c r="J27" i="9" s="1"/>
  <c r="K28" i="9" s="1"/>
  <c r="L28" i="9"/>
  <c r="W28" i="9"/>
  <c r="V28" i="9"/>
  <c r="R27" i="9"/>
  <c r="S27" i="9" s="1"/>
  <c r="T27" i="9" s="1"/>
  <c r="Q26" i="9"/>
  <c r="V27" i="9" s="1"/>
  <c r="F26" i="9"/>
  <c r="L27" i="9" s="1"/>
  <c r="U28" i="9" l="1"/>
  <c r="W27" i="9"/>
  <c r="R26" i="9"/>
  <c r="S26" i="9" s="1"/>
  <c r="T26" i="9" s="1"/>
  <c r="H26" i="9"/>
  <c r="I26" i="9" s="1"/>
  <c r="J26" i="9" s="1"/>
  <c r="K27" i="9" s="1"/>
  <c r="Q25" i="9"/>
  <c r="F25" i="9"/>
  <c r="V26" i="9" l="1"/>
  <c r="U27" i="9"/>
  <c r="L26" i="9"/>
  <c r="H25" i="9"/>
  <c r="I25" i="9" s="1"/>
  <c r="J25" i="9" s="1"/>
  <c r="K26" i="9" s="1"/>
  <c r="W26" i="9"/>
  <c r="R25" i="9"/>
  <c r="S25" i="9" s="1"/>
  <c r="T25" i="9" s="1"/>
  <c r="U26" i="9" s="1"/>
  <c r="Q24" i="9"/>
  <c r="V25" i="9" s="1"/>
  <c r="F24" i="9"/>
  <c r="L25" i="9" s="1"/>
  <c r="W25" i="9" l="1"/>
  <c r="R24" i="9"/>
  <c r="S24" i="9" s="1"/>
  <c r="T24" i="9" s="1"/>
  <c r="U25" i="9" s="1"/>
  <c r="H24" i="9"/>
  <c r="I24" i="9" s="1"/>
  <c r="J24" i="9" s="1"/>
  <c r="K25" i="9" s="1"/>
  <c r="Q23" i="9"/>
  <c r="V24" i="9" s="1"/>
  <c r="F23" i="9"/>
  <c r="L24" i="9" s="1"/>
  <c r="W24" i="9" l="1"/>
  <c r="R23" i="9"/>
  <c r="S23" i="9" s="1"/>
  <c r="T23" i="9" s="1"/>
  <c r="U24" i="9" s="1"/>
  <c r="H23" i="9"/>
  <c r="I23" i="9" s="1"/>
  <c r="J23" i="9" s="1"/>
  <c r="K24" i="9" s="1"/>
  <c r="Q22" i="9"/>
  <c r="V23" i="9" s="1"/>
  <c r="F22" i="9"/>
  <c r="L23" i="9" s="1"/>
  <c r="W23" i="9" l="1"/>
  <c r="R22" i="9"/>
  <c r="S22" i="9" s="1"/>
  <c r="T22" i="9" s="1"/>
  <c r="U23" i="9" s="1"/>
  <c r="H22" i="9"/>
  <c r="I22" i="9" s="1"/>
  <c r="J22" i="9" s="1"/>
  <c r="K23" i="9" s="1"/>
  <c r="Q21" i="9"/>
  <c r="V22" i="9" s="1"/>
  <c r="F21" i="9"/>
  <c r="W22" i="9" l="1"/>
  <c r="R21" i="9"/>
  <c r="S21" i="9" s="1"/>
  <c r="T21" i="9" s="1"/>
  <c r="U22" i="9" s="1"/>
  <c r="H21" i="9"/>
  <c r="I21" i="9" s="1"/>
  <c r="J21" i="9" s="1"/>
  <c r="K22" i="9" s="1"/>
  <c r="L22" i="9"/>
  <c r="F20" i="9"/>
  <c r="L21" i="9" s="1"/>
  <c r="Q20" i="9"/>
  <c r="V21" i="9" s="1"/>
  <c r="Q19" i="9"/>
  <c r="F19" i="9"/>
  <c r="H19" i="9" s="1"/>
  <c r="I19" i="9" s="1"/>
  <c r="Q18" i="9"/>
  <c r="R18" i="9" s="1"/>
  <c r="S18" i="9" s="1"/>
  <c r="T18" i="9" s="1"/>
  <c r="F18" i="9"/>
  <c r="E11" i="9"/>
  <c r="R20" i="9" l="1"/>
  <c r="S20" i="9" s="1"/>
  <c r="T20" i="9" s="1"/>
  <c r="U21" i="9" s="1"/>
  <c r="W21" i="9"/>
  <c r="V20" i="9"/>
  <c r="H20" i="9"/>
  <c r="I20" i="9" s="1"/>
  <c r="L20" i="9"/>
  <c r="L19" i="9"/>
  <c r="V19" i="9"/>
  <c r="J19" i="9"/>
  <c r="R19" i="9"/>
  <c r="S19" i="9" s="1"/>
  <c r="T19" i="9" s="1"/>
  <c r="U19" i="9" s="1"/>
  <c r="H18" i="9"/>
  <c r="I18" i="9" s="1"/>
  <c r="Q32" i="8"/>
  <c r="R32" i="8" s="1"/>
  <c r="S32" i="8" s="1"/>
  <c r="F32" i="8"/>
  <c r="H32" i="8" s="1"/>
  <c r="I32" i="8" s="1"/>
  <c r="J32" i="8" s="1"/>
  <c r="E10" i="9" l="1"/>
  <c r="E12" i="9" s="1"/>
  <c r="W20" i="9"/>
  <c r="U20" i="9"/>
  <c r="J20" i="9"/>
  <c r="K21" i="9" s="1"/>
  <c r="J18" i="9"/>
  <c r="K19" i="9" s="1"/>
  <c r="W18" i="9"/>
  <c r="W19" i="9"/>
  <c r="T32" i="8"/>
  <c r="W32" i="8"/>
  <c r="Q30" i="8"/>
  <c r="Q31" i="8"/>
  <c r="V32" i="8" s="1"/>
  <c r="F31" i="8"/>
  <c r="L32" i="8" s="1"/>
  <c r="H31" i="8" l="1"/>
  <c r="I31" i="8" s="1"/>
  <c r="J31" i="8" s="1"/>
  <c r="K32" i="8" s="1"/>
  <c r="K20" i="9"/>
  <c r="R31" i="8"/>
  <c r="S31" i="8" s="1"/>
  <c r="T31" i="8" s="1"/>
  <c r="U32" i="8" s="1"/>
  <c r="V31" i="8"/>
  <c r="R30" i="8"/>
  <c r="S30" i="8" s="1"/>
  <c r="T30" i="8" s="1"/>
  <c r="F30" i="8"/>
  <c r="L31" i="8" s="1"/>
  <c r="W31" i="8" l="1"/>
  <c r="U31" i="8"/>
  <c r="H30" i="8"/>
  <c r="I30" i="8" s="1"/>
  <c r="J30" i="8" s="1"/>
  <c r="K31" i="8" s="1"/>
  <c r="W30" i="8" l="1"/>
  <c r="F29" i="8"/>
  <c r="L30" i="8" s="1"/>
  <c r="Q29" i="8"/>
  <c r="V30" i="8" s="1"/>
  <c r="R29" i="8" l="1"/>
  <c r="S29" i="8" s="1"/>
  <c r="T29" i="8" s="1"/>
  <c r="U30" i="8" s="1"/>
  <c r="H29" i="8"/>
  <c r="I29" i="8" s="1"/>
  <c r="J29" i="8" s="1"/>
  <c r="K30" i="8" s="1"/>
  <c r="Q28" i="8"/>
  <c r="V29" i="8" s="1"/>
  <c r="F28" i="8"/>
  <c r="L29" i="8" s="1"/>
  <c r="W29" i="8" l="1"/>
  <c r="H28" i="8"/>
  <c r="I28" i="8" s="1"/>
  <c r="J28" i="8" s="1"/>
  <c r="K29" i="8" s="1"/>
  <c r="R28" i="8"/>
  <c r="S28" i="8" s="1"/>
  <c r="Q22" i="8"/>
  <c r="R22" i="8" s="1"/>
  <c r="S22" i="8" s="1"/>
  <c r="T22" i="8" s="1"/>
  <c r="Q23" i="8"/>
  <c r="R23" i="8" s="1"/>
  <c r="S23" i="8" s="1"/>
  <c r="T23" i="8" s="1"/>
  <c r="Q24" i="8"/>
  <c r="Q25" i="8"/>
  <c r="R25" i="8" s="1"/>
  <c r="S25" i="8" s="1"/>
  <c r="T25" i="8" s="1"/>
  <c r="Q26" i="8"/>
  <c r="V26" i="8" s="1"/>
  <c r="Q27" i="8"/>
  <c r="V28" i="8" s="1"/>
  <c r="F27" i="8"/>
  <c r="L28" i="8" s="1"/>
  <c r="F23" i="8"/>
  <c r="F24" i="8"/>
  <c r="L25" i="8" s="1"/>
  <c r="F25" i="8"/>
  <c r="F26" i="8"/>
  <c r="H23" i="8"/>
  <c r="I23" i="8" s="1"/>
  <c r="J23" i="8" s="1"/>
  <c r="H24" i="8"/>
  <c r="I24" i="8" s="1"/>
  <c r="J24" i="8" s="1"/>
  <c r="L24" i="8" l="1"/>
  <c r="K24" i="8"/>
  <c r="H26" i="8"/>
  <c r="I26" i="8" s="1"/>
  <c r="J26" i="8" s="1"/>
  <c r="L27" i="8"/>
  <c r="H25" i="8"/>
  <c r="I25" i="8" s="1"/>
  <c r="J25" i="8" s="1"/>
  <c r="L26" i="8"/>
  <c r="V24" i="8"/>
  <c r="T28" i="8"/>
  <c r="U29" i="8" s="1"/>
  <c r="W28" i="8"/>
  <c r="V27" i="8"/>
  <c r="R24" i="8"/>
  <c r="S24" i="8" s="1"/>
  <c r="T24" i="8" s="1"/>
  <c r="U25" i="8" s="1"/>
  <c r="V25" i="8"/>
  <c r="H27" i="8"/>
  <c r="I27" i="8" s="1"/>
  <c r="J27" i="8" s="1"/>
  <c r="K28" i="8" s="1"/>
  <c r="R27" i="8"/>
  <c r="S27" i="8" s="1"/>
  <c r="T27" i="8" s="1"/>
  <c r="R26" i="8"/>
  <c r="S26" i="8" s="1"/>
  <c r="T26" i="8" s="1"/>
  <c r="U26" i="8" s="1"/>
  <c r="V23" i="8"/>
  <c r="U23" i="8"/>
  <c r="W23" i="8"/>
  <c r="K26" i="8" l="1"/>
  <c r="W25" i="8"/>
  <c r="K27" i="8"/>
  <c r="K25" i="8"/>
  <c r="W27" i="8"/>
  <c r="U24" i="8"/>
  <c r="U28" i="8"/>
  <c r="U27" i="8"/>
  <c r="W24" i="8"/>
  <c r="W26" i="8"/>
  <c r="F22" i="8" l="1"/>
  <c r="L23" i="8" s="1"/>
  <c r="H22" i="8" l="1"/>
  <c r="I22" i="8" s="1"/>
  <c r="J22" i="8" s="1"/>
  <c r="K23" i="8" s="1"/>
  <c r="Q20" i="8"/>
  <c r="R20" i="8" s="1"/>
  <c r="S20" i="8" s="1"/>
  <c r="Q21" i="8"/>
  <c r="V22" i="8" s="1"/>
  <c r="F21" i="8"/>
  <c r="L22" i="8" s="1"/>
  <c r="F20" i="8"/>
  <c r="H20" i="8" l="1"/>
  <c r="I20" i="8" s="1"/>
  <c r="J20" i="8" s="1"/>
  <c r="L21" i="8"/>
  <c r="W22" i="8"/>
  <c r="R21" i="8"/>
  <c r="S21" i="8" s="1"/>
  <c r="T21" i="8" s="1"/>
  <c r="U22" i="8" s="1"/>
  <c r="V21" i="8"/>
  <c r="H21" i="8"/>
  <c r="I21" i="8" s="1"/>
  <c r="J21" i="8" s="1"/>
  <c r="K22" i="8" s="1"/>
  <c r="T20" i="8"/>
  <c r="Q62" i="1"/>
  <c r="F62" i="1"/>
  <c r="Q63" i="1"/>
  <c r="Q19" i="8"/>
  <c r="F19" i="8"/>
  <c r="L20" i="8" s="1"/>
  <c r="Q18" i="8"/>
  <c r="F18" i="8"/>
  <c r="E11" i="8"/>
  <c r="W20" i="8" l="1"/>
  <c r="K21" i="8"/>
  <c r="V19" i="8"/>
  <c r="U21" i="8"/>
  <c r="V20" i="8"/>
  <c r="W21" i="8"/>
  <c r="R19" i="8"/>
  <c r="S19" i="8" s="1"/>
  <c r="T19" i="8" s="1"/>
  <c r="U20" i="8" s="1"/>
  <c r="H19" i="8"/>
  <c r="I19" i="8" s="1"/>
  <c r="J19" i="8" s="1"/>
  <c r="K20" i="8" s="1"/>
  <c r="L19" i="8"/>
  <c r="R18" i="8"/>
  <c r="S18" i="8" s="1"/>
  <c r="T18" i="8" s="1"/>
  <c r="H18" i="8"/>
  <c r="I18" i="8" s="1"/>
  <c r="E10" i="8" l="1"/>
  <c r="E12" i="8" s="1"/>
  <c r="U19" i="8"/>
  <c r="J18" i="8"/>
  <c r="K19" i="8" s="1"/>
  <c r="W19" i="8"/>
  <c r="W18" i="8"/>
  <c r="Q39" i="7"/>
  <c r="R39" i="7" s="1"/>
  <c r="S39" i="7" s="1"/>
  <c r="F39" i="7"/>
  <c r="H39" i="7"/>
  <c r="I39" i="7" s="1"/>
  <c r="J39" i="7" s="1"/>
  <c r="W39" i="7" l="1"/>
  <c r="T39" i="7"/>
  <c r="Q38" i="7"/>
  <c r="V39" i="7" s="1"/>
  <c r="F38" i="7"/>
  <c r="L39" i="7" l="1"/>
  <c r="H38" i="7"/>
  <c r="I38" i="7" s="1"/>
  <c r="J38" i="7" s="1"/>
  <c r="K39" i="7" s="1"/>
  <c r="R38" i="7"/>
  <c r="S38" i="7" s="1"/>
  <c r="T38" i="7" s="1"/>
  <c r="U39" i="7" s="1"/>
  <c r="Q37" i="7"/>
  <c r="R37" i="7" s="1"/>
  <c r="S37" i="7" s="1"/>
  <c r="F37" i="7"/>
  <c r="L38" i="7" s="1"/>
  <c r="V38" i="7" l="1"/>
  <c r="W38" i="7"/>
  <c r="H37" i="7"/>
  <c r="I37" i="7" s="1"/>
  <c r="T37" i="7"/>
  <c r="U38" i="7" s="1"/>
  <c r="Q36" i="7"/>
  <c r="V37" i="7" s="1"/>
  <c r="Q35" i="7"/>
  <c r="R35" i="7" s="1"/>
  <c r="S35" i="7" s="1"/>
  <c r="F36" i="7"/>
  <c r="F35" i="7"/>
  <c r="H35" i="7" s="1"/>
  <c r="J37" i="7" l="1"/>
  <c r="K38" i="7" s="1"/>
  <c r="W37" i="7"/>
  <c r="R36" i="7"/>
  <c r="S36" i="7" s="1"/>
  <c r="T36" i="7" s="1"/>
  <c r="U37" i="7" s="1"/>
  <c r="L37" i="7"/>
  <c r="H36" i="7"/>
  <c r="I36" i="7" s="1"/>
  <c r="L36" i="7"/>
  <c r="I35" i="7"/>
  <c r="J35" i="7" s="1"/>
  <c r="V36" i="7"/>
  <c r="T35" i="7"/>
  <c r="Q34" i="7"/>
  <c r="F34" i="7"/>
  <c r="L35" i="7" s="1"/>
  <c r="U36" i="7" l="1"/>
  <c r="J36" i="7"/>
  <c r="K37" i="7" s="1"/>
  <c r="W36" i="7"/>
  <c r="W35" i="7"/>
  <c r="R34" i="7"/>
  <c r="S34" i="7" s="1"/>
  <c r="T34" i="7" s="1"/>
  <c r="U35" i="7" s="1"/>
  <c r="V35" i="7"/>
  <c r="H34" i="7"/>
  <c r="I34" i="7" s="1"/>
  <c r="J34" i="7" s="1"/>
  <c r="Q31" i="7"/>
  <c r="R31" i="7" s="1"/>
  <c r="S31" i="7" s="1"/>
  <c r="Q32" i="7"/>
  <c r="Q33" i="7"/>
  <c r="F32" i="7"/>
  <c r="F33" i="7"/>
  <c r="L34" i="7" s="1"/>
  <c r="F31" i="7"/>
  <c r="K35" i="7" l="1"/>
  <c r="K36" i="7"/>
  <c r="L32" i="7"/>
  <c r="H33" i="7"/>
  <c r="I33" i="7" s="1"/>
  <c r="J33" i="7" s="1"/>
  <c r="K34" i="7" s="1"/>
  <c r="W34" i="7"/>
  <c r="R33" i="7"/>
  <c r="S33" i="7" s="1"/>
  <c r="T33" i="7" s="1"/>
  <c r="U34" i="7" s="1"/>
  <c r="V34" i="7"/>
  <c r="L33" i="7"/>
  <c r="H32" i="7"/>
  <c r="I32" i="7" s="1"/>
  <c r="J32" i="7" s="1"/>
  <c r="V33" i="7"/>
  <c r="R32" i="7"/>
  <c r="S32" i="7" s="1"/>
  <c r="T32" i="7" s="1"/>
  <c r="T31" i="7"/>
  <c r="V32" i="7"/>
  <c r="H31" i="7"/>
  <c r="I31" i="7" s="1"/>
  <c r="J31" i="7" s="1"/>
  <c r="Q27" i="7"/>
  <c r="R27" i="7" s="1"/>
  <c r="S27" i="7" s="1"/>
  <c r="Q28" i="7"/>
  <c r="V28" i="7" s="1"/>
  <c r="Q29" i="7"/>
  <c r="R29" i="7" s="1"/>
  <c r="S29" i="7" s="1"/>
  <c r="Q30" i="7"/>
  <c r="F30" i="7"/>
  <c r="F29" i="7"/>
  <c r="H29" i="7" s="1"/>
  <c r="I29" i="7" s="1"/>
  <c r="J29" i="7" s="1"/>
  <c r="F28" i="7"/>
  <c r="F27" i="7"/>
  <c r="V30" i="7" l="1"/>
  <c r="K32" i="7"/>
  <c r="K33" i="7"/>
  <c r="R28" i="7"/>
  <c r="S28" i="7" s="1"/>
  <c r="T28" i="7" s="1"/>
  <c r="U32" i="7"/>
  <c r="W33" i="7"/>
  <c r="U33" i="7"/>
  <c r="W31" i="7"/>
  <c r="W32" i="7"/>
  <c r="V29" i="7"/>
  <c r="R30" i="7"/>
  <c r="S30" i="7" s="1"/>
  <c r="T30" i="7" s="1"/>
  <c r="U31" i="7" s="1"/>
  <c r="V31" i="7"/>
  <c r="H30" i="7"/>
  <c r="I30" i="7" s="1"/>
  <c r="J30" i="7" s="1"/>
  <c r="K30" i="7" s="1"/>
  <c r="L31" i="7"/>
  <c r="T29" i="7"/>
  <c r="W29" i="7"/>
  <c r="T27" i="7"/>
  <c r="L30" i="7"/>
  <c r="L29" i="7"/>
  <c r="H28" i="7"/>
  <c r="I28" i="7" s="1"/>
  <c r="J28" i="7" s="1"/>
  <c r="L28" i="7"/>
  <c r="H27" i="7"/>
  <c r="I27" i="7" s="1"/>
  <c r="J27" i="7" s="1"/>
  <c r="Q22" i="7"/>
  <c r="Q23" i="7"/>
  <c r="Q24" i="7"/>
  <c r="Q25" i="7"/>
  <c r="Q26" i="7"/>
  <c r="F25" i="7"/>
  <c r="H25" i="7" s="1"/>
  <c r="F26" i="7"/>
  <c r="L27" i="7" s="1"/>
  <c r="F23" i="7"/>
  <c r="H23" i="7" s="1"/>
  <c r="F24" i="7"/>
  <c r="H24" i="7" s="1"/>
  <c r="I24" i="7" s="1"/>
  <c r="J24" i="7" s="1"/>
  <c r="F22" i="7"/>
  <c r="K31" i="7" l="1"/>
  <c r="K28" i="7"/>
  <c r="K29" i="7"/>
  <c r="R24" i="7"/>
  <c r="S24" i="7" s="1"/>
  <c r="W24" i="7" s="1"/>
  <c r="V24" i="7"/>
  <c r="R23" i="7"/>
  <c r="S23" i="7" s="1"/>
  <c r="T23" i="7" s="1"/>
  <c r="V23" i="7"/>
  <c r="R22" i="7"/>
  <c r="S22" i="7" s="1"/>
  <c r="T22" i="7" s="1"/>
  <c r="R26" i="7"/>
  <c r="S26" i="7" s="1"/>
  <c r="T26" i="7" s="1"/>
  <c r="U27" i="7" s="1"/>
  <c r="V26" i="7"/>
  <c r="R25" i="7"/>
  <c r="S25" i="7" s="1"/>
  <c r="T25" i="7" s="1"/>
  <c r="V25" i="7"/>
  <c r="U29" i="7"/>
  <c r="V27" i="7"/>
  <c r="W30" i="7"/>
  <c r="W28" i="7"/>
  <c r="U30" i="7"/>
  <c r="U28" i="7"/>
  <c r="W27" i="7"/>
  <c r="L23" i="7"/>
  <c r="H26" i="7"/>
  <c r="I26" i="7" s="1"/>
  <c r="J26" i="7" s="1"/>
  <c r="L26" i="7"/>
  <c r="L25" i="7"/>
  <c r="I25" i="7"/>
  <c r="J25" i="7" s="1"/>
  <c r="K25" i="7" s="1"/>
  <c r="I23" i="7"/>
  <c r="J23" i="7" s="1"/>
  <c r="K24" i="7" s="1"/>
  <c r="L24" i="7"/>
  <c r="H22" i="7"/>
  <c r="I22" i="7" s="1"/>
  <c r="J22" i="7" s="1"/>
  <c r="Q21" i="7"/>
  <c r="F21" i="7"/>
  <c r="L22" i="7" s="1"/>
  <c r="F18" i="7"/>
  <c r="H18" i="7" s="1"/>
  <c r="I18" i="7" s="1"/>
  <c r="F19" i="7"/>
  <c r="H19" i="7" s="1"/>
  <c r="I19" i="7" s="1"/>
  <c r="J19" i="7" s="1"/>
  <c r="F20" i="7"/>
  <c r="F22" i="6"/>
  <c r="H22" i="6" s="1"/>
  <c r="I22" i="6" s="1"/>
  <c r="J22" i="6" s="1"/>
  <c r="F23" i="6"/>
  <c r="H23" i="6"/>
  <c r="I23" i="6" s="1"/>
  <c r="J23" i="6" s="1"/>
  <c r="F24" i="6"/>
  <c r="H24" i="6" s="1"/>
  <c r="I24" i="6" s="1"/>
  <c r="J24" i="6" s="1"/>
  <c r="F25" i="6"/>
  <c r="H25" i="6" s="1"/>
  <c r="I25" i="6" s="1"/>
  <c r="J25" i="6" s="1"/>
  <c r="F26" i="6"/>
  <c r="H26" i="6" s="1"/>
  <c r="I26" i="6" s="1"/>
  <c r="J26" i="6" s="1"/>
  <c r="F27" i="6"/>
  <c r="H27" i="6" s="1"/>
  <c r="I27" i="6" s="1"/>
  <c r="J27" i="6" s="1"/>
  <c r="F28" i="6"/>
  <c r="H28" i="6" s="1"/>
  <c r="I28" i="6" s="1"/>
  <c r="J28" i="6" s="1"/>
  <c r="F29" i="6"/>
  <c r="H29" i="6" s="1"/>
  <c r="I29" i="6" s="1"/>
  <c r="J29" i="6" s="1"/>
  <c r="F30" i="6"/>
  <c r="H30" i="6" s="1"/>
  <c r="I30" i="6" s="1"/>
  <c r="J30" i="6" s="1"/>
  <c r="F31" i="6"/>
  <c r="H31" i="6" s="1"/>
  <c r="I31" i="6" s="1"/>
  <c r="J31" i="6" s="1"/>
  <c r="F32" i="6"/>
  <c r="H32" i="6" s="1"/>
  <c r="I32" i="6" s="1"/>
  <c r="J32" i="6" s="1"/>
  <c r="F33" i="6"/>
  <c r="H33" i="6" s="1"/>
  <c r="I33" i="6" s="1"/>
  <c r="J33" i="6" s="1"/>
  <c r="F34" i="6"/>
  <c r="H34" i="6" s="1"/>
  <c r="I34" i="6" s="1"/>
  <c r="J34" i="6" s="1"/>
  <c r="F35" i="6"/>
  <c r="H35" i="6" s="1"/>
  <c r="I35" i="6" s="1"/>
  <c r="J35" i="6" s="1"/>
  <c r="F36" i="6"/>
  <c r="H36" i="6" s="1"/>
  <c r="I36" i="6" s="1"/>
  <c r="J36" i="6" s="1"/>
  <c r="F37" i="6"/>
  <c r="H37" i="6" s="1"/>
  <c r="I37" i="6" s="1"/>
  <c r="J37" i="6" s="1"/>
  <c r="F38" i="6"/>
  <c r="H38" i="6" s="1"/>
  <c r="I38" i="6" s="1"/>
  <c r="J38" i="6" s="1"/>
  <c r="F39" i="6"/>
  <c r="F40" i="6"/>
  <c r="H40" i="6" s="1"/>
  <c r="I40" i="6" s="1"/>
  <c r="J40" i="6" s="1"/>
  <c r="F41" i="6"/>
  <c r="H41" i="6" s="1"/>
  <c r="I41" i="6" s="1"/>
  <c r="J41" i="6" s="1"/>
  <c r="F42" i="6"/>
  <c r="H42" i="6" s="1"/>
  <c r="I42" i="6" s="1"/>
  <c r="J42" i="6" s="1"/>
  <c r="F43" i="6"/>
  <c r="H43" i="6"/>
  <c r="I43" i="6" s="1"/>
  <c r="J43" i="6" s="1"/>
  <c r="F44" i="6"/>
  <c r="H44" i="6" s="1"/>
  <c r="I44" i="6" s="1"/>
  <c r="J44" i="6" s="1"/>
  <c r="F45" i="6"/>
  <c r="H45" i="6" s="1"/>
  <c r="I45" i="6" s="1"/>
  <c r="J45" i="6" s="1"/>
  <c r="F46" i="6"/>
  <c r="H46" i="6" s="1"/>
  <c r="I46" i="6" s="1"/>
  <c r="J46" i="6" s="1"/>
  <c r="F47" i="6"/>
  <c r="F48" i="6"/>
  <c r="H48" i="6" s="1"/>
  <c r="I48" i="6" s="1"/>
  <c r="J48" i="6" s="1"/>
  <c r="F49" i="6"/>
  <c r="F50" i="6"/>
  <c r="H50" i="6" s="1"/>
  <c r="I50" i="6" s="1"/>
  <c r="J50" i="6" s="1"/>
  <c r="F51" i="6"/>
  <c r="H51" i="6" s="1"/>
  <c r="I51" i="6" s="1"/>
  <c r="J51" i="6" s="1"/>
  <c r="F52" i="6"/>
  <c r="H52" i="6" s="1"/>
  <c r="I52" i="6" s="1"/>
  <c r="J52" i="6" s="1"/>
  <c r="F53" i="6"/>
  <c r="H53" i="6" s="1"/>
  <c r="I53" i="6" s="1"/>
  <c r="J53" i="6" s="1"/>
  <c r="F54" i="6"/>
  <c r="H54" i="6" s="1"/>
  <c r="I54" i="6" s="1"/>
  <c r="J54" i="6" s="1"/>
  <c r="F55" i="6"/>
  <c r="F56" i="6"/>
  <c r="H56" i="6" s="1"/>
  <c r="I56" i="6" s="1"/>
  <c r="J56" i="6" s="1"/>
  <c r="F57" i="6"/>
  <c r="F58" i="6"/>
  <c r="H58" i="6" s="1"/>
  <c r="I58" i="6" s="1"/>
  <c r="J58" i="6" s="1"/>
  <c r="F59" i="6"/>
  <c r="H59" i="6" s="1"/>
  <c r="I59" i="6" s="1"/>
  <c r="J59" i="6" s="1"/>
  <c r="F60" i="6"/>
  <c r="H60" i="6" s="1"/>
  <c r="I60" i="6" s="1"/>
  <c r="J60" i="6" s="1"/>
  <c r="F61" i="6"/>
  <c r="H61" i="6" s="1"/>
  <c r="I61" i="6" s="1"/>
  <c r="J61" i="6" s="1"/>
  <c r="F62" i="6"/>
  <c r="H62" i="6" s="1"/>
  <c r="I62" i="6" s="1"/>
  <c r="J62" i="6" s="1"/>
  <c r="F63" i="6"/>
  <c r="F64" i="6"/>
  <c r="F65" i="6"/>
  <c r="H65" i="6"/>
  <c r="I65" i="6" s="1"/>
  <c r="J65" i="6" s="1"/>
  <c r="F66" i="6"/>
  <c r="H66" i="6" s="1"/>
  <c r="I66" i="6" s="1"/>
  <c r="J66" i="6" s="1"/>
  <c r="F67" i="6"/>
  <c r="H67" i="6" s="1"/>
  <c r="I67" i="6" s="1"/>
  <c r="J67" i="6" s="1"/>
  <c r="F68" i="6"/>
  <c r="H68" i="6" s="1"/>
  <c r="I68" i="6" s="1"/>
  <c r="J68" i="6" s="1"/>
  <c r="F69" i="6"/>
  <c r="H69" i="6" s="1"/>
  <c r="I69" i="6" s="1"/>
  <c r="J69" i="6" s="1"/>
  <c r="F70" i="6"/>
  <c r="H70" i="6" s="1"/>
  <c r="I70" i="6" s="1"/>
  <c r="J70" i="6" s="1"/>
  <c r="F71" i="6"/>
  <c r="F72" i="6"/>
  <c r="L73" i="6" s="1"/>
  <c r="F73" i="6"/>
  <c r="H73" i="6" s="1"/>
  <c r="I73" i="6" s="1"/>
  <c r="J73" i="6" s="1"/>
  <c r="F74" i="6"/>
  <c r="H74" i="6" s="1"/>
  <c r="I74" i="6" s="1"/>
  <c r="J74" i="6" s="1"/>
  <c r="F75" i="6"/>
  <c r="H75" i="6" s="1"/>
  <c r="I75" i="6" s="1"/>
  <c r="J75" i="6" s="1"/>
  <c r="F76" i="6"/>
  <c r="H76" i="6" s="1"/>
  <c r="I76" i="6" s="1"/>
  <c r="J76" i="6" s="1"/>
  <c r="F77" i="6"/>
  <c r="H77" i="6" s="1"/>
  <c r="I77" i="6" s="1"/>
  <c r="J77" i="6" s="1"/>
  <c r="F78" i="6"/>
  <c r="H78" i="6" s="1"/>
  <c r="I78" i="6" s="1"/>
  <c r="J78" i="6" s="1"/>
  <c r="F79" i="6"/>
  <c r="F80" i="6"/>
  <c r="H80" i="6" s="1"/>
  <c r="I80" i="6" s="1"/>
  <c r="J80" i="6" s="1"/>
  <c r="Q20" i="7"/>
  <c r="Q19" i="7"/>
  <c r="Q18" i="7"/>
  <c r="R18" i="7" s="1"/>
  <c r="S18" i="7" s="1"/>
  <c r="T18" i="7" s="1"/>
  <c r="E11" i="7"/>
  <c r="Q79" i="6"/>
  <c r="R79" i="6" s="1"/>
  <c r="S79" i="6" s="1"/>
  <c r="Q80" i="6"/>
  <c r="R80" i="6" s="1"/>
  <c r="S80" i="6" s="1"/>
  <c r="Q78" i="6"/>
  <c r="R78" i="6" s="1"/>
  <c r="S78" i="6" s="1"/>
  <c r="L58" i="6" l="1"/>
  <c r="L48" i="6"/>
  <c r="L65" i="6"/>
  <c r="H72" i="6"/>
  <c r="I72" i="6" s="1"/>
  <c r="J72" i="6" s="1"/>
  <c r="K73" i="6" s="1"/>
  <c r="L69" i="6"/>
  <c r="L56" i="6"/>
  <c r="L51" i="6"/>
  <c r="L45" i="6"/>
  <c r="L43" i="6"/>
  <c r="K32" i="6"/>
  <c r="L80" i="6"/>
  <c r="L37" i="6"/>
  <c r="L23" i="6"/>
  <c r="L41" i="6"/>
  <c r="L31" i="6"/>
  <c r="K28" i="6"/>
  <c r="L75" i="6"/>
  <c r="L77" i="6"/>
  <c r="H57" i="6"/>
  <c r="I57" i="6" s="1"/>
  <c r="J57" i="6" s="1"/>
  <c r="L50" i="6"/>
  <c r="L24" i="6"/>
  <c r="K52" i="6"/>
  <c r="L64" i="6"/>
  <c r="K60" i="6"/>
  <c r="L29" i="6"/>
  <c r="L72" i="6"/>
  <c r="K68" i="6"/>
  <c r="L66" i="6"/>
  <c r="L59" i="6"/>
  <c r="L53" i="6"/>
  <c r="L49" i="6"/>
  <c r="L40" i="6"/>
  <c r="K36" i="6"/>
  <c r="L34" i="6"/>
  <c r="L30" i="6"/>
  <c r="K76" i="6"/>
  <c r="L74" i="6"/>
  <c r="K70" i="6"/>
  <c r="L67" i="6"/>
  <c r="H64" i="6"/>
  <c r="I64" i="6" s="1"/>
  <c r="J64" i="6" s="1"/>
  <c r="K65" i="6" s="1"/>
  <c r="L61" i="6"/>
  <c r="L57" i="6"/>
  <c r="H49" i="6"/>
  <c r="I49" i="6" s="1"/>
  <c r="J49" i="6" s="1"/>
  <c r="K50" i="6" s="1"/>
  <c r="K44" i="6"/>
  <c r="L42" i="6"/>
  <c r="K38" i="6"/>
  <c r="L35" i="6"/>
  <c r="K78" i="6"/>
  <c r="K46" i="6"/>
  <c r="K54" i="6"/>
  <c r="K62" i="6"/>
  <c r="K57" i="6"/>
  <c r="K30" i="6"/>
  <c r="L26" i="6"/>
  <c r="L25" i="6"/>
  <c r="K24" i="6"/>
  <c r="K23" i="7"/>
  <c r="L79" i="6"/>
  <c r="L76" i="6"/>
  <c r="L71" i="6"/>
  <c r="L68" i="6"/>
  <c r="L63" i="6"/>
  <c r="L60" i="6"/>
  <c r="L55" i="6"/>
  <c r="L52" i="6"/>
  <c r="L47" i="6"/>
  <c r="L44" i="6"/>
  <c r="L39" i="6"/>
  <c r="L36" i="6"/>
  <c r="L32" i="6"/>
  <c r="L28" i="6"/>
  <c r="L27" i="6"/>
  <c r="K41" i="6"/>
  <c r="H79" i="6"/>
  <c r="I79" i="6" s="1"/>
  <c r="J79" i="6" s="1"/>
  <c r="K79" i="6" s="1"/>
  <c r="L78" i="6"/>
  <c r="H71" i="6"/>
  <c r="I71" i="6" s="1"/>
  <c r="J71" i="6" s="1"/>
  <c r="K71" i="6" s="1"/>
  <c r="L70" i="6"/>
  <c r="H63" i="6"/>
  <c r="I63" i="6" s="1"/>
  <c r="J63" i="6" s="1"/>
  <c r="K63" i="6" s="1"/>
  <c r="L62" i="6"/>
  <c r="H55" i="6"/>
  <c r="I55" i="6" s="1"/>
  <c r="J55" i="6" s="1"/>
  <c r="K55" i="6" s="1"/>
  <c r="L54" i="6"/>
  <c r="H47" i="6"/>
  <c r="I47" i="6" s="1"/>
  <c r="J47" i="6" s="1"/>
  <c r="K47" i="6" s="1"/>
  <c r="L46" i="6"/>
  <c r="H39" i="6"/>
  <c r="I39" i="6" s="1"/>
  <c r="J39" i="6" s="1"/>
  <c r="K39" i="6" s="1"/>
  <c r="L38" i="6"/>
  <c r="L33" i="6"/>
  <c r="T24" i="7"/>
  <c r="K26" i="7"/>
  <c r="K27" i="7"/>
  <c r="U26" i="7"/>
  <c r="R20" i="7"/>
  <c r="S20" i="7" s="1"/>
  <c r="T20" i="7" s="1"/>
  <c r="V20" i="7"/>
  <c r="R21" i="7"/>
  <c r="S21" i="7" s="1"/>
  <c r="T21" i="7" s="1"/>
  <c r="V21" i="7"/>
  <c r="V22" i="7"/>
  <c r="R19" i="7"/>
  <c r="S19" i="7" s="1"/>
  <c r="T19" i="7" s="1"/>
  <c r="U19" i="7" s="1"/>
  <c r="V19" i="7"/>
  <c r="U23" i="7"/>
  <c r="U24" i="7"/>
  <c r="U25" i="7"/>
  <c r="W26" i="7"/>
  <c r="W25" i="7"/>
  <c r="W23" i="7"/>
  <c r="W22" i="7"/>
  <c r="L20" i="7"/>
  <c r="H21" i="7"/>
  <c r="I21" i="7" s="1"/>
  <c r="J21" i="7" s="1"/>
  <c r="K22" i="7" s="1"/>
  <c r="H20" i="7"/>
  <c r="I20" i="7" s="1"/>
  <c r="J20" i="7" s="1"/>
  <c r="K20" i="7" s="1"/>
  <c r="L19" i="7"/>
  <c r="J18" i="7"/>
  <c r="K19" i="7" s="1"/>
  <c r="L21" i="7"/>
  <c r="K34" i="6"/>
  <c r="K25" i="6"/>
  <c r="K75" i="6"/>
  <c r="K67" i="6"/>
  <c r="K59" i="6"/>
  <c r="K51" i="6"/>
  <c r="K43" i="6"/>
  <c r="K35" i="6"/>
  <c r="K27" i="6"/>
  <c r="K33" i="6"/>
  <c r="K26" i="6"/>
  <c r="K77" i="6"/>
  <c r="K69" i="6"/>
  <c r="K64" i="6"/>
  <c r="K61" i="6"/>
  <c r="K53" i="6"/>
  <c r="K45" i="6"/>
  <c r="K37" i="6"/>
  <c r="K29" i="6"/>
  <c r="K74" i="6"/>
  <c r="K66" i="6"/>
  <c r="K58" i="6"/>
  <c r="K42" i="6"/>
  <c r="K31" i="6"/>
  <c r="K23" i="6"/>
  <c r="T80" i="6"/>
  <c r="V80" i="6"/>
  <c r="T79" i="6"/>
  <c r="T78" i="6"/>
  <c r="Q76" i="6"/>
  <c r="R76" i="6" s="1"/>
  <c r="S76" i="6" s="1"/>
  <c r="Q77" i="6"/>
  <c r="R77" i="6" s="1"/>
  <c r="S77" i="6" s="1"/>
  <c r="K72" i="6" l="1"/>
  <c r="K49" i="6"/>
  <c r="K56" i="6"/>
  <c r="K48" i="6"/>
  <c r="K40" i="6"/>
  <c r="K80" i="6"/>
  <c r="E10" i="7"/>
  <c r="E12" i="7" s="1"/>
  <c r="U21" i="7"/>
  <c r="U20" i="7"/>
  <c r="U22" i="7"/>
  <c r="W20" i="7"/>
  <c r="K21" i="7"/>
  <c r="W19" i="7"/>
  <c r="W18" i="7"/>
  <c r="W21" i="7"/>
  <c r="U80" i="6"/>
  <c r="V79" i="6"/>
  <c r="U79" i="6"/>
  <c r="V78" i="6"/>
  <c r="T77" i="6"/>
  <c r="U78" i="6" s="1"/>
  <c r="T76" i="6"/>
  <c r="Q75" i="6"/>
  <c r="R75" i="6" s="1"/>
  <c r="S75" i="6" s="1"/>
  <c r="U77" i="6" l="1"/>
  <c r="V77" i="6"/>
  <c r="V76" i="6"/>
  <c r="T75" i="6"/>
  <c r="U76" i="6" s="1"/>
  <c r="V75" i="6" l="1"/>
  <c r="Q74" i="6"/>
  <c r="R74" i="6" s="1"/>
  <c r="S74" i="6" s="1"/>
  <c r="T74" i="6" s="1"/>
  <c r="U75" i="6" s="1"/>
  <c r="Q73" i="6"/>
  <c r="R73" i="6" s="1"/>
  <c r="S73" i="6" s="1"/>
  <c r="T73" i="6" l="1"/>
  <c r="U74" i="6" s="1"/>
  <c r="Q72" i="6"/>
  <c r="R72" i="6" s="1"/>
  <c r="S72" i="6" s="1"/>
  <c r="Q71" i="6"/>
  <c r="R71" i="6" s="1"/>
  <c r="S71" i="6" s="1"/>
  <c r="V74" i="6" l="1"/>
  <c r="V73" i="6"/>
  <c r="T72" i="6"/>
  <c r="U73" i="6" s="1"/>
  <c r="T71" i="6"/>
  <c r="Q70" i="6"/>
  <c r="R70" i="6" s="1"/>
  <c r="S70" i="6" s="1"/>
  <c r="Q66" i="6"/>
  <c r="Q67" i="6"/>
  <c r="R67" i="6" s="1"/>
  <c r="S67" i="6" s="1"/>
  <c r="T67" i="6" s="1"/>
  <c r="Q68" i="6"/>
  <c r="R68" i="6" s="1"/>
  <c r="S68" i="6" s="1"/>
  <c r="Q69" i="6"/>
  <c r="R69" i="6" s="1"/>
  <c r="S69" i="6" s="1"/>
  <c r="R66" i="6"/>
  <c r="S66" i="6" s="1"/>
  <c r="V72" i="6" l="1"/>
  <c r="U72" i="6"/>
  <c r="V71" i="6"/>
  <c r="T70" i="6"/>
  <c r="U71" i="6" s="1"/>
  <c r="V69" i="6"/>
  <c r="V68" i="6"/>
  <c r="T68" i="6"/>
  <c r="U68" i="6" s="1"/>
  <c r="V67" i="6"/>
  <c r="T66" i="6"/>
  <c r="V66" i="6"/>
  <c r="T69" i="6"/>
  <c r="Q63" i="6"/>
  <c r="R63" i="6" s="1"/>
  <c r="S63" i="6" s="1"/>
  <c r="Q64" i="6"/>
  <c r="R64" i="6" s="1"/>
  <c r="S64" i="6" s="1"/>
  <c r="Q65" i="6"/>
  <c r="R65" i="6" s="1"/>
  <c r="S65" i="6" s="1"/>
  <c r="U70" i="6" l="1"/>
  <c r="V70" i="6"/>
  <c r="U69" i="6"/>
  <c r="U67" i="6"/>
  <c r="V63" i="6"/>
  <c r="V64" i="6"/>
  <c r="T65" i="6"/>
  <c r="U66" i="6" s="1"/>
  <c r="T64" i="6"/>
  <c r="T63" i="6"/>
  <c r="Q62" i="6"/>
  <c r="R62" i="6" s="1"/>
  <c r="S62" i="6" s="1"/>
  <c r="U64" i="6" l="1"/>
  <c r="U65" i="6"/>
  <c r="V65" i="6"/>
  <c r="T62" i="6"/>
  <c r="U63" i="6" l="1"/>
  <c r="V62" i="6"/>
  <c r="Q61" i="6"/>
  <c r="R61" i="6" s="1"/>
  <c r="S61" i="6" s="1"/>
  <c r="T61" i="6" s="1"/>
  <c r="U62" i="6" s="1"/>
  <c r="Q60" i="6" l="1"/>
  <c r="R60" i="6" s="1"/>
  <c r="S60" i="6" s="1"/>
  <c r="Q59" i="6"/>
  <c r="R59" i="6" s="1"/>
  <c r="S59" i="6" s="1"/>
  <c r="T59" i="6" s="1"/>
  <c r="V61" i="6" l="1"/>
  <c r="T60" i="6"/>
  <c r="U61" i="6" s="1"/>
  <c r="V59" i="6"/>
  <c r="Q58" i="6"/>
  <c r="R58" i="6" s="1"/>
  <c r="S58" i="6" s="1"/>
  <c r="U60" i="6" l="1"/>
  <c r="V60" i="6"/>
  <c r="T58" i="6"/>
  <c r="U59" i="6" s="1"/>
  <c r="V58" i="6" l="1"/>
  <c r="Q57" i="6"/>
  <c r="R57" i="6" s="1"/>
  <c r="S57" i="6" s="1"/>
  <c r="T57" i="6" l="1"/>
  <c r="Q55" i="6"/>
  <c r="R55" i="6" s="1"/>
  <c r="S55" i="6" s="1"/>
  <c r="T55" i="6" s="1"/>
  <c r="Q56" i="6"/>
  <c r="R56" i="6" s="1"/>
  <c r="S56" i="6" s="1"/>
  <c r="T56" i="6" s="1"/>
  <c r="U58" i="6" l="1"/>
  <c r="U57" i="6"/>
  <c r="V57" i="6"/>
  <c r="U56" i="6"/>
  <c r="V55" i="6"/>
  <c r="Q54" i="6"/>
  <c r="R54" i="6" s="1"/>
  <c r="S54" i="6" s="1"/>
  <c r="T54" i="6" s="1"/>
  <c r="U55" i="6" s="1"/>
  <c r="V56" i="6" l="1"/>
  <c r="Q53" i="6"/>
  <c r="R53" i="6" s="1"/>
  <c r="V54" i="6" l="1"/>
  <c r="S53" i="6"/>
  <c r="T53" i="6" s="1"/>
  <c r="U54" i="6" s="1"/>
  <c r="Q52" i="6"/>
  <c r="Q51" i="6"/>
  <c r="R52" i="6" l="1"/>
  <c r="S52" i="6" s="1"/>
  <c r="T52" i="6" s="1"/>
  <c r="U53" i="6" s="1"/>
  <c r="R51" i="6"/>
  <c r="S51" i="6" s="1"/>
  <c r="V53" i="6"/>
  <c r="Q50" i="6"/>
  <c r="Q49" i="6"/>
  <c r="V51" i="6" l="1"/>
  <c r="T51" i="6"/>
  <c r="U52" i="6" s="1"/>
  <c r="R50" i="6"/>
  <c r="S50" i="6" s="1"/>
  <c r="T50" i="6" s="1"/>
  <c r="U51" i="6" s="1"/>
  <c r="R49" i="6"/>
  <c r="S49" i="6" s="1"/>
  <c r="V52" i="6"/>
  <c r="Q48" i="6"/>
  <c r="T49" i="6" l="1"/>
  <c r="U50" i="6" s="1"/>
  <c r="V49" i="6"/>
  <c r="R48" i="6"/>
  <c r="S48" i="6" s="1"/>
  <c r="T48" i="6" s="1"/>
  <c r="V50" i="6"/>
  <c r="Q47" i="6"/>
  <c r="U49" i="6" l="1"/>
  <c r="R47" i="6"/>
  <c r="S47" i="6" s="1"/>
  <c r="V48" i="6"/>
  <c r="T47" i="6" l="1"/>
  <c r="U48" i="6" s="1"/>
  <c r="V47" i="6"/>
  <c r="Q46" i="6"/>
  <c r="R46" i="6" l="1"/>
  <c r="S46" i="6" s="1"/>
  <c r="T46" i="6" s="1"/>
  <c r="U47" i="6" s="1"/>
  <c r="Q45" i="6"/>
  <c r="R45" i="6" l="1"/>
  <c r="S45" i="6" s="1"/>
  <c r="T45" i="6" s="1"/>
  <c r="V46" i="6"/>
  <c r="Q44" i="6"/>
  <c r="Q43" i="6"/>
  <c r="R44" i="6" l="1"/>
  <c r="S44" i="6" s="1"/>
  <c r="T44" i="6" s="1"/>
  <c r="U45" i="6" s="1"/>
  <c r="R43" i="6"/>
  <c r="S43" i="6" s="1"/>
  <c r="U46" i="6"/>
  <c r="V45" i="6"/>
  <c r="Q42" i="6"/>
  <c r="R42" i="6" s="1"/>
  <c r="Q41" i="6"/>
  <c r="R41" i="6" s="1"/>
  <c r="Q40" i="6"/>
  <c r="R40" i="6" s="1"/>
  <c r="T43" i="6" l="1"/>
  <c r="U44" i="6" s="1"/>
  <c r="V43" i="6"/>
  <c r="S40" i="6"/>
  <c r="T40" i="6" s="1"/>
  <c r="S41" i="6"/>
  <c r="T41" i="6" s="1"/>
  <c r="S42" i="6"/>
  <c r="T42" i="6" s="1"/>
  <c r="V44" i="6"/>
  <c r="Q39" i="6"/>
  <c r="R39" i="6" s="1"/>
  <c r="U41" i="6" l="1"/>
  <c r="U42" i="6"/>
  <c r="U43" i="6"/>
  <c r="S39" i="6"/>
  <c r="T39" i="6" s="1"/>
  <c r="U40" i="6" s="1"/>
  <c r="V41" i="6"/>
  <c r="V40" i="6"/>
  <c r="V42" i="6"/>
  <c r="Q38" i="6"/>
  <c r="R38" i="6" l="1"/>
  <c r="S38" i="6" s="1"/>
  <c r="T38" i="6" s="1"/>
  <c r="U39" i="6" s="1"/>
  <c r="V39" i="6"/>
  <c r="Q37" i="6"/>
  <c r="R37" i="6" s="1"/>
  <c r="S37" i="6" l="1"/>
  <c r="T37" i="6" s="1"/>
  <c r="U38" i="6" s="1"/>
  <c r="V38" i="6"/>
  <c r="Q36" i="6"/>
  <c r="R36" i="6" l="1"/>
  <c r="S36" i="6" s="1"/>
  <c r="T36" i="6" s="1"/>
  <c r="U37" i="6" s="1"/>
  <c r="V37" i="6"/>
  <c r="Q35" i="6"/>
  <c r="R35" i="6" l="1"/>
  <c r="S35" i="6" s="1"/>
  <c r="T35" i="6" s="1"/>
  <c r="U36" i="6" s="1"/>
  <c r="V36" i="6"/>
  <c r="Q34" i="6"/>
  <c r="R34" i="6" l="1"/>
  <c r="S34" i="6" s="1"/>
  <c r="T34" i="6" s="1"/>
  <c r="V35" i="6"/>
  <c r="Q33" i="6"/>
  <c r="R33" i="6" l="1"/>
  <c r="S33" i="6" s="1"/>
  <c r="T33" i="6" s="1"/>
  <c r="U35" i="6"/>
  <c r="U34" i="6" l="1"/>
  <c r="V34" i="6"/>
  <c r="V33" i="6"/>
  <c r="Q30" i="6"/>
  <c r="R30" i="6" s="1"/>
  <c r="Q31" i="6"/>
  <c r="R31" i="6" s="1"/>
  <c r="Q32" i="6"/>
  <c r="R32" i="6" s="1"/>
  <c r="S31" i="6" l="1"/>
  <c r="T31" i="6" s="1"/>
  <c r="S30" i="6"/>
  <c r="T30" i="6" s="1"/>
  <c r="S32" i="6"/>
  <c r="T32" i="6" s="1"/>
  <c r="Q29" i="6"/>
  <c r="R29" i="6" s="1"/>
  <c r="U31" i="6" l="1"/>
  <c r="U33" i="6"/>
  <c r="U32" i="6"/>
  <c r="V31" i="6"/>
  <c r="S29" i="6"/>
  <c r="T29" i="6" s="1"/>
  <c r="U30" i="6" s="1"/>
  <c r="V30" i="6"/>
  <c r="V32" i="6"/>
  <c r="Q28" i="6"/>
  <c r="R28" i="6" s="1"/>
  <c r="S28" i="6" l="1"/>
  <c r="T28" i="6" s="1"/>
  <c r="U29" i="6" s="1"/>
  <c r="V29" i="6"/>
  <c r="Q27" i="6"/>
  <c r="R27" i="6" s="1"/>
  <c r="S27" i="6" l="1"/>
  <c r="T27" i="6" s="1"/>
  <c r="U28" i="6" s="1"/>
  <c r="V28" i="6"/>
  <c r="Q26" i="6"/>
  <c r="R26" i="6" s="1"/>
  <c r="Q25" i="6"/>
  <c r="R25" i="6" s="1"/>
  <c r="S25" i="6" l="1"/>
  <c r="T25" i="6" s="1"/>
  <c r="S26" i="6"/>
  <c r="T26" i="6" s="1"/>
  <c r="V27" i="6"/>
  <c r="Q24" i="6"/>
  <c r="R24" i="6" s="1"/>
  <c r="U26" i="6" l="1"/>
  <c r="U27" i="6"/>
  <c r="S24" i="6"/>
  <c r="T24" i="6" s="1"/>
  <c r="U25" i="6" s="1"/>
  <c r="V25" i="6"/>
  <c r="V26" i="6"/>
  <c r="Q23" i="6"/>
  <c r="R23" i="6" s="1"/>
  <c r="S23" i="6" l="1"/>
  <c r="T23" i="6" s="1"/>
  <c r="U24" i="6" s="1"/>
  <c r="V24" i="6"/>
  <c r="Q22" i="6"/>
  <c r="R22" i="6" s="1"/>
  <c r="Q21" i="6"/>
  <c r="R21" i="6" s="1"/>
  <c r="F21" i="6"/>
  <c r="L22" i="6" s="1"/>
  <c r="Q20" i="6"/>
  <c r="R20" i="6" s="1"/>
  <c r="F20" i="6"/>
  <c r="Q19" i="6"/>
  <c r="R19" i="6" s="1"/>
  <c r="F19" i="6"/>
  <c r="Q18" i="6"/>
  <c r="R18" i="6" s="1"/>
  <c r="F18" i="6"/>
  <c r="R63" i="1"/>
  <c r="S63" i="1" s="1"/>
  <c r="Q64" i="1"/>
  <c r="Q65" i="1"/>
  <c r="R65" i="1" s="1"/>
  <c r="S65" i="1" s="1"/>
  <c r="Q66" i="1"/>
  <c r="R66" i="1" s="1"/>
  <c r="S66" i="1" s="1"/>
  <c r="R64" i="1"/>
  <c r="S64" i="1" s="1"/>
  <c r="F64" i="1"/>
  <c r="H64" i="1" s="1"/>
  <c r="I64" i="1" s="1"/>
  <c r="J64" i="1" s="1"/>
  <c r="F65" i="1"/>
  <c r="L65" i="1" s="1"/>
  <c r="F66" i="1"/>
  <c r="H66" i="1" s="1"/>
  <c r="I66" i="1" s="1"/>
  <c r="J66" i="1" s="1"/>
  <c r="F63" i="1"/>
  <c r="H63" i="1" s="1"/>
  <c r="I63" i="1" s="1"/>
  <c r="J63" i="1" s="1"/>
  <c r="V23" i="6" l="1"/>
  <c r="S19" i="6"/>
  <c r="T19" i="6" s="1"/>
  <c r="S21" i="6"/>
  <c r="T21" i="6" s="1"/>
  <c r="S18" i="6"/>
  <c r="T18" i="6" s="1"/>
  <c r="S20" i="6"/>
  <c r="T20" i="6" s="1"/>
  <c r="S22" i="6"/>
  <c r="T22" i="6" s="1"/>
  <c r="H65" i="1"/>
  <c r="I65" i="1" s="1"/>
  <c r="J65" i="1" s="1"/>
  <c r="K65" i="1" s="1"/>
  <c r="L19" i="6"/>
  <c r="L21" i="6"/>
  <c r="L20" i="6"/>
  <c r="H18" i="6"/>
  <c r="I18" i="6" s="1"/>
  <c r="H19" i="6"/>
  <c r="I19" i="6" s="1"/>
  <c r="H20" i="6"/>
  <c r="I20" i="6" s="1"/>
  <c r="H21" i="6"/>
  <c r="I21" i="6" s="1"/>
  <c r="K64" i="1"/>
  <c r="K66" i="1"/>
  <c r="L66" i="1"/>
  <c r="L64" i="1"/>
  <c r="T66" i="1"/>
  <c r="V66" i="1"/>
  <c r="T65" i="1"/>
  <c r="T64" i="1"/>
  <c r="V64" i="1"/>
  <c r="V63" i="1"/>
  <c r="T63" i="1"/>
  <c r="R62" i="1"/>
  <c r="S62" i="1" s="1"/>
  <c r="V65" i="1" l="1"/>
  <c r="E10" i="6"/>
  <c r="U19" i="6"/>
  <c r="U20" i="6"/>
  <c r="U21" i="6"/>
  <c r="U23" i="6"/>
  <c r="U22" i="6"/>
  <c r="V22" i="6"/>
  <c r="J21" i="6"/>
  <c r="K22" i="6" s="1"/>
  <c r="V21" i="6"/>
  <c r="J18" i="6"/>
  <c r="V18" i="6"/>
  <c r="J20" i="6"/>
  <c r="V20" i="6"/>
  <c r="V19" i="6"/>
  <c r="J19" i="6"/>
  <c r="H62" i="1"/>
  <c r="I62" i="1" s="1"/>
  <c r="J62" i="1" s="1"/>
  <c r="L63" i="1"/>
  <c r="U66" i="1"/>
  <c r="U65" i="1"/>
  <c r="U64" i="1"/>
  <c r="T62" i="1"/>
  <c r="U63" i="1" s="1"/>
  <c r="Q61" i="1"/>
  <c r="R61" i="1" s="1"/>
  <c r="S61" i="1" s="1"/>
  <c r="F61" i="1"/>
  <c r="L62" i="1" s="1"/>
  <c r="Q60" i="1"/>
  <c r="R60" i="1" s="1"/>
  <c r="S60" i="1" s="1"/>
  <c r="F60" i="1"/>
  <c r="H60" i="1" s="1"/>
  <c r="I60" i="1" s="1"/>
  <c r="J60" i="1" s="1"/>
  <c r="K21" i="6" l="1"/>
  <c r="K20" i="6"/>
  <c r="K19" i="6"/>
  <c r="K63" i="1"/>
  <c r="V62" i="1"/>
  <c r="H61" i="1"/>
  <c r="I61" i="1" s="1"/>
  <c r="J61" i="1" s="1"/>
  <c r="K62" i="1" s="1"/>
  <c r="T61" i="1"/>
  <c r="U62" i="1" s="1"/>
  <c r="L61" i="1"/>
  <c r="V60" i="1"/>
  <c r="T60" i="1"/>
  <c r="Q59" i="1"/>
  <c r="R59" i="1" s="1"/>
  <c r="S59" i="1" s="1"/>
  <c r="F59" i="1"/>
  <c r="U61" i="1" l="1"/>
  <c r="V61" i="1"/>
  <c r="K61" i="1"/>
  <c r="L60" i="1"/>
  <c r="H59" i="1"/>
  <c r="I59" i="1" s="1"/>
  <c r="J59" i="1" s="1"/>
  <c r="T59" i="1"/>
  <c r="U60" i="1" s="1"/>
  <c r="Q58" i="1"/>
  <c r="R58" i="1" s="1"/>
  <c r="S58" i="1" s="1"/>
  <c r="F58" i="1"/>
  <c r="Q57" i="1"/>
  <c r="R57" i="1" s="1"/>
  <c r="F57" i="1"/>
  <c r="H57" i="1" l="1"/>
  <c r="I57" i="1" s="1"/>
  <c r="J57" i="1" s="1"/>
  <c r="K60" i="1"/>
  <c r="H58" i="1"/>
  <c r="I58" i="1" s="1"/>
  <c r="J58" i="1" s="1"/>
  <c r="L58" i="1"/>
  <c r="L59" i="1"/>
  <c r="V59" i="1"/>
  <c r="S57" i="1"/>
  <c r="T57" i="1" s="1"/>
  <c r="T58" i="1"/>
  <c r="U59" i="1" s="1"/>
  <c r="Q56" i="1"/>
  <c r="F56" i="1"/>
  <c r="L57" i="1" s="1"/>
  <c r="K58" i="1" l="1"/>
  <c r="H56" i="1"/>
  <c r="I56" i="1" s="1"/>
  <c r="J56" i="1" s="1"/>
  <c r="K57" i="1" s="1"/>
  <c r="K59" i="1"/>
  <c r="V57" i="1"/>
  <c r="R56" i="1"/>
  <c r="S56" i="1" s="1"/>
  <c r="T56" i="1" s="1"/>
  <c r="U57" i="1" s="1"/>
  <c r="V58" i="1"/>
  <c r="U58" i="1"/>
  <c r="Q55" i="1"/>
  <c r="F55" i="1"/>
  <c r="H55" i="1" l="1"/>
  <c r="I55" i="1" s="1"/>
  <c r="J55" i="1" s="1"/>
  <c r="K56" i="1" s="1"/>
  <c r="L56" i="1"/>
  <c r="R55" i="1"/>
  <c r="S55" i="1" s="1"/>
  <c r="T55" i="1" s="1"/>
  <c r="U56" i="1" s="1"/>
  <c r="V56" i="1"/>
  <c r="Q54" i="1"/>
  <c r="F54" i="1"/>
  <c r="H54" i="1" l="1"/>
  <c r="I54" i="1" s="1"/>
  <c r="J54" i="1" s="1"/>
  <c r="K55" i="1" s="1"/>
  <c r="L55" i="1"/>
  <c r="R54" i="1"/>
  <c r="S54" i="1" s="1"/>
  <c r="T54" i="1" s="1"/>
  <c r="U55" i="1" s="1"/>
  <c r="V55" i="1"/>
  <c r="Q53" i="1"/>
  <c r="F53" i="1"/>
  <c r="L54" i="1" s="1"/>
  <c r="H53" i="1" l="1"/>
  <c r="I53" i="1" s="1"/>
  <c r="J53" i="1" s="1"/>
  <c r="K54" i="1" s="1"/>
  <c r="R53" i="1"/>
  <c r="S53" i="1" s="1"/>
  <c r="T53" i="1" s="1"/>
  <c r="U54" i="1" s="1"/>
  <c r="V54" i="1"/>
  <c r="Q52" i="1"/>
  <c r="F52" i="1"/>
  <c r="L53" i="1" s="1"/>
  <c r="H52" i="1" l="1"/>
  <c r="I52" i="1" s="1"/>
  <c r="J52" i="1" s="1"/>
  <c r="K53" i="1" s="1"/>
  <c r="R52" i="1"/>
  <c r="S52" i="1" s="1"/>
  <c r="T52" i="1" s="1"/>
  <c r="U53" i="1" s="1"/>
  <c r="V53" i="1"/>
  <c r="Q51" i="1"/>
  <c r="F51" i="1"/>
  <c r="L52" i="1" s="1"/>
  <c r="H51" i="1" l="1"/>
  <c r="I51" i="1" s="1"/>
  <c r="J51" i="1" s="1"/>
  <c r="R51" i="1"/>
  <c r="S51" i="1" s="1"/>
  <c r="T51" i="1" s="1"/>
  <c r="U52" i="1" s="1"/>
  <c r="V52" i="1"/>
  <c r="Q50" i="1"/>
  <c r="F50" i="1"/>
  <c r="H50" i="1" l="1"/>
  <c r="I50" i="1" s="1"/>
  <c r="J50" i="1" s="1"/>
  <c r="K52" i="1"/>
  <c r="L51" i="1"/>
  <c r="R50" i="1"/>
  <c r="S50" i="1" s="1"/>
  <c r="T50" i="1" s="1"/>
  <c r="U51" i="1" s="1"/>
  <c r="V51" i="1"/>
  <c r="Q49" i="1"/>
  <c r="F49" i="1"/>
  <c r="L50" i="1" s="1"/>
  <c r="H49" i="1" l="1"/>
  <c r="I49" i="1" s="1"/>
  <c r="J49" i="1" s="1"/>
  <c r="K51" i="1"/>
  <c r="R49" i="1"/>
  <c r="S49" i="1" s="1"/>
  <c r="T49" i="1" s="1"/>
  <c r="U50" i="1" s="1"/>
  <c r="V50" i="1"/>
  <c r="Q48" i="1"/>
  <c r="F48" i="1"/>
  <c r="L49" i="1" s="1"/>
  <c r="H48" i="1" l="1"/>
  <c r="I48" i="1" s="1"/>
  <c r="J48" i="1" s="1"/>
  <c r="K50" i="1"/>
  <c r="R48" i="1"/>
  <c r="S48" i="1" s="1"/>
  <c r="T48" i="1" s="1"/>
  <c r="U49" i="1" s="1"/>
  <c r="V49" i="1"/>
  <c r="Q47" i="1"/>
  <c r="F47" i="1"/>
  <c r="Q46" i="1"/>
  <c r="F46" i="1"/>
  <c r="L47" i="1" l="1"/>
  <c r="H47" i="1"/>
  <c r="I47" i="1" s="1"/>
  <c r="J47" i="1" s="1"/>
  <c r="L48" i="1"/>
  <c r="H46" i="1"/>
  <c r="I46" i="1" s="1"/>
  <c r="J46" i="1" s="1"/>
  <c r="K49" i="1"/>
  <c r="R46" i="1"/>
  <c r="S46" i="1" s="1"/>
  <c r="R47" i="1"/>
  <c r="S47" i="1" s="1"/>
  <c r="T47" i="1" s="1"/>
  <c r="U48" i="1" s="1"/>
  <c r="V48" i="1"/>
  <c r="Q45" i="1"/>
  <c r="F45" i="1"/>
  <c r="K47" i="1" l="1"/>
  <c r="K48" i="1"/>
  <c r="H45" i="1"/>
  <c r="I45" i="1" s="1"/>
  <c r="J45" i="1" s="1"/>
  <c r="K46" i="1" s="1"/>
  <c r="L46" i="1"/>
  <c r="V46" i="1"/>
  <c r="T46" i="1"/>
  <c r="U47" i="1" s="1"/>
  <c r="R45" i="1"/>
  <c r="S45" i="1" s="1"/>
  <c r="T45" i="1" s="1"/>
  <c r="V47" i="1"/>
  <c r="Q44" i="1"/>
  <c r="F44" i="1"/>
  <c r="H44" i="1" l="1"/>
  <c r="I44" i="1" s="1"/>
  <c r="J44" i="1" s="1"/>
  <c r="K45" i="1" s="1"/>
  <c r="L45" i="1"/>
  <c r="U46" i="1"/>
  <c r="R44" i="1"/>
  <c r="S44" i="1" s="1"/>
  <c r="T44" i="1" s="1"/>
  <c r="U45" i="1" s="1"/>
  <c r="V45" i="1"/>
  <c r="Q43" i="1"/>
  <c r="F43" i="1"/>
  <c r="H43" i="1" l="1"/>
  <c r="I43" i="1" s="1"/>
  <c r="J43" i="1" s="1"/>
  <c r="K44" i="1" s="1"/>
  <c r="L44" i="1"/>
  <c r="R43" i="1"/>
  <c r="S43" i="1" s="1"/>
  <c r="T43" i="1" s="1"/>
  <c r="U44" i="1" s="1"/>
  <c r="V44" i="1"/>
  <c r="Q42" i="1"/>
  <c r="F42" i="1"/>
  <c r="H42" i="1" l="1"/>
  <c r="I42" i="1" s="1"/>
  <c r="J42" i="1" s="1"/>
  <c r="K43" i="1" s="1"/>
  <c r="L43" i="1"/>
  <c r="R42" i="1"/>
  <c r="S42" i="1" s="1"/>
  <c r="T42" i="1" s="1"/>
  <c r="U43" i="1" s="1"/>
  <c r="V43" i="1"/>
  <c r="Q41" i="1"/>
  <c r="F41" i="1"/>
  <c r="H41" i="1" l="1"/>
  <c r="I41" i="1" s="1"/>
  <c r="J41" i="1" s="1"/>
  <c r="K42" i="1" s="1"/>
  <c r="L42" i="1"/>
  <c r="R41" i="1"/>
  <c r="S41" i="1" s="1"/>
  <c r="T41" i="1" s="1"/>
  <c r="U42" i="1" s="1"/>
  <c r="V42" i="1"/>
  <c r="Q40" i="1"/>
  <c r="F40" i="1"/>
  <c r="H40" i="1" l="1"/>
  <c r="I40" i="1" s="1"/>
  <c r="J40" i="1" s="1"/>
  <c r="K41" i="1" s="1"/>
  <c r="L41" i="1"/>
  <c r="R40" i="1"/>
  <c r="S40" i="1" s="1"/>
  <c r="T40" i="1" s="1"/>
  <c r="U41" i="1" s="1"/>
  <c r="V41" i="1"/>
  <c r="Q39" i="1"/>
  <c r="F39" i="1"/>
  <c r="H39" i="1" l="1"/>
  <c r="I39" i="1" s="1"/>
  <c r="J39" i="1" s="1"/>
  <c r="L40" i="1"/>
  <c r="R39" i="1"/>
  <c r="S39" i="1" s="1"/>
  <c r="T39" i="1" s="1"/>
  <c r="U40" i="1" s="1"/>
  <c r="V40" i="1"/>
  <c r="Q37" i="1"/>
  <c r="Q38" i="1"/>
  <c r="F38" i="1"/>
  <c r="F37" i="1"/>
  <c r="H37" i="1" l="1"/>
  <c r="I37" i="1" s="1"/>
  <c r="J37" i="1" s="1"/>
  <c r="H38" i="1"/>
  <c r="I38" i="1" s="1"/>
  <c r="J38" i="1" s="1"/>
  <c r="L38" i="1"/>
  <c r="K40" i="1"/>
  <c r="L39" i="1"/>
  <c r="R37" i="1"/>
  <c r="S37" i="1" s="1"/>
  <c r="R38" i="1"/>
  <c r="S38" i="1" s="1"/>
  <c r="T38" i="1" s="1"/>
  <c r="U39" i="1" s="1"/>
  <c r="V39" i="1"/>
  <c r="Q36" i="1"/>
  <c r="F36" i="1"/>
  <c r="K38" i="1" l="1"/>
  <c r="H36" i="1"/>
  <c r="I36" i="1" s="1"/>
  <c r="J36" i="1" s="1"/>
  <c r="K37" i="1" s="1"/>
  <c r="L37" i="1"/>
  <c r="K39" i="1"/>
  <c r="T37" i="1"/>
  <c r="V37" i="1"/>
  <c r="R36" i="1"/>
  <c r="S36" i="1" s="1"/>
  <c r="T36" i="1" s="1"/>
  <c r="V38" i="1"/>
  <c r="U38" i="1"/>
  <c r="Q35" i="1"/>
  <c r="F35" i="1"/>
  <c r="U37" i="1" l="1"/>
  <c r="H35" i="1"/>
  <c r="I35" i="1" s="1"/>
  <c r="J35" i="1" s="1"/>
  <c r="K36" i="1" s="1"/>
  <c r="L36" i="1"/>
  <c r="R35" i="1"/>
  <c r="S35" i="1" s="1"/>
  <c r="T35" i="1" s="1"/>
  <c r="U36" i="1" s="1"/>
  <c r="V36" i="1"/>
  <c r="Q34" i="1"/>
  <c r="F34" i="1"/>
  <c r="H34" i="1" l="1"/>
  <c r="I34" i="1" s="1"/>
  <c r="J34" i="1" s="1"/>
  <c r="K35" i="1" s="1"/>
  <c r="L35" i="1"/>
  <c r="R34" i="1"/>
  <c r="S34" i="1" s="1"/>
  <c r="T34" i="1" s="1"/>
  <c r="U35" i="1" s="1"/>
  <c r="V35" i="1"/>
  <c r="Q33" i="1"/>
  <c r="F33" i="1"/>
  <c r="H33" i="1" l="1"/>
  <c r="I33" i="1" s="1"/>
  <c r="J33" i="1" s="1"/>
  <c r="K34" i="1" s="1"/>
  <c r="L34" i="1"/>
  <c r="R33" i="1"/>
  <c r="S33" i="1" s="1"/>
  <c r="T33" i="1" s="1"/>
  <c r="U34" i="1" s="1"/>
  <c r="V34" i="1"/>
  <c r="Q32" i="1"/>
  <c r="F32" i="1"/>
  <c r="H32" i="1" l="1"/>
  <c r="I32" i="1" s="1"/>
  <c r="J32" i="1" s="1"/>
  <c r="K33" i="1" s="1"/>
  <c r="L33" i="1"/>
  <c r="R32" i="1"/>
  <c r="S32" i="1" s="1"/>
  <c r="T32" i="1" s="1"/>
  <c r="U33" i="1" s="1"/>
  <c r="V33" i="1"/>
  <c r="Q31" i="1"/>
  <c r="F31" i="1"/>
  <c r="L32" i="1" l="1"/>
  <c r="H31" i="1"/>
  <c r="I31" i="1" s="1"/>
  <c r="J31" i="1" s="1"/>
  <c r="K32" i="1" s="1"/>
  <c r="R31" i="1"/>
  <c r="S31" i="1" s="1"/>
  <c r="T31" i="1" s="1"/>
  <c r="U32" i="1" s="1"/>
  <c r="V32" i="1"/>
  <c r="Q30" i="1"/>
  <c r="F30" i="1"/>
  <c r="H30" i="1" l="1"/>
  <c r="I30" i="1" s="1"/>
  <c r="J30" i="1" s="1"/>
  <c r="K31" i="1" s="1"/>
  <c r="L31" i="1"/>
  <c r="R30" i="1"/>
  <c r="S30" i="1" s="1"/>
  <c r="T30" i="1" s="1"/>
  <c r="U31" i="1" s="1"/>
  <c r="V31" i="1"/>
  <c r="Q29" i="1"/>
  <c r="F29" i="1"/>
  <c r="H29" i="1" l="1"/>
  <c r="I29" i="1" s="1"/>
  <c r="J29" i="1" s="1"/>
  <c r="K30" i="1" s="1"/>
  <c r="L30" i="1"/>
  <c r="R29" i="1"/>
  <c r="S29" i="1" s="1"/>
  <c r="T29" i="1" s="1"/>
  <c r="U30" i="1" s="1"/>
  <c r="V30" i="1"/>
  <c r="Q28" i="1"/>
  <c r="F28" i="1"/>
  <c r="H28" i="1" l="1"/>
  <c r="I28" i="1" s="1"/>
  <c r="J28" i="1" s="1"/>
  <c r="K29" i="1" s="1"/>
  <c r="L29" i="1"/>
  <c r="R28" i="1"/>
  <c r="S28" i="1" s="1"/>
  <c r="T28" i="1" s="1"/>
  <c r="U29" i="1" s="1"/>
  <c r="V29" i="1"/>
  <c r="Q27" i="1"/>
  <c r="F27" i="1"/>
  <c r="H27" i="1" l="1"/>
  <c r="I27" i="1" s="1"/>
  <c r="J27" i="1" s="1"/>
  <c r="K28" i="1" s="1"/>
  <c r="L28" i="1"/>
  <c r="R27" i="1"/>
  <c r="S27" i="1" s="1"/>
  <c r="T27" i="1" s="1"/>
  <c r="U28" i="1" s="1"/>
  <c r="V28" i="1"/>
  <c r="Q26" i="1"/>
  <c r="F26" i="1"/>
  <c r="H26" i="1" l="1"/>
  <c r="I26" i="1" s="1"/>
  <c r="J26" i="1" s="1"/>
  <c r="K27" i="1" s="1"/>
  <c r="L27" i="1"/>
  <c r="R26" i="1"/>
  <c r="S26" i="1" s="1"/>
  <c r="T26" i="1" s="1"/>
  <c r="U27" i="1" s="1"/>
  <c r="V27" i="1"/>
  <c r="Q25" i="1"/>
  <c r="F25" i="1"/>
  <c r="H25" i="1" l="1"/>
  <c r="I25" i="1" s="1"/>
  <c r="J25" i="1" s="1"/>
  <c r="K26" i="1" s="1"/>
  <c r="L26" i="1"/>
  <c r="R25" i="1"/>
  <c r="S25" i="1" s="1"/>
  <c r="T25" i="1" s="1"/>
  <c r="U26" i="1" s="1"/>
  <c r="V26" i="1"/>
  <c r="Q24" i="1"/>
  <c r="F24" i="1"/>
  <c r="H24" i="1" l="1"/>
  <c r="I24" i="1" s="1"/>
  <c r="J24" i="1" s="1"/>
  <c r="K25" i="1" s="1"/>
  <c r="L25" i="1"/>
  <c r="R24" i="1"/>
  <c r="S24" i="1" s="1"/>
  <c r="T24" i="1" s="1"/>
  <c r="U25" i="1" s="1"/>
  <c r="V25" i="1"/>
  <c r="Q23" i="1"/>
  <c r="F23" i="1"/>
  <c r="H23" i="1" l="1"/>
  <c r="I23" i="1" s="1"/>
  <c r="J23" i="1" s="1"/>
  <c r="K24" i="1" s="1"/>
  <c r="L24" i="1"/>
  <c r="V24" i="1"/>
  <c r="R23" i="1"/>
  <c r="S23" i="1" s="1"/>
  <c r="T23" i="1" s="1"/>
  <c r="U24" i="1" s="1"/>
  <c r="Q22" i="1"/>
  <c r="F22" i="1"/>
  <c r="H22" i="1" l="1"/>
  <c r="I22" i="1" s="1"/>
  <c r="J22" i="1" s="1"/>
  <c r="K23" i="1" s="1"/>
  <c r="L23" i="1"/>
  <c r="R22" i="1"/>
  <c r="S22" i="1" s="1"/>
  <c r="T22" i="1" s="1"/>
  <c r="U23" i="1" s="1"/>
  <c r="V23" i="1"/>
  <c r="Q18" i="1"/>
  <c r="F18" i="1"/>
  <c r="H18" i="1" s="1"/>
  <c r="I18" i="1" s="1"/>
  <c r="Q21" i="1"/>
  <c r="Q20" i="1"/>
  <c r="Q19" i="1"/>
  <c r="F19" i="1"/>
  <c r="F20" i="1"/>
  <c r="F21" i="1"/>
  <c r="L22" i="1" s="1"/>
  <c r="E11" i="6" l="1"/>
  <c r="E12" i="6" s="1"/>
  <c r="E11" i="1"/>
  <c r="J18" i="1"/>
  <c r="H20" i="1"/>
  <c r="I20" i="1" s="1"/>
  <c r="J20" i="1" s="1"/>
  <c r="L20" i="1"/>
  <c r="H19" i="1"/>
  <c r="I19" i="1" s="1"/>
  <c r="J19" i="1" s="1"/>
  <c r="L19" i="1"/>
  <c r="H21" i="1"/>
  <c r="I21" i="1" s="1"/>
  <c r="J21" i="1" s="1"/>
  <c r="K21" i="1" s="1"/>
  <c r="L21" i="1"/>
  <c r="R18" i="1"/>
  <c r="S18" i="1" s="1"/>
  <c r="T18" i="1" s="1"/>
  <c r="R20" i="1"/>
  <c r="S20" i="1" s="1"/>
  <c r="T20" i="1" s="1"/>
  <c r="R19" i="1"/>
  <c r="S19" i="1" s="1"/>
  <c r="T19" i="1" s="1"/>
  <c r="R21" i="1"/>
  <c r="S21" i="1" s="1"/>
  <c r="T21" i="1" s="1"/>
  <c r="V22" i="1"/>
  <c r="E10" i="1" l="1"/>
  <c r="E12" i="1" s="1"/>
  <c r="K19" i="1"/>
  <c r="K22" i="1"/>
  <c r="K20" i="1"/>
  <c r="U20" i="1"/>
  <c r="U19" i="1"/>
  <c r="V19" i="1"/>
  <c r="U21" i="1"/>
  <c r="U22" i="1"/>
  <c r="V21" i="1"/>
  <c r="V20" i="1"/>
  <c r="V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teg_simulation.xlsx!electricity_cost" type="102" refreshedVersion="6" minRefreshableVersion="5">
    <extLst>
      <ext xmlns:x15="http://schemas.microsoft.com/office/spreadsheetml/2010/11/main" uri="{DE250136-89BD-433C-8126-D09CA5730AF9}">
        <x15:connection id="electricity_cost" autoDelete="1">
          <x15:rangePr sourceName="_xlcn.WorksheetConnection_steg_simulation.xlsxelectricity_cos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<sst xmlns="http://schemas.openxmlformats.org/spreadsheetml/2006/main" count="820" uniqueCount="78">
  <si>
    <t xml:space="preserve">VAT rate = </t>
  </si>
  <si>
    <t>Prices Electricity</t>
  </si>
  <si>
    <t>From (KWh)</t>
  </si>
  <si>
    <t>To (KWh)</t>
  </si>
  <si>
    <t>Original index 
(KWh)</t>
  </si>
  <si>
    <t xml:space="preserve"> Index (KWh)</t>
  </si>
  <si>
    <t>Unit Price
 (millimes)</t>
  </si>
  <si>
    <t>Range level</t>
  </si>
  <si>
    <t>Original index 
(m3)</t>
  </si>
  <si>
    <t xml:space="preserve"> Index (m3)</t>
  </si>
  <si>
    <t>From (m3)</t>
  </si>
  <si>
    <t>To (m3)</t>
  </si>
  <si>
    <t xml:space="preserve">Fixed TV charges (TND) = </t>
  </si>
  <si>
    <t>Average energy consumption (KWh) 
trend per day</t>
  </si>
  <si>
    <t xml:space="preserve">Redevances fixes - Electricity (TND) = </t>
  </si>
  <si>
    <t xml:space="preserve">Redevances fixes - Gas (TND) = </t>
  </si>
  <si>
    <t>Elect. Net cost to date
(TND)</t>
  </si>
  <si>
    <t>Gas Net cost to date
(TND)</t>
  </si>
  <si>
    <t>Date of previous 
reading (Elect)</t>
  </si>
  <si>
    <t>Date of next 
reading (Elect)</t>
  </si>
  <si>
    <t>Level (Elect)</t>
  </si>
  <si>
    <t xml:space="preserve">Elect. Cost  VAT included
(TND)
</t>
  </si>
  <si>
    <t>Elect. Average cost (TND)
trend per day</t>
  </si>
  <si>
    <t>Date of next 
reading (Gas)</t>
  </si>
  <si>
    <t>Date of previous 
reading (Gas)</t>
  </si>
  <si>
    <t>Consumption (m3)</t>
  </si>
  <si>
    <t>Level (Gas)</t>
  </si>
  <si>
    <t xml:space="preserve">Gas Cost to date  VAT included
(TND)
</t>
  </si>
  <si>
    <t>X</t>
  </si>
  <si>
    <t>Y</t>
  </si>
  <si>
    <t>Date of reading 
(Elect)</t>
  </si>
  <si>
    <t>Gas Average cost 
 trend per day (TND)</t>
  </si>
  <si>
    <t xml:space="preserve">Net Sub Total to date - Electricity (TND) = </t>
  </si>
  <si>
    <t xml:space="preserve">Net Sub Total to date - Gas (TND) =  </t>
  </si>
  <si>
    <t>Consumption to date (KWh)</t>
  </si>
  <si>
    <t>Cons</t>
  </si>
  <si>
    <r>
      <t xml:space="preserve">Target electricity consumption (KWh) </t>
    </r>
    <r>
      <rPr>
        <b/>
        <sz val="11"/>
        <color rgb="FFFF0000"/>
        <rFont val="Calibri"/>
        <family val="2"/>
        <scheme val="minor"/>
      </rPr>
      <t>by Sept. 5th</t>
    </r>
  </si>
  <si>
    <r>
      <t xml:space="preserve">Target Total to pay (TND) </t>
    </r>
    <r>
      <rPr>
        <b/>
        <sz val="11"/>
        <color rgb="FFFF0000"/>
        <rFont val="Calibri"/>
        <family val="2"/>
        <scheme val="minor"/>
      </rPr>
      <t>by Sept. 5th</t>
    </r>
  </si>
  <si>
    <t>Bill goal for Sept. 5th</t>
  </si>
  <si>
    <t>Within target =</t>
  </si>
  <si>
    <t>Max over target =</t>
  </si>
  <si>
    <t>Actual bill
Check Sept. 5th</t>
  </si>
  <si>
    <t xml:space="preserve">Total predicted to pay to date - Gas + Electricity (TND) = </t>
  </si>
  <si>
    <r>
      <rPr>
        <b/>
        <sz val="12"/>
        <color theme="1"/>
        <rFont val="Calibri"/>
        <family val="2"/>
        <scheme val="minor"/>
      </rPr>
      <t>Total Actual to pay (Real bill) (TND)</t>
    </r>
    <r>
      <rPr>
        <sz val="12"/>
        <color theme="1"/>
        <rFont val="Calibri"/>
        <family val="2"/>
        <scheme val="minor"/>
      </rPr>
      <t xml:space="preserve"> = </t>
    </r>
  </si>
  <si>
    <t>Actual bill
Check Jan. 10th</t>
  </si>
  <si>
    <t>Total to pay to date
(TND)
- Predicted -</t>
  </si>
  <si>
    <t>Prices Gas</t>
  </si>
  <si>
    <r>
      <t xml:space="preserve">Target gas consumption (m3) </t>
    </r>
    <r>
      <rPr>
        <b/>
        <sz val="11"/>
        <color rgb="FFFF0000"/>
        <rFont val="Calibri"/>
        <family val="2"/>
        <scheme val="minor"/>
      </rPr>
      <t>by May 3rd</t>
    </r>
  </si>
  <si>
    <r>
      <t xml:space="preserve">Target electricity consumption (KWh) </t>
    </r>
    <r>
      <rPr>
        <b/>
        <sz val="11"/>
        <color rgb="FFFF0000"/>
        <rFont val="Calibri"/>
        <family val="2"/>
        <scheme val="minor"/>
      </rPr>
      <t>by May 3rd</t>
    </r>
  </si>
  <si>
    <r>
      <t xml:space="preserve">Target Total to pay (TND) </t>
    </r>
    <r>
      <rPr>
        <b/>
        <sz val="11"/>
        <color rgb="FFFF0000"/>
        <rFont val="Calibri"/>
        <family val="2"/>
        <scheme val="minor"/>
      </rPr>
      <t>by May 3rd</t>
    </r>
  </si>
  <si>
    <t>Y(Max Gas Consumption)</t>
  </si>
  <si>
    <t>Y(Max Elect Cons.)</t>
  </si>
  <si>
    <t>Average Gas consumption (m3) 
trend per day</t>
  </si>
  <si>
    <t>Date of reading 
(Elect + Gas)</t>
  </si>
  <si>
    <t>Actual =</t>
  </si>
  <si>
    <t>???</t>
  </si>
  <si>
    <r>
      <t xml:space="preserve">Target Total to pay (TND) </t>
    </r>
    <r>
      <rPr>
        <b/>
        <sz val="11"/>
        <color rgb="FFFF0000"/>
        <rFont val="Calibri"/>
        <family val="2"/>
        <scheme val="minor"/>
      </rPr>
      <t>by Sept. 3rd</t>
    </r>
  </si>
  <si>
    <r>
      <t xml:space="preserve">Target gas consumption (m3) </t>
    </r>
    <r>
      <rPr>
        <b/>
        <sz val="11"/>
        <color rgb="FFFF0000"/>
        <rFont val="Calibri"/>
        <family val="2"/>
        <scheme val="minor"/>
      </rPr>
      <t>by Sep. 3rd</t>
    </r>
  </si>
  <si>
    <r>
      <t xml:space="preserve">Target electricity consumption (KWh) </t>
    </r>
    <r>
      <rPr>
        <b/>
        <sz val="11"/>
        <color rgb="FFFF0000"/>
        <rFont val="Calibri"/>
        <family val="2"/>
        <scheme val="minor"/>
      </rPr>
      <t>by Sep 3rd</t>
    </r>
  </si>
  <si>
    <t>Actual bill
Check Sep. 3rd</t>
  </si>
  <si>
    <t>Actual bill
Check May. 3rd</t>
  </si>
  <si>
    <t>Bill goal for Jan. 10th '19</t>
  </si>
  <si>
    <r>
      <t xml:space="preserve">Target electricity consumption (KWh) </t>
    </r>
    <r>
      <rPr>
        <b/>
        <sz val="11"/>
        <color rgb="FFFF0000"/>
        <rFont val="Calibri"/>
        <family val="2"/>
        <scheme val="minor"/>
      </rPr>
      <t>by Jan 10th</t>
    </r>
  </si>
  <si>
    <r>
      <t xml:space="preserve">Target gas consumption (m3) </t>
    </r>
    <r>
      <rPr>
        <b/>
        <sz val="11"/>
        <color rgb="FFFF0000"/>
        <rFont val="Calibri"/>
        <family val="2"/>
        <scheme val="minor"/>
      </rPr>
      <t>by Jan 10th</t>
    </r>
  </si>
  <si>
    <r>
      <t xml:space="preserve">Target Total to pay (TND) </t>
    </r>
    <r>
      <rPr>
        <b/>
        <sz val="11"/>
        <color rgb="FFFF0000"/>
        <rFont val="Calibri"/>
        <family val="2"/>
        <scheme val="minor"/>
      </rPr>
      <t>by Jan 10th</t>
    </r>
  </si>
  <si>
    <t>* --&gt; Previously 375 millimes</t>
  </si>
  <si>
    <t xml:space="preserve">  &lt;-- To double check</t>
  </si>
  <si>
    <t>Actual bill
Check Jan. 11th</t>
  </si>
  <si>
    <r>
      <t xml:space="preserve">Target electricity consumption (KWh) </t>
    </r>
    <r>
      <rPr>
        <b/>
        <sz val="11"/>
        <color rgb="FFFF0000"/>
        <rFont val="Calibri"/>
        <family val="2"/>
        <scheme val="minor"/>
      </rPr>
      <t>by Sept 12th</t>
    </r>
  </si>
  <si>
    <r>
      <t xml:space="preserve">Target gas consumption (m3) </t>
    </r>
    <r>
      <rPr>
        <b/>
        <sz val="11"/>
        <color rgb="FFFF0000"/>
        <rFont val="Calibri"/>
        <family val="2"/>
        <scheme val="minor"/>
      </rPr>
      <t>by Sept 12th</t>
    </r>
  </si>
  <si>
    <r>
      <t xml:space="preserve">Target Total to pay (TND) </t>
    </r>
    <r>
      <rPr>
        <b/>
        <sz val="11"/>
        <color rgb="FFFF0000"/>
        <rFont val="Calibri"/>
        <family val="2"/>
        <scheme val="minor"/>
      </rPr>
      <t>by Sept 12th</t>
    </r>
  </si>
  <si>
    <t>*--&gt; Previously 309</t>
  </si>
  <si>
    <t>Actual bill
Check Sep. 12th</t>
  </si>
  <si>
    <r>
      <t xml:space="preserve">Target gas consumption (m3) </t>
    </r>
    <r>
      <rPr>
        <b/>
        <sz val="11"/>
        <color rgb="FFFF0000"/>
        <rFont val="Calibri"/>
        <family val="2"/>
        <scheme val="minor"/>
      </rPr>
      <t>by May 5th</t>
    </r>
  </si>
  <si>
    <r>
      <t xml:space="preserve">Target Total to pay (TND) </t>
    </r>
    <r>
      <rPr>
        <b/>
        <sz val="11"/>
        <color rgb="FFFF0000"/>
        <rFont val="Calibri"/>
        <family val="2"/>
        <scheme val="minor"/>
      </rPr>
      <t>by May 5th</t>
    </r>
  </si>
  <si>
    <r>
      <t xml:space="preserve">Target electricity consumption (KWh) </t>
    </r>
    <r>
      <rPr>
        <b/>
        <sz val="11"/>
        <color rgb="FFFF0000"/>
        <rFont val="Calibri"/>
        <family val="2"/>
        <scheme val="minor"/>
      </rPr>
      <t>by May 5th</t>
    </r>
  </si>
  <si>
    <t>Bill goal for Jan. 13th 2021</t>
  </si>
  <si>
    <t>Correction due to the fact that previous bill is an estimation one (i.e. Adding 120 TND)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</si>
</sst>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Verdana"/>
      <family val="2"/>
    </font>
    <font>
      <b/>
      <sz val="12"/>
      <color rgb="FF006BC6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2"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horizontal="right" vertical="center"/>
    </xf>
    <xf numFmtId="16" fontId="0" fillId="0" borderId="0" xfId="0" applyNumberFormat="1" applyAlignment="1">
      <alignment horizontal="right" vertical="center"/>
    </xf>
    <xf numFmtId="0" fontId="0" fillId="3" borderId="0" xfId="0" applyFill="1"/>
    <xf numFmtId="2" fontId="0" fillId="0" borderId="0" xfId="0" applyNumberFormat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4" borderId="0" xfId="0" applyFont="1" applyFill="1"/>
    <xf numFmtId="2" fontId="4" fillId="3" borderId="0" xfId="0" applyNumberFormat="1" applyFont="1" applyFill="1"/>
    <xf numFmtId="14" fontId="0" fillId="0" borderId="0" xfId="0" applyNumberFormat="1"/>
    <xf numFmtId="2" fontId="1" fillId="0" borderId="0" xfId="1" applyNumberFormat="1" applyFill="1"/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6" fillId="5" borderId="4" xfId="0" applyFont="1" applyFill="1" applyBorder="1" applyAlignment="1">
      <alignment horizontal="right"/>
    </xf>
    <xf numFmtId="0" fontId="0" fillId="0" borderId="5" xfId="0" applyBorder="1"/>
    <xf numFmtId="0" fontId="7" fillId="0" borderId="6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5" fillId="0" borderId="9" xfId="0" applyFont="1" applyBorder="1" applyAlignment="1">
      <alignment horizontal="right"/>
    </xf>
    <xf numFmtId="0" fontId="0" fillId="0" borderId="10" xfId="0" applyBorder="1"/>
    <xf numFmtId="2" fontId="0" fillId="4" borderId="0" xfId="0" applyNumberFormat="1" applyFont="1" applyFill="1" applyBorder="1"/>
    <xf numFmtId="0" fontId="9" fillId="0" borderId="0" xfId="0" applyFont="1" applyAlignment="1">
      <alignment wrapText="1"/>
    </xf>
    <xf numFmtId="0" fontId="8" fillId="6" borderId="0" xfId="0" applyFont="1" applyFill="1"/>
    <xf numFmtId="0" fontId="8" fillId="4" borderId="0" xfId="0" applyFont="1" applyFill="1"/>
    <xf numFmtId="2" fontId="8" fillId="4" borderId="0" xfId="0" applyNumberFormat="1" applyFont="1" applyFill="1" applyBorder="1"/>
    <xf numFmtId="0" fontId="9" fillId="0" borderId="0" xfId="0" applyFont="1"/>
    <xf numFmtId="2" fontId="1" fillId="2" borderId="0" xfId="1" applyNumberFormat="1"/>
    <xf numFmtId="0" fontId="1" fillId="2" borderId="0" xfId="1" applyAlignment="1">
      <alignment horizontal="center" vertical="center" wrapText="1"/>
    </xf>
    <xf numFmtId="2" fontId="5" fillId="8" borderId="0" xfId="0" applyNumberFormat="1" applyFont="1" applyFill="1"/>
    <xf numFmtId="16" fontId="0" fillId="3" borderId="0" xfId="0" applyNumberFormat="1" applyFill="1"/>
    <xf numFmtId="0" fontId="0" fillId="3" borderId="0" xfId="0" applyNumberFormat="1" applyFill="1"/>
    <xf numFmtId="0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right" vertical="center" wrapText="1"/>
    </xf>
    <xf numFmtId="2" fontId="0" fillId="3" borderId="0" xfId="0" applyNumberFormat="1" applyFill="1"/>
    <xf numFmtId="0" fontId="0" fillId="3" borderId="0" xfId="0" applyFill="1" applyAlignment="1">
      <alignment horizontal="right" vertical="center"/>
    </xf>
    <xf numFmtId="2" fontId="1" fillId="3" borderId="0" xfId="1" applyNumberFormat="1" applyFill="1"/>
    <xf numFmtId="0" fontId="2" fillId="4" borderId="1" xfId="1" applyFont="1" applyFill="1" applyBorder="1" applyAlignment="1">
      <alignment horizontal="center" vertical="center" wrapText="1"/>
    </xf>
    <xf numFmtId="16" fontId="0" fillId="0" borderId="11" xfId="0" applyNumberFormat="1" applyFont="1" applyBorder="1"/>
    <xf numFmtId="16" fontId="0" fillId="9" borderId="11" xfId="0" applyNumberFormat="1" applyFont="1" applyFill="1" applyBorder="1"/>
    <xf numFmtId="0" fontId="8" fillId="6" borderId="0" xfId="0" applyFont="1" applyFill="1" applyAlignment="1">
      <alignment horizontal="right" wrapText="1"/>
    </xf>
    <xf numFmtId="0" fontId="8" fillId="4" borderId="0" xfId="0" applyFont="1" applyFill="1" applyAlignment="1">
      <alignment horizontal="right"/>
    </xf>
    <xf numFmtId="0" fontId="0" fillId="0" borderId="0" xfId="0" applyFill="1"/>
    <xf numFmtId="16" fontId="0" fillId="0" borderId="11" xfId="0" applyNumberFormat="1" applyFont="1" applyFill="1" applyBorder="1"/>
    <xf numFmtId="16" fontId="0" fillId="0" borderId="0" xfId="0" applyNumberFormat="1" applyFont="1" applyFill="1" applyBorder="1"/>
    <xf numFmtId="16" fontId="0" fillId="3" borderId="11" xfId="0" applyNumberFormat="1" applyFont="1" applyFill="1" applyBorder="1"/>
    <xf numFmtId="2" fontId="1" fillId="3" borderId="0" xfId="1" applyNumberFormat="1" applyFill="1" applyAlignment="1">
      <alignment horizontal="right"/>
    </xf>
    <xf numFmtId="16" fontId="0" fillId="0" borderId="0" xfId="0" applyNumberFormat="1" applyBorder="1"/>
    <xf numFmtId="16" fontId="0" fillId="0" borderId="12" xfId="0" applyNumberFormat="1" applyFont="1" applyFill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2" fontId="0" fillId="3" borderId="0" xfId="0" applyNumberFormat="1" applyFill="1" applyBorder="1"/>
    <xf numFmtId="0" fontId="9" fillId="8" borderId="0" xfId="0" applyFont="1" applyFill="1"/>
    <xf numFmtId="2" fontId="0" fillId="0" borderId="0" xfId="0" applyNumberFormat="1" applyBorder="1" applyAlignment="1">
      <alignment horizontal="right" vertical="center" wrapText="1"/>
    </xf>
    <xf numFmtId="2" fontId="0" fillId="0" borderId="0" xfId="0" applyNumberFormat="1" applyAlignment="1">
      <alignment wrapText="1"/>
    </xf>
    <xf numFmtId="0" fontId="11" fillId="7" borderId="0" xfId="0" applyFont="1" applyFill="1" applyAlignment="1">
      <alignment horizontal="center"/>
    </xf>
    <xf numFmtId="0" fontId="12" fillId="0" borderId="3" xfId="0" applyFont="1" applyBorder="1" applyAlignment="1">
      <alignment horizontal="right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Bad" xfId="1" builtinId="27"/>
    <cellStyle name="Normal" xfId="0" builtinId="0"/>
  </cellStyles>
  <dxfs count="261"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1" formatCode="d\-mmm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Sept. 2017'!$V$17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Sept. 2017'!$G$18:$G$66</c:f>
              <c:numCache>
                <c:formatCode>d\-mmm</c:formatCode>
                <c:ptCount val="49"/>
                <c:pt idx="0">
                  <c:v>42859</c:v>
                </c:pt>
                <c:pt idx="1">
                  <c:v>42903</c:v>
                </c:pt>
                <c:pt idx="2">
                  <c:v>42905</c:v>
                </c:pt>
                <c:pt idx="3">
                  <c:v>42909</c:v>
                </c:pt>
                <c:pt idx="4">
                  <c:v>42910</c:v>
                </c:pt>
                <c:pt idx="5">
                  <c:v>42913</c:v>
                </c:pt>
                <c:pt idx="6">
                  <c:v>42914</c:v>
                </c:pt>
                <c:pt idx="7">
                  <c:v>42915</c:v>
                </c:pt>
                <c:pt idx="8">
                  <c:v>42916</c:v>
                </c:pt>
                <c:pt idx="9">
                  <c:v>42917</c:v>
                </c:pt>
                <c:pt idx="10">
                  <c:v>42918</c:v>
                </c:pt>
                <c:pt idx="11">
                  <c:v>42920</c:v>
                </c:pt>
                <c:pt idx="12">
                  <c:v>42922</c:v>
                </c:pt>
                <c:pt idx="13">
                  <c:v>42923</c:v>
                </c:pt>
                <c:pt idx="14">
                  <c:v>42924</c:v>
                </c:pt>
                <c:pt idx="15">
                  <c:v>42927</c:v>
                </c:pt>
                <c:pt idx="16">
                  <c:v>42929</c:v>
                </c:pt>
                <c:pt idx="17">
                  <c:v>42931</c:v>
                </c:pt>
                <c:pt idx="18">
                  <c:v>42932</c:v>
                </c:pt>
                <c:pt idx="19">
                  <c:v>42933</c:v>
                </c:pt>
                <c:pt idx="20">
                  <c:v>42934</c:v>
                </c:pt>
                <c:pt idx="21">
                  <c:v>42937</c:v>
                </c:pt>
                <c:pt idx="22">
                  <c:v>42938</c:v>
                </c:pt>
                <c:pt idx="23">
                  <c:v>42939</c:v>
                </c:pt>
                <c:pt idx="24">
                  <c:v>42940</c:v>
                </c:pt>
                <c:pt idx="25">
                  <c:v>42942</c:v>
                </c:pt>
                <c:pt idx="26">
                  <c:v>42943</c:v>
                </c:pt>
                <c:pt idx="27">
                  <c:v>42944</c:v>
                </c:pt>
                <c:pt idx="28">
                  <c:v>42945</c:v>
                </c:pt>
                <c:pt idx="29">
                  <c:v>42947</c:v>
                </c:pt>
                <c:pt idx="30">
                  <c:v>42948</c:v>
                </c:pt>
                <c:pt idx="31">
                  <c:v>42951</c:v>
                </c:pt>
                <c:pt idx="32">
                  <c:v>42952</c:v>
                </c:pt>
                <c:pt idx="33">
                  <c:v>42954</c:v>
                </c:pt>
                <c:pt idx="34">
                  <c:v>42961</c:v>
                </c:pt>
                <c:pt idx="35">
                  <c:v>42962</c:v>
                </c:pt>
                <c:pt idx="36">
                  <c:v>42968</c:v>
                </c:pt>
                <c:pt idx="37">
                  <c:v>42969</c:v>
                </c:pt>
                <c:pt idx="38">
                  <c:v>42973</c:v>
                </c:pt>
                <c:pt idx="39">
                  <c:v>42974</c:v>
                </c:pt>
                <c:pt idx="40">
                  <c:v>42975</c:v>
                </c:pt>
                <c:pt idx="41">
                  <c:v>42978</c:v>
                </c:pt>
                <c:pt idx="42">
                  <c:v>42981</c:v>
                </c:pt>
                <c:pt idx="43">
                  <c:v>42982</c:v>
                </c:pt>
                <c:pt idx="44">
                  <c:v>42983</c:v>
                </c:pt>
                <c:pt idx="45">
                  <c:v>42985</c:v>
                </c:pt>
                <c:pt idx="46">
                  <c:v>42990</c:v>
                </c:pt>
                <c:pt idx="47">
                  <c:v>42993</c:v>
                </c:pt>
                <c:pt idx="48">
                  <c:v>42994</c:v>
                </c:pt>
              </c:numCache>
            </c:numRef>
          </c:cat>
          <c:val>
            <c:numRef>
              <c:f>'STEG - Sept. 2017'!$V$18:$V$66</c:f>
              <c:numCache>
                <c:formatCode>0.00</c:formatCode>
                <c:ptCount val="49"/>
                <c:pt idx="0">
                  <c:v>26.756</c:v>
                </c:pt>
                <c:pt idx="1">
                  <c:v>101.29187999999999</c:v>
                </c:pt>
                <c:pt idx="2">
                  <c:v>111.30536000000001</c:v>
                </c:pt>
                <c:pt idx="3">
                  <c:v>128.49323999999999</c:v>
                </c:pt>
                <c:pt idx="4">
                  <c:v>133.22976</c:v>
                </c:pt>
                <c:pt idx="5">
                  <c:v>139.18403999999998</c:v>
                </c:pt>
                <c:pt idx="6">
                  <c:v>143.88880619999995</c:v>
                </c:pt>
                <c:pt idx="7">
                  <c:v>150.66768200000007</c:v>
                </c:pt>
                <c:pt idx="8">
                  <c:v>155.42319999999998</c:v>
                </c:pt>
                <c:pt idx="9">
                  <c:v>158.94195999999999</c:v>
                </c:pt>
                <c:pt idx="10">
                  <c:v>159.7136800000001</c:v>
                </c:pt>
                <c:pt idx="11">
                  <c:v>162.59217199999989</c:v>
                </c:pt>
                <c:pt idx="12">
                  <c:v>166.31932</c:v>
                </c:pt>
                <c:pt idx="13">
                  <c:v>169.09468000000001</c:v>
                </c:pt>
                <c:pt idx="14">
                  <c:v>170.44814</c:v>
                </c:pt>
                <c:pt idx="15">
                  <c:v>178.56771999999998</c:v>
                </c:pt>
                <c:pt idx="16">
                  <c:v>192.64039999999997</c:v>
                </c:pt>
                <c:pt idx="17">
                  <c:v>204.14303999999998</c:v>
                </c:pt>
                <c:pt idx="18">
                  <c:v>205.90360000000001</c:v>
                </c:pt>
                <c:pt idx="19">
                  <c:v>207.18979999999999</c:v>
                </c:pt>
                <c:pt idx="20">
                  <c:v>209.89671999999996</c:v>
                </c:pt>
                <c:pt idx="21">
                  <c:v>217.95730000000003</c:v>
                </c:pt>
                <c:pt idx="22">
                  <c:v>221.8218</c:v>
                </c:pt>
                <c:pt idx="23">
                  <c:v>231.91905999999989</c:v>
                </c:pt>
                <c:pt idx="24">
                  <c:v>234.3416</c:v>
                </c:pt>
                <c:pt idx="25">
                  <c:v>239.16425999999998</c:v>
                </c:pt>
                <c:pt idx="26">
                  <c:v>240.90475999999998</c:v>
                </c:pt>
                <c:pt idx="27">
                  <c:v>242.55912000000004</c:v>
                </c:pt>
                <c:pt idx="28">
                  <c:v>245.28019999999998</c:v>
                </c:pt>
                <c:pt idx="29">
                  <c:v>248.66561999999999</c:v>
                </c:pt>
                <c:pt idx="30">
                  <c:v>250.37425999999999</c:v>
                </c:pt>
                <c:pt idx="31">
                  <c:v>259.81189999999998</c:v>
                </c:pt>
                <c:pt idx="32">
                  <c:v>263.19731999999999</c:v>
                </c:pt>
                <c:pt idx="33">
                  <c:v>268.77045999999996</c:v>
                </c:pt>
                <c:pt idx="34">
                  <c:v>278.11251999999996</c:v>
                </c:pt>
                <c:pt idx="35">
                  <c:v>280.33209999999997</c:v>
                </c:pt>
                <c:pt idx="36">
                  <c:v>287.85341999999997</c:v>
                </c:pt>
                <c:pt idx="37">
                  <c:v>288.84343999999993</c:v>
                </c:pt>
                <c:pt idx="38">
                  <c:v>296.39661999999998</c:v>
                </c:pt>
                <c:pt idx="39">
                  <c:v>297.35477999999995</c:v>
                </c:pt>
                <c:pt idx="40">
                  <c:v>307.90161999999998</c:v>
                </c:pt>
                <c:pt idx="41">
                  <c:v>316.11441999999994</c:v>
                </c:pt>
                <c:pt idx="42">
                  <c:v>318.13339999999999</c:v>
                </c:pt>
                <c:pt idx="43">
                  <c:v>319.43375999999995</c:v>
                </c:pt>
                <c:pt idx="44">
                  <c:v>320.39191999999997</c:v>
                </c:pt>
                <c:pt idx="45">
                  <c:v>324.29299999999995</c:v>
                </c:pt>
                <c:pt idx="46">
                  <c:v>334.31945999999994</c:v>
                </c:pt>
                <c:pt idx="47">
                  <c:v>340.47906</c:v>
                </c:pt>
                <c:pt idx="48">
                  <c:v>342.19005999999996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4A-4056-A1A1-E5E3FE3F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Sept. 2017'!$V$17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8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'STEG - Sept. 2017'!$G$18:$G$66</c:f>
              <c:numCache>
                <c:formatCode>d\-mmm</c:formatCode>
                <c:ptCount val="49"/>
                <c:pt idx="0">
                  <c:v>42859</c:v>
                </c:pt>
                <c:pt idx="1">
                  <c:v>42903</c:v>
                </c:pt>
                <c:pt idx="2">
                  <c:v>42905</c:v>
                </c:pt>
                <c:pt idx="3">
                  <c:v>42909</c:v>
                </c:pt>
                <c:pt idx="4">
                  <c:v>42910</c:v>
                </c:pt>
                <c:pt idx="5">
                  <c:v>42913</c:v>
                </c:pt>
                <c:pt idx="6">
                  <c:v>42914</c:v>
                </c:pt>
                <c:pt idx="7">
                  <c:v>42915</c:v>
                </c:pt>
                <c:pt idx="8">
                  <c:v>42916</c:v>
                </c:pt>
                <c:pt idx="9">
                  <c:v>42917</c:v>
                </c:pt>
                <c:pt idx="10">
                  <c:v>42918</c:v>
                </c:pt>
                <c:pt idx="11">
                  <c:v>42920</c:v>
                </c:pt>
                <c:pt idx="12">
                  <c:v>42922</c:v>
                </c:pt>
                <c:pt idx="13">
                  <c:v>42923</c:v>
                </c:pt>
                <c:pt idx="14">
                  <c:v>42924</c:v>
                </c:pt>
                <c:pt idx="15">
                  <c:v>42927</c:v>
                </c:pt>
                <c:pt idx="16">
                  <c:v>42929</c:v>
                </c:pt>
                <c:pt idx="17">
                  <c:v>42931</c:v>
                </c:pt>
                <c:pt idx="18">
                  <c:v>42932</c:v>
                </c:pt>
                <c:pt idx="19">
                  <c:v>42933</c:v>
                </c:pt>
                <c:pt idx="20">
                  <c:v>42934</c:v>
                </c:pt>
                <c:pt idx="21">
                  <c:v>42937</c:v>
                </c:pt>
                <c:pt idx="22">
                  <c:v>42938</c:v>
                </c:pt>
                <c:pt idx="23">
                  <c:v>42939</c:v>
                </c:pt>
                <c:pt idx="24">
                  <c:v>42940</c:v>
                </c:pt>
                <c:pt idx="25">
                  <c:v>42942</c:v>
                </c:pt>
                <c:pt idx="26">
                  <c:v>42943</c:v>
                </c:pt>
                <c:pt idx="27">
                  <c:v>42944</c:v>
                </c:pt>
                <c:pt idx="28">
                  <c:v>42945</c:v>
                </c:pt>
                <c:pt idx="29">
                  <c:v>42947</c:v>
                </c:pt>
                <c:pt idx="30">
                  <c:v>42948</c:v>
                </c:pt>
                <c:pt idx="31">
                  <c:v>42951</c:v>
                </c:pt>
                <c:pt idx="32">
                  <c:v>42952</c:v>
                </c:pt>
                <c:pt idx="33">
                  <c:v>42954</c:v>
                </c:pt>
                <c:pt idx="34">
                  <c:v>42961</c:v>
                </c:pt>
                <c:pt idx="35">
                  <c:v>42962</c:v>
                </c:pt>
                <c:pt idx="36">
                  <c:v>42968</c:v>
                </c:pt>
                <c:pt idx="37">
                  <c:v>42969</c:v>
                </c:pt>
                <c:pt idx="38">
                  <c:v>42973</c:v>
                </c:pt>
                <c:pt idx="39">
                  <c:v>42974</c:v>
                </c:pt>
                <c:pt idx="40">
                  <c:v>42975</c:v>
                </c:pt>
                <c:pt idx="41">
                  <c:v>42978</c:v>
                </c:pt>
                <c:pt idx="42">
                  <c:v>42981</c:v>
                </c:pt>
                <c:pt idx="43">
                  <c:v>42982</c:v>
                </c:pt>
                <c:pt idx="44">
                  <c:v>42983</c:v>
                </c:pt>
                <c:pt idx="45">
                  <c:v>42985</c:v>
                </c:pt>
                <c:pt idx="46">
                  <c:v>42990</c:v>
                </c:pt>
                <c:pt idx="47">
                  <c:v>42993</c:v>
                </c:pt>
                <c:pt idx="48">
                  <c:v>42994</c:v>
                </c:pt>
              </c:numCache>
            </c:numRef>
          </c:cat>
          <c:val>
            <c:numRef>
              <c:f>'STEG - Sept. 2017'!$V$18:$V$66</c:f>
              <c:numCache>
                <c:formatCode>0.00</c:formatCode>
                <c:ptCount val="49"/>
                <c:pt idx="0">
                  <c:v>26.756</c:v>
                </c:pt>
                <c:pt idx="1">
                  <c:v>101.29187999999999</c:v>
                </c:pt>
                <c:pt idx="2">
                  <c:v>111.30536000000001</c:v>
                </c:pt>
                <c:pt idx="3">
                  <c:v>128.49323999999999</c:v>
                </c:pt>
                <c:pt idx="4">
                  <c:v>133.22976</c:v>
                </c:pt>
                <c:pt idx="5">
                  <c:v>139.18403999999998</c:v>
                </c:pt>
                <c:pt idx="6">
                  <c:v>143.88880619999995</c:v>
                </c:pt>
                <c:pt idx="7">
                  <c:v>150.66768200000007</c:v>
                </c:pt>
                <c:pt idx="8">
                  <c:v>155.42319999999998</c:v>
                </c:pt>
                <c:pt idx="9">
                  <c:v>158.94195999999999</c:v>
                </c:pt>
                <c:pt idx="10">
                  <c:v>159.7136800000001</c:v>
                </c:pt>
                <c:pt idx="11">
                  <c:v>162.59217199999989</c:v>
                </c:pt>
                <c:pt idx="12">
                  <c:v>166.31932</c:v>
                </c:pt>
                <c:pt idx="13">
                  <c:v>169.09468000000001</c:v>
                </c:pt>
                <c:pt idx="14">
                  <c:v>170.44814</c:v>
                </c:pt>
                <c:pt idx="15">
                  <c:v>178.56771999999998</c:v>
                </c:pt>
                <c:pt idx="16">
                  <c:v>192.64039999999997</c:v>
                </c:pt>
                <c:pt idx="17">
                  <c:v>204.14303999999998</c:v>
                </c:pt>
                <c:pt idx="18">
                  <c:v>205.90360000000001</c:v>
                </c:pt>
                <c:pt idx="19">
                  <c:v>207.18979999999999</c:v>
                </c:pt>
                <c:pt idx="20">
                  <c:v>209.89671999999996</c:v>
                </c:pt>
                <c:pt idx="21">
                  <c:v>217.95730000000003</c:v>
                </c:pt>
                <c:pt idx="22">
                  <c:v>221.8218</c:v>
                </c:pt>
                <c:pt idx="23">
                  <c:v>231.91905999999989</c:v>
                </c:pt>
                <c:pt idx="24">
                  <c:v>234.3416</c:v>
                </c:pt>
                <c:pt idx="25">
                  <c:v>239.16425999999998</c:v>
                </c:pt>
                <c:pt idx="26">
                  <c:v>240.90475999999998</c:v>
                </c:pt>
                <c:pt idx="27">
                  <c:v>242.55912000000004</c:v>
                </c:pt>
                <c:pt idx="28">
                  <c:v>245.28019999999998</c:v>
                </c:pt>
                <c:pt idx="29">
                  <c:v>248.66561999999999</c:v>
                </c:pt>
                <c:pt idx="30">
                  <c:v>250.37425999999999</c:v>
                </c:pt>
                <c:pt idx="31">
                  <c:v>259.81189999999998</c:v>
                </c:pt>
                <c:pt idx="32">
                  <c:v>263.19731999999999</c:v>
                </c:pt>
                <c:pt idx="33">
                  <c:v>268.77045999999996</c:v>
                </c:pt>
                <c:pt idx="34">
                  <c:v>278.11251999999996</c:v>
                </c:pt>
                <c:pt idx="35">
                  <c:v>280.33209999999997</c:v>
                </c:pt>
                <c:pt idx="36">
                  <c:v>287.85341999999997</c:v>
                </c:pt>
                <c:pt idx="37">
                  <c:v>288.84343999999993</c:v>
                </c:pt>
                <c:pt idx="38">
                  <c:v>296.39661999999998</c:v>
                </c:pt>
                <c:pt idx="39">
                  <c:v>297.35477999999995</c:v>
                </c:pt>
                <c:pt idx="40">
                  <c:v>307.90161999999998</c:v>
                </c:pt>
                <c:pt idx="41">
                  <c:v>316.11441999999994</c:v>
                </c:pt>
                <c:pt idx="42">
                  <c:v>318.13339999999999</c:v>
                </c:pt>
                <c:pt idx="43">
                  <c:v>319.43375999999995</c:v>
                </c:pt>
                <c:pt idx="44">
                  <c:v>320.39191999999997</c:v>
                </c:pt>
                <c:pt idx="45">
                  <c:v>324.29299999999995</c:v>
                </c:pt>
                <c:pt idx="46">
                  <c:v>334.31945999999994</c:v>
                </c:pt>
                <c:pt idx="47">
                  <c:v>340.47906</c:v>
                </c:pt>
                <c:pt idx="48">
                  <c:v>342.19005999999996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A-4056-A1A1-E5E3FE3F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'STEG - Sept. 2017'!$U$4:$U$5</c:f>
              <c:numCache>
                <c:formatCode>m/d/yyyy</c:formatCode>
                <c:ptCount val="2"/>
                <c:pt idx="0">
                  <c:v>42983</c:v>
                </c:pt>
                <c:pt idx="1">
                  <c:v>42983</c:v>
                </c:pt>
              </c:numCache>
            </c:numRef>
          </c:xVal>
          <c:yVal>
            <c:numRef>
              <c:f>'STEG - Sept. 2017'!$V$4:$V$5</c:f>
              <c:numCache>
                <c:formatCode>General</c:formatCode>
                <c:ptCount val="2"/>
                <c:pt idx="0">
                  <c:v>0</c:v>
                </c:pt>
                <c:pt idx="1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4A-4056-A1A1-E5E3FE3F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4328"/>
        <c:axId val="373333344"/>
      </c:scatterChart>
      <c:dateAx>
        <c:axId val="373334328"/>
        <c:scaling>
          <c:orientation val="minMax"/>
          <c:max val="42988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4"/>
        <c:majorTimeUnit val="days"/>
      </c:dateAx>
      <c:valAx>
        <c:axId val="373333344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</c:valAx>
      <c:valAx>
        <c:axId val="373332688"/>
        <c:scaling>
          <c:orientation val="minMax"/>
          <c:max val="4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Sept. 2017'!$F$17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90"/>
            <c:dispRSqr val="0"/>
            <c:dispEq val="0"/>
          </c:trendline>
          <c:cat>
            <c:numRef>
              <c:f>'STEG - Sept. 2017'!$G$18:$G$66</c:f>
              <c:numCache>
                <c:formatCode>d\-mmm</c:formatCode>
                <c:ptCount val="49"/>
                <c:pt idx="0">
                  <c:v>42859</c:v>
                </c:pt>
                <c:pt idx="1">
                  <c:v>42903</c:v>
                </c:pt>
                <c:pt idx="2">
                  <c:v>42905</c:v>
                </c:pt>
                <c:pt idx="3">
                  <c:v>42909</c:v>
                </c:pt>
                <c:pt idx="4">
                  <c:v>42910</c:v>
                </c:pt>
                <c:pt idx="5">
                  <c:v>42913</c:v>
                </c:pt>
                <c:pt idx="6">
                  <c:v>42914</c:v>
                </c:pt>
                <c:pt idx="7">
                  <c:v>42915</c:v>
                </c:pt>
                <c:pt idx="8">
                  <c:v>42916</c:v>
                </c:pt>
                <c:pt idx="9">
                  <c:v>42917</c:v>
                </c:pt>
                <c:pt idx="10">
                  <c:v>42918</c:v>
                </c:pt>
                <c:pt idx="11">
                  <c:v>42920</c:v>
                </c:pt>
                <c:pt idx="12">
                  <c:v>42922</c:v>
                </c:pt>
                <c:pt idx="13">
                  <c:v>42923</c:v>
                </c:pt>
                <c:pt idx="14">
                  <c:v>42924</c:v>
                </c:pt>
                <c:pt idx="15">
                  <c:v>42927</c:v>
                </c:pt>
                <c:pt idx="16">
                  <c:v>42929</c:v>
                </c:pt>
                <c:pt idx="17">
                  <c:v>42931</c:v>
                </c:pt>
                <c:pt idx="18">
                  <c:v>42932</c:v>
                </c:pt>
                <c:pt idx="19">
                  <c:v>42933</c:v>
                </c:pt>
                <c:pt idx="20">
                  <c:v>42934</c:v>
                </c:pt>
                <c:pt idx="21">
                  <c:v>42937</c:v>
                </c:pt>
                <c:pt idx="22">
                  <c:v>42938</c:v>
                </c:pt>
                <c:pt idx="23">
                  <c:v>42939</c:v>
                </c:pt>
                <c:pt idx="24">
                  <c:v>42940</c:v>
                </c:pt>
                <c:pt idx="25">
                  <c:v>42942</c:v>
                </c:pt>
                <c:pt idx="26">
                  <c:v>42943</c:v>
                </c:pt>
                <c:pt idx="27">
                  <c:v>42944</c:v>
                </c:pt>
                <c:pt idx="28">
                  <c:v>42945</c:v>
                </c:pt>
                <c:pt idx="29">
                  <c:v>42947</c:v>
                </c:pt>
                <c:pt idx="30">
                  <c:v>42948</c:v>
                </c:pt>
                <c:pt idx="31">
                  <c:v>42951</c:v>
                </c:pt>
                <c:pt idx="32">
                  <c:v>42952</c:v>
                </c:pt>
                <c:pt idx="33">
                  <c:v>42954</c:v>
                </c:pt>
                <c:pt idx="34">
                  <c:v>42961</c:v>
                </c:pt>
                <c:pt idx="35">
                  <c:v>42962</c:v>
                </c:pt>
                <c:pt idx="36">
                  <c:v>42968</c:v>
                </c:pt>
                <c:pt idx="37">
                  <c:v>42969</c:v>
                </c:pt>
                <c:pt idx="38">
                  <c:v>42973</c:v>
                </c:pt>
                <c:pt idx="39">
                  <c:v>42974</c:v>
                </c:pt>
                <c:pt idx="40">
                  <c:v>42975</c:v>
                </c:pt>
                <c:pt idx="41">
                  <c:v>42978</c:v>
                </c:pt>
                <c:pt idx="42">
                  <c:v>42981</c:v>
                </c:pt>
                <c:pt idx="43">
                  <c:v>42982</c:v>
                </c:pt>
                <c:pt idx="44">
                  <c:v>42983</c:v>
                </c:pt>
                <c:pt idx="45">
                  <c:v>42985</c:v>
                </c:pt>
                <c:pt idx="46">
                  <c:v>42990</c:v>
                </c:pt>
                <c:pt idx="47">
                  <c:v>42993</c:v>
                </c:pt>
                <c:pt idx="48">
                  <c:v>42994</c:v>
                </c:pt>
              </c:numCache>
            </c:numRef>
          </c:cat>
          <c:val>
            <c:numRef>
              <c:f>'STEG - Sept. 2017'!$F$18:$F$66</c:f>
              <c:numCache>
                <c:formatCode>General</c:formatCode>
                <c:ptCount val="49"/>
                <c:pt idx="0">
                  <c:v>0</c:v>
                </c:pt>
                <c:pt idx="1">
                  <c:v>283</c:v>
                </c:pt>
                <c:pt idx="2">
                  <c:v>331</c:v>
                </c:pt>
                <c:pt idx="3">
                  <c:v>409</c:v>
                </c:pt>
                <c:pt idx="4">
                  <c:v>431</c:v>
                </c:pt>
                <c:pt idx="5">
                  <c:v>459</c:v>
                </c:pt>
                <c:pt idx="6">
                  <c:v>481</c:v>
                </c:pt>
                <c:pt idx="7">
                  <c:v>513</c:v>
                </c:pt>
                <c:pt idx="8">
                  <c:v>535</c:v>
                </c:pt>
                <c:pt idx="9">
                  <c:v>551</c:v>
                </c:pt>
                <c:pt idx="10">
                  <c:v>554</c:v>
                </c:pt>
                <c:pt idx="11">
                  <c:v>565</c:v>
                </c:pt>
                <c:pt idx="12">
                  <c:v>582</c:v>
                </c:pt>
                <c:pt idx="13">
                  <c:v>593</c:v>
                </c:pt>
                <c:pt idx="14">
                  <c:v>599</c:v>
                </c:pt>
                <c:pt idx="15">
                  <c:v>637</c:v>
                </c:pt>
                <c:pt idx="16">
                  <c:v>705</c:v>
                </c:pt>
                <c:pt idx="17">
                  <c:v>759</c:v>
                </c:pt>
                <c:pt idx="18">
                  <c:v>765</c:v>
                </c:pt>
                <c:pt idx="19">
                  <c:v>770</c:v>
                </c:pt>
                <c:pt idx="20">
                  <c:v>782</c:v>
                </c:pt>
                <c:pt idx="21">
                  <c:v>815</c:v>
                </c:pt>
                <c:pt idx="22">
                  <c:v>830</c:v>
                </c:pt>
                <c:pt idx="23">
                  <c:v>870</c:v>
                </c:pt>
                <c:pt idx="24">
                  <c:v>880</c:v>
                </c:pt>
                <c:pt idx="25">
                  <c:v>899</c:v>
                </c:pt>
                <c:pt idx="26">
                  <c:v>904</c:v>
                </c:pt>
                <c:pt idx="27">
                  <c:v>910</c:v>
                </c:pt>
                <c:pt idx="28">
                  <c:v>920</c:v>
                </c:pt>
                <c:pt idx="29">
                  <c:v>933</c:v>
                </c:pt>
                <c:pt idx="30">
                  <c:v>939</c:v>
                </c:pt>
                <c:pt idx="31">
                  <c:v>975</c:v>
                </c:pt>
                <c:pt idx="32">
                  <c:v>988</c:v>
                </c:pt>
                <c:pt idx="33">
                  <c:v>1009</c:v>
                </c:pt>
                <c:pt idx="34">
                  <c:v>1048</c:v>
                </c:pt>
                <c:pt idx="35">
                  <c:v>1055</c:v>
                </c:pt>
                <c:pt idx="36">
                  <c:v>1083</c:v>
                </c:pt>
                <c:pt idx="37">
                  <c:v>1086</c:v>
                </c:pt>
                <c:pt idx="38">
                  <c:v>1113</c:v>
                </c:pt>
                <c:pt idx="39">
                  <c:v>1117</c:v>
                </c:pt>
                <c:pt idx="40">
                  <c:v>1123</c:v>
                </c:pt>
                <c:pt idx="41">
                  <c:v>1153</c:v>
                </c:pt>
                <c:pt idx="42">
                  <c:v>1160</c:v>
                </c:pt>
                <c:pt idx="43">
                  <c:v>1164</c:v>
                </c:pt>
                <c:pt idx="44">
                  <c:v>1168</c:v>
                </c:pt>
                <c:pt idx="45">
                  <c:v>1180</c:v>
                </c:pt>
                <c:pt idx="46">
                  <c:v>1210</c:v>
                </c:pt>
                <c:pt idx="47">
                  <c:v>1226</c:v>
                </c:pt>
                <c:pt idx="48">
                  <c:v>1231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F-4339-9978-EDA0E5348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Sept. 2017'!$U$4:$U$5</c:f>
              <c:numCache>
                <c:formatCode>m/d/yyyy</c:formatCode>
                <c:ptCount val="2"/>
                <c:pt idx="0">
                  <c:v>42983</c:v>
                </c:pt>
                <c:pt idx="1">
                  <c:v>42983</c:v>
                </c:pt>
              </c:numCache>
            </c:numRef>
          </c:xVal>
          <c:yVal>
            <c:numRef>
              <c:f>'STEG - Sept. 2017'!$W$4:$W$5</c:f>
              <c:numCache>
                <c:formatCode>General</c:formatCode>
                <c:ptCount val="2"/>
                <c:pt idx="0">
                  <c:v>0</c:v>
                </c:pt>
                <c:pt idx="1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5F-4339-9978-EDA0E5348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2988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3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Jan. 2018'!$V$17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Jan. 2018'!$G$18:$G$21</c:f>
              <c:numCache>
                <c:formatCode>d\-mmm</c:formatCode>
                <c:ptCount val="4"/>
                <c:pt idx="0">
                  <c:v>42983</c:v>
                </c:pt>
                <c:pt idx="1">
                  <c:v>42985</c:v>
                </c:pt>
                <c:pt idx="2">
                  <c:v>42990</c:v>
                </c:pt>
                <c:pt idx="3">
                  <c:v>42993</c:v>
                </c:pt>
              </c:numCache>
            </c:numRef>
          </c:cat>
          <c:val>
            <c:numRef>
              <c:f>'STEG - Jan. 2018'!$V$18:$V$80</c:f>
              <c:numCache>
                <c:formatCode>0.00</c:formatCode>
                <c:ptCount val="63"/>
                <c:pt idx="0">
                  <c:v>26.756</c:v>
                </c:pt>
                <c:pt idx="1">
                  <c:v>29.533719999999999</c:v>
                </c:pt>
                <c:pt idx="2">
                  <c:v>37.257999999999996</c:v>
                </c:pt>
                <c:pt idx="3">
                  <c:v>41.050519999999999</c:v>
                </c:pt>
                <c:pt idx="4">
                  <c:v>42.065319999999993</c:v>
                </c:pt>
                <c:pt idx="5">
                  <c:v>46.333379999999998</c:v>
                </c:pt>
                <c:pt idx="6">
                  <c:v>47.823719999999994</c:v>
                </c:pt>
                <c:pt idx="7">
                  <c:v>52.09178</c:v>
                </c:pt>
                <c:pt idx="8">
                  <c:v>54.666539999999991</c:v>
                </c:pt>
                <c:pt idx="9">
                  <c:v>56.632419999999996</c:v>
                </c:pt>
                <c:pt idx="10">
                  <c:v>57.716839999999998</c:v>
                </c:pt>
                <c:pt idx="11">
                  <c:v>59.410139999999998</c:v>
                </c:pt>
                <c:pt idx="12">
                  <c:v>66.252960000000002</c:v>
                </c:pt>
                <c:pt idx="13">
                  <c:v>70.318060000000003</c:v>
                </c:pt>
                <c:pt idx="14">
                  <c:v>74.180199999999999</c:v>
                </c:pt>
                <c:pt idx="15">
                  <c:v>75.467579999999998</c:v>
                </c:pt>
                <c:pt idx="16">
                  <c:v>77.909000000000006</c:v>
                </c:pt>
                <c:pt idx="17">
                  <c:v>83.128140000000002</c:v>
                </c:pt>
                <c:pt idx="18">
                  <c:v>85.7029</c:v>
                </c:pt>
                <c:pt idx="19">
                  <c:v>90.852420000000009</c:v>
                </c:pt>
                <c:pt idx="20">
                  <c:v>96.47748</c:v>
                </c:pt>
                <c:pt idx="21">
                  <c:v>102.17215999999999</c:v>
                </c:pt>
                <c:pt idx="22">
                  <c:v>107.72760000000001</c:v>
                </c:pt>
                <c:pt idx="23">
                  <c:v>109.21794</c:v>
                </c:pt>
                <c:pt idx="24">
                  <c:v>113.89782000000001</c:v>
                </c:pt>
                <c:pt idx="25">
                  <c:v>119.04734000000001</c:v>
                </c:pt>
                <c:pt idx="26">
                  <c:v>122.17316</c:v>
                </c:pt>
                <c:pt idx="27">
                  <c:v>129.03368</c:v>
                </c:pt>
                <c:pt idx="28">
                  <c:v>131.88691999999998</c:v>
                </c:pt>
                <c:pt idx="29">
                  <c:v>139.15926000000002</c:v>
                </c:pt>
                <c:pt idx="30">
                  <c:v>174.256</c:v>
                </c:pt>
                <c:pt idx="31">
                  <c:v>178.89576000000002</c:v>
                </c:pt>
                <c:pt idx="32">
                  <c:v>182.16672</c:v>
                </c:pt>
                <c:pt idx="33">
                  <c:v>185.43768</c:v>
                </c:pt>
                <c:pt idx="34">
                  <c:v>189.25380000000001</c:v>
                </c:pt>
                <c:pt idx="35">
                  <c:v>203.50348</c:v>
                </c:pt>
                <c:pt idx="36">
                  <c:v>240.05869999999999</c:v>
                </c:pt>
                <c:pt idx="37">
                  <c:v>250.90172000000001</c:v>
                </c:pt>
                <c:pt idx="38">
                  <c:v>255.89901999999998</c:v>
                </c:pt>
                <c:pt idx="39">
                  <c:v>262.18723999999997</c:v>
                </c:pt>
                <c:pt idx="40">
                  <c:v>272.14525999999995</c:v>
                </c:pt>
                <c:pt idx="41">
                  <c:v>276.05459999999994</c:v>
                </c:pt>
                <c:pt idx="42">
                  <c:v>280.36985999999996</c:v>
                </c:pt>
                <c:pt idx="43">
                  <c:v>284.03965999999997</c:v>
                </c:pt>
                <c:pt idx="44">
                  <c:v>287.26695999999993</c:v>
                </c:pt>
                <c:pt idx="45">
                  <c:v>291.37925999999999</c:v>
                </c:pt>
                <c:pt idx="46">
                  <c:v>295.04906</c:v>
                </c:pt>
                <c:pt idx="47">
                  <c:v>298.68227999999993</c:v>
                </c:pt>
                <c:pt idx="48">
                  <c:v>310.04095999999998</c:v>
                </c:pt>
                <c:pt idx="49">
                  <c:v>317.34397999999993</c:v>
                </c:pt>
                <c:pt idx="50">
                  <c:v>324.07470000000001</c:v>
                </c:pt>
                <c:pt idx="51">
                  <c:v>329.27495999999996</c:v>
                </c:pt>
                <c:pt idx="52">
                  <c:v>339.43593999999996</c:v>
                </c:pt>
                <c:pt idx="53">
                  <c:v>357.61855999999995</c:v>
                </c:pt>
                <c:pt idx="54">
                  <c:v>362.17335999999995</c:v>
                </c:pt>
                <c:pt idx="55">
                  <c:v>372.09479999999991</c:v>
                </c:pt>
                <c:pt idx="56">
                  <c:v>377.49802</c:v>
                </c:pt>
                <c:pt idx="57">
                  <c:v>396.69543999999991</c:v>
                </c:pt>
                <c:pt idx="58">
                  <c:v>410.01056</c:v>
                </c:pt>
                <c:pt idx="59">
                  <c:v>413.44081999999997</c:v>
                </c:pt>
                <c:pt idx="60">
                  <c:v>419.52607999999992</c:v>
                </c:pt>
                <c:pt idx="61">
                  <c:v>423.84134</c:v>
                </c:pt>
                <c:pt idx="62">
                  <c:v>430.33251999999999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F-4A32-85F3-B24240C06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Jan. 2018'!$V$17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2"/>
            <c:forward val="15"/>
            <c:dispRSqr val="0"/>
            <c:dispEq val="0"/>
          </c:trendline>
          <c:cat>
            <c:numRef>
              <c:f>'STEG - Jan. 2018'!$G$18:$G$80</c:f>
              <c:numCache>
                <c:formatCode>d\-mmm</c:formatCode>
                <c:ptCount val="63"/>
                <c:pt idx="0">
                  <c:v>42983</c:v>
                </c:pt>
                <c:pt idx="1">
                  <c:v>42985</c:v>
                </c:pt>
                <c:pt idx="2">
                  <c:v>42990</c:v>
                </c:pt>
                <c:pt idx="3">
                  <c:v>42993</c:v>
                </c:pt>
                <c:pt idx="4">
                  <c:v>42994</c:v>
                </c:pt>
                <c:pt idx="5">
                  <c:v>42997</c:v>
                </c:pt>
                <c:pt idx="6">
                  <c:v>42998</c:v>
                </c:pt>
                <c:pt idx="7">
                  <c:v>43001</c:v>
                </c:pt>
                <c:pt idx="8">
                  <c:v>43003</c:v>
                </c:pt>
                <c:pt idx="9">
                  <c:v>43004</c:v>
                </c:pt>
                <c:pt idx="10">
                  <c:v>43005</c:v>
                </c:pt>
                <c:pt idx="11">
                  <c:v>43007</c:v>
                </c:pt>
                <c:pt idx="12">
                  <c:v>43011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43020</c:v>
                </c:pt>
                <c:pt idx="17">
                  <c:v>43024</c:v>
                </c:pt>
                <c:pt idx="18">
                  <c:v>43026</c:v>
                </c:pt>
                <c:pt idx="19">
                  <c:v>43030</c:v>
                </c:pt>
                <c:pt idx="20">
                  <c:v>43034</c:v>
                </c:pt>
                <c:pt idx="21">
                  <c:v>43038</c:v>
                </c:pt>
                <c:pt idx="22">
                  <c:v>43041</c:v>
                </c:pt>
                <c:pt idx="23">
                  <c:v>43042</c:v>
                </c:pt>
                <c:pt idx="24">
                  <c:v>43045</c:v>
                </c:pt>
                <c:pt idx="25">
                  <c:v>43049</c:v>
                </c:pt>
                <c:pt idx="26">
                  <c:v>43050</c:v>
                </c:pt>
                <c:pt idx="27">
                  <c:v>43052</c:v>
                </c:pt>
                <c:pt idx="28">
                  <c:v>43053</c:v>
                </c:pt>
                <c:pt idx="29">
                  <c:v>43055</c:v>
                </c:pt>
                <c:pt idx="30">
                  <c:v>43060</c:v>
                </c:pt>
                <c:pt idx="31">
                  <c:v>43061</c:v>
                </c:pt>
                <c:pt idx="32">
                  <c:v>43062</c:v>
                </c:pt>
                <c:pt idx="33">
                  <c:v>43063</c:v>
                </c:pt>
                <c:pt idx="34">
                  <c:v>43064</c:v>
                </c:pt>
                <c:pt idx="35">
                  <c:v>43068</c:v>
                </c:pt>
                <c:pt idx="36">
                  <c:v>43072</c:v>
                </c:pt>
                <c:pt idx="37">
                  <c:v>43074</c:v>
                </c:pt>
                <c:pt idx="38">
                  <c:v>43075</c:v>
                </c:pt>
                <c:pt idx="39">
                  <c:v>43076</c:v>
                </c:pt>
                <c:pt idx="40">
                  <c:v>43078</c:v>
                </c:pt>
                <c:pt idx="41">
                  <c:v>43079</c:v>
                </c:pt>
                <c:pt idx="42">
                  <c:v>43080</c:v>
                </c:pt>
                <c:pt idx="43">
                  <c:v>43081</c:v>
                </c:pt>
                <c:pt idx="44">
                  <c:v>43082</c:v>
                </c:pt>
                <c:pt idx="45">
                  <c:v>43083</c:v>
                </c:pt>
                <c:pt idx="46">
                  <c:v>43084</c:v>
                </c:pt>
                <c:pt idx="47">
                  <c:v>43085</c:v>
                </c:pt>
                <c:pt idx="48">
                  <c:v>43087</c:v>
                </c:pt>
                <c:pt idx="49">
                  <c:v>43088</c:v>
                </c:pt>
                <c:pt idx="50">
                  <c:v>43089</c:v>
                </c:pt>
                <c:pt idx="51">
                  <c:v>43090</c:v>
                </c:pt>
                <c:pt idx="52">
                  <c:v>43092</c:v>
                </c:pt>
                <c:pt idx="53">
                  <c:v>43096</c:v>
                </c:pt>
                <c:pt idx="54">
                  <c:v>43097</c:v>
                </c:pt>
                <c:pt idx="55">
                  <c:v>43099</c:v>
                </c:pt>
                <c:pt idx="56">
                  <c:v>43100</c:v>
                </c:pt>
                <c:pt idx="57">
                  <c:v>43104</c:v>
                </c:pt>
                <c:pt idx="58">
                  <c:v>43108</c:v>
                </c:pt>
                <c:pt idx="59">
                  <c:v>43109</c:v>
                </c:pt>
                <c:pt idx="60">
                  <c:v>43110</c:v>
                </c:pt>
                <c:pt idx="61">
                  <c:v>43111</c:v>
                </c:pt>
                <c:pt idx="62">
                  <c:v>43112</c:v>
                </c:pt>
              </c:numCache>
            </c:numRef>
          </c:cat>
          <c:val>
            <c:numRef>
              <c:f>'STEG - Jan. 2018'!$V$18:$V$80</c:f>
              <c:numCache>
                <c:formatCode>0.00</c:formatCode>
                <c:ptCount val="63"/>
                <c:pt idx="0">
                  <c:v>26.756</c:v>
                </c:pt>
                <c:pt idx="1">
                  <c:v>29.533719999999999</c:v>
                </c:pt>
                <c:pt idx="2">
                  <c:v>37.257999999999996</c:v>
                </c:pt>
                <c:pt idx="3">
                  <c:v>41.050519999999999</c:v>
                </c:pt>
                <c:pt idx="4">
                  <c:v>42.065319999999993</c:v>
                </c:pt>
                <c:pt idx="5">
                  <c:v>46.333379999999998</c:v>
                </c:pt>
                <c:pt idx="6">
                  <c:v>47.823719999999994</c:v>
                </c:pt>
                <c:pt idx="7">
                  <c:v>52.09178</c:v>
                </c:pt>
                <c:pt idx="8">
                  <c:v>54.666539999999991</c:v>
                </c:pt>
                <c:pt idx="9">
                  <c:v>56.632419999999996</c:v>
                </c:pt>
                <c:pt idx="10">
                  <c:v>57.716839999999998</c:v>
                </c:pt>
                <c:pt idx="11">
                  <c:v>59.410139999999998</c:v>
                </c:pt>
                <c:pt idx="12">
                  <c:v>66.252960000000002</c:v>
                </c:pt>
                <c:pt idx="13">
                  <c:v>70.318060000000003</c:v>
                </c:pt>
                <c:pt idx="14">
                  <c:v>74.180199999999999</c:v>
                </c:pt>
                <c:pt idx="15">
                  <c:v>75.467579999999998</c:v>
                </c:pt>
                <c:pt idx="16">
                  <c:v>77.909000000000006</c:v>
                </c:pt>
                <c:pt idx="17">
                  <c:v>83.128140000000002</c:v>
                </c:pt>
                <c:pt idx="18">
                  <c:v>85.7029</c:v>
                </c:pt>
                <c:pt idx="19">
                  <c:v>90.852420000000009</c:v>
                </c:pt>
                <c:pt idx="20">
                  <c:v>96.47748</c:v>
                </c:pt>
                <c:pt idx="21">
                  <c:v>102.17215999999999</c:v>
                </c:pt>
                <c:pt idx="22">
                  <c:v>107.72760000000001</c:v>
                </c:pt>
                <c:pt idx="23">
                  <c:v>109.21794</c:v>
                </c:pt>
                <c:pt idx="24">
                  <c:v>113.89782000000001</c:v>
                </c:pt>
                <c:pt idx="25">
                  <c:v>119.04734000000001</c:v>
                </c:pt>
                <c:pt idx="26">
                  <c:v>122.17316</c:v>
                </c:pt>
                <c:pt idx="27">
                  <c:v>129.03368</c:v>
                </c:pt>
                <c:pt idx="28">
                  <c:v>131.88691999999998</c:v>
                </c:pt>
                <c:pt idx="29">
                  <c:v>139.15926000000002</c:v>
                </c:pt>
                <c:pt idx="30">
                  <c:v>174.256</c:v>
                </c:pt>
                <c:pt idx="31">
                  <c:v>178.89576000000002</c:v>
                </c:pt>
                <c:pt idx="32">
                  <c:v>182.16672</c:v>
                </c:pt>
                <c:pt idx="33">
                  <c:v>185.43768</c:v>
                </c:pt>
                <c:pt idx="34">
                  <c:v>189.25380000000001</c:v>
                </c:pt>
                <c:pt idx="35">
                  <c:v>203.50348</c:v>
                </c:pt>
                <c:pt idx="36">
                  <c:v>240.05869999999999</c:v>
                </c:pt>
                <c:pt idx="37">
                  <c:v>250.90172000000001</c:v>
                </c:pt>
                <c:pt idx="38">
                  <c:v>255.89901999999998</c:v>
                </c:pt>
                <c:pt idx="39">
                  <c:v>262.18723999999997</c:v>
                </c:pt>
                <c:pt idx="40">
                  <c:v>272.14525999999995</c:v>
                </c:pt>
                <c:pt idx="41">
                  <c:v>276.05459999999994</c:v>
                </c:pt>
                <c:pt idx="42">
                  <c:v>280.36985999999996</c:v>
                </c:pt>
                <c:pt idx="43">
                  <c:v>284.03965999999997</c:v>
                </c:pt>
                <c:pt idx="44">
                  <c:v>287.26695999999993</c:v>
                </c:pt>
                <c:pt idx="45">
                  <c:v>291.37925999999999</c:v>
                </c:pt>
                <c:pt idx="46">
                  <c:v>295.04906</c:v>
                </c:pt>
                <c:pt idx="47">
                  <c:v>298.68227999999993</c:v>
                </c:pt>
                <c:pt idx="48">
                  <c:v>310.04095999999998</c:v>
                </c:pt>
                <c:pt idx="49">
                  <c:v>317.34397999999993</c:v>
                </c:pt>
                <c:pt idx="50">
                  <c:v>324.07470000000001</c:v>
                </c:pt>
                <c:pt idx="51">
                  <c:v>329.27495999999996</c:v>
                </c:pt>
                <c:pt idx="52">
                  <c:v>339.43593999999996</c:v>
                </c:pt>
                <c:pt idx="53">
                  <c:v>357.61855999999995</c:v>
                </c:pt>
                <c:pt idx="54">
                  <c:v>362.17335999999995</c:v>
                </c:pt>
                <c:pt idx="55">
                  <c:v>372.09479999999991</c:v>
                </c:pt>
                <c:pt idx="56">
                  <c:v>377.49802</c:v>
                </c:pt>
                <c:pt idx="57">
                  <c:v>396.69543999999991</c:v>
                </c:pt>
                <c:pt idx="58">
                  <c:v>410.01056</c:v>
                </c:pt>
                <c:pt idx="59">
                  <c:v>413.44081999999997</c:v>
                </c:pt>
                <c:pt idx="60">
                  <c:v>419.52607999999992</c:v>
                </c:pt>
                <c:pt idx="61">
                  <c:v>423.84134</c:v>
                </c:pt>
                <c:pt idx="62">
                  <c:v>430.33251999999999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6F-4A32-85F3-B24240C06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'STEG - Jan. 2018'!$U$4:$U$5</c:f>
              <c:numCache>
                <c:formatCode>m/d/yyyy</c:formatCode>
                <c:ptCount val="2"/>
                <c:pt idx="0">
                  <c:v>43110</c:v>
                </c:pt>
                <c:pt idx="1">
                  <c:v>43110</c:v>
                </c:pt>
              </c:numCache>
            </c:numRef>
          </c:xVal>
          <c:yVal>
            <c:numRef>
              <c:f>'STEG - Jan. 2018'!$V$4:$V$5</c:f>
              <c:numCache>
                <c:formatCode>General</c:formatCode>
                <c:ptCount val="2"/>
                <c:pt idx="0">
                  <c:v>0</c:v>
                </c:pt>
                <c:pt idx="1">
                  <c:v>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6F-4A32-85F3-B24240C06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4328"/>
        <c:axId val="373333344"/>
      </c:scatterChart>
      <c:dateAx>
        <c:axId val="373334328"/>
        <c:scaling>
          <c:orientation val="minMax"/>
          <c:max val="43116"/>
          <c:min val="42983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55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Jan. 2018'!$F$17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Jan. 2018'!$G$18:$G$80</c:f>
              <c:numCache>
                <c:formatCode>d\-mmm</c:formatCode>
                <c:ptCount val="63"/>
                <c:pt idx="0">
                  <c:v>42983</c:v>
                </c:pt>
                <c:pt idx="1">
                  <c:v>42985</c:v>
                </c:pt>
                <c:pt idx="2">
                  <c:v>42990</c:v>
                </c:pt>
                <c:pt idx="3">
                  <c:v>42993</c:v>
                </c:pt>
                <c:pt idx="4">
                  <c:v>42994</c:v>
                </c:pt>
                <c:pt idx="5">
                  <c:v>42997</c:v>
                </c:pt>
                <c:pt idx="6">
                  <c:v>42998</c:v>
                </c:pt>
                <c:pt idx="7">
                  <c:v>43001</c:v>
                </c:pt>
                <c:pt idx="8">
                  <c:v>43003</c:v>
                </c:pt>
                <c:pt idx="9">
                  <c:v>43004</c:v>
                </c:pt>
                <c:pt idx="10">
                  <c:v>43005</c:v>
                </c:pt>
                <c:pt idx="11">
                  <c:v>43007</c:v>
                </c:pt>
                <c:pt idx="12">
                  <c:v>43011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43020</c:v>
                </c:pt>
                <c:pt idx="17">
                  <c:v>43024</c:v>
                </c:pt>
                <c:pt idx="18">
                  <c:v>43026</c:v>
                </c:pt>
                <c:pt idx="19">
                  <c:v>43030</c:v>
                </c:pt>
                <c:pt idx="20">
                  <c:v>43034</c:v>
                </c:pt>
                <c:pt idx="21">
                  <c:v>43038</c:v>
                </c:pt>
                <c:pt idx="22">
                  <c:v>43041</c:v>
                </c:pt>
                <c:pt idx="23">
                  <c:v>43042</c:v>
                </c:pt>
                <c:pt idx="24">
                  <c:v>43045</c:v>
                </c:pt>
                <c:pt idx="25">
                  <c:v>43049</c:v>
                </c:pt>
                <c:pt idx="26">
                  <c:v>43050</c:v>
                </c:pt>
                <c:pt idx="27">
                  <c:v>43052</c:v>
                </c:pt>
                <c:pt idx="28">
                  <c:v>43053</c:v>
                </c:pt>
                <c:pt idx="29">
                  <c:v>43055</c:v>
                </c:pt>
                <c:pt idx="30">
                  <c:v>43060</c:v>
                </c:pt>
                <c:pt idx="31">
                  <c:v>43061</c:v>
                </c:pt>
                <c:pt idx="32">
                  <c:v>43062</c:v>
                </c:pt>
                <c:pt idx="33">
                  <c:v>43063</c:v>
                </c:pt>
                <c:pt idx="34">
                  <c:v>43064</c:v>
                </c:pt>
                <c:pt idx="35">
                  <c:v>43068</c:v>
                </c:pt>
                <c:pt idx="36">
                  <c:v>43072</c:v>
                </c:pt>
                <c:pt idx="37">
                  <c:v>43074</c:v>
                </c:pt>
                <c:pt idx="38">
                  <c:v>43075</c:v>
                </c:pt>
                <c:pt idx="39">
                  <c:v>43076</c:v>
                </c:pt>
                <c:pt idx="40">
                  <c:v>43078</c:v>
                </c:pt>
                <c:pt idx="41">
                  <c:v>43079</c:v>
                </c:pt>
                <c:pt idx="42">
                  <c:v>43080</c:v>
                </c:pt>
                <c:pt idx="43">
                  <c:v>43081</c:v>
                </c:pt>
                <c:pt idx="44">
                  <c:v>43082</c:v>
                </c:pt>
                <c:pt idx="45">
                  <c:v>43083</c:v>
                </c:pt>
                <c:pt idx="46">
                  <c:v>43084</c:v>
                </c:pt>
                <c:pt idx="47">
                  <c:v>43085</c:v>
                </c:pt>
                <c:pt idx="48">
                  <c:v>43087</c:v>
                </c:pt>
                <c:pt idx="49">
                  <c:v>43088</c:v>
                </c:pt>
                <c:pt idx="50">
                  <c:v>43089</c:v>
                </c:pt>
                <c:pt idx="51">
                  <c:v>43090</c:v>
                </c:pt>
                <c:pt idx="52">
                  <c:v>43092</c:v>
                </c:pt>
                <c:pt idx="53">
                  <c:v>43096</c:v>
                </c:pt>
                <c:pt idx="54">
                  <c:v>43097</c:v>
                </c:pt>
                <c:pt idx="55">
                  <c:v>43099</c:v>
                </c:pt>
                <c:pt idx="56">
                  <c:v>43100</c:v>
                </c:pt>
                <c:pt idx="57">
                  <c:v>43104</c:v>
                </c:pt>
                <c:pt idx="58">
                  <c:v>43108</c:v>
                </c:pt>
                <c:pt idx="59">
                  <c:v>43109</c:v>
                </c:pt>
                <c:pt idx="60">
                  <c:v>43110</c:v>
                </c:pt>
                <c:pt idx="61">
                  <c:v>43111</c:v>
                </c:pt>
                <c:pt idx="62">
                  <c:v>43112</c:v>
                </c:pt>
              </c:numCache>
            </c:numRef>
          </c:cat>
          <c:val>
            <c:numRef>
              <c:f>'STEG - Jan. 2018'!$F$18:$F$80</c:f>
              <c:numCache>
                <c:formatCode>General</c:formatCode>
                <c:ptCount val="63"/>
                <c:pt idx="0">
                  <c:v>0</c:v>
                </c:pt>
                <c:pt idx="1">
                  <c:v>11</c:v>
                </c:pt>
                <c:pt idx="2">
                  <c:v>41</c:v>
                </c:pt>
                <c:pt idx="3">
                  <c:v>57</c:v>
                </c:pt>
                <c:pt idx="4">
                  <c:v>62</c:v>
                </c:pt>
                <c:pt idx="5">
                  <c:v>79</c:v>
                </c:pt>
                <c:pt idx="6">
                  <c:v>85</c:v>
                </c:pt>
                <c:pt idx="7">
                  <c:v>102</c:v>
                </c:pt>
                <c:pt idx="8">
                  <c:v>112</c:v>
                </c:pt>
                <c:pt idx="9">
                  <c:v>119</c:v>
                </c:pt>
                <c:pt idx="10">
                  <c:v>123</c:v>
                </c:pt>
                <c:pt idx="11">
                  <c:v>130</c:v>
                </c:pt>
                <c:pt idx="12">
                  <c:v>157</c:v>
                </c:pt>
                <c:pt idx="13">
                  <c:v>173</c:v>
                </c:pt>
                <c:pt idx="14">
                  <c:v>188</c:v>
                </c:pt>
                <c:pt idx="15">
                  <c:v>193</c:v>
                </c:pt>
                <c:pt idx="16">
                  <c:v>201</c:v>
                </c:pt>
                <c:pt idx="17">
                  <c:v>220</c:v>
                </c:pt>
                <c:pt idx="18">
                  <c:v>230</c:v>
                </c:pt>
                <c:pt idx="19">
                  <c:v>250</c:v>
                </c:pt>
                <c:pt idx="20">
                  <c:v>271</c:v>
                </c:pt>
                <c:pt idx="21">
                  <c:v>291</c:v>
                </c:pt>
                <c:pt idx="22">
                  <c:v>313</c:v>
                </c:pt>
                <c:pt idx="23">
                  <c:v>319</c:v>
                </c:pt>
                <c:pt idx="24">
                  <c:v>334</c:v>
                </c:pt>
                <c:pt idx="25">
                  <c:v>354</c:v>
                </c:pt>
                <c:pt idx="26">
                  <c:v>360</c:v>
                </c:pt>
                <c:pt idx="27">
                  <c:v>375</c:v>
                </c:pt>
                <c:pt idx="28">
                  <c:v>381</c:v>
                </c:pt>
                <c:pt idx="29">
                  <c:v>394</c:v>
                </c:pt>
                <c:pt idx="30">
                  <c:v>430</c:v>
                </c:pt>
                <c:pt idx="31">
                  <c:v>436</c:v>
                </c:pt>
                <c:pt idx="32">
                  <c:v>442</c:v>
                </c:pt>
                <c:pt idx="33">
                  <c:v>448</c:v>
                </c:pt>
                <c:pt idx="34">
                  <c:v>455</c:v>
                </c:pt>
                <c:pt idx="35">
                  <c:v>478</c:v>
                </c:pt>
                <c:pt idx="36">
                  <c:v>495</c:v>
                </c:pt>
                <c:pt idx="37">
                  <c:v>507</c:v>
                </c:pt>
                <c:pt idx="38">
                  <c:v>512</c:v>
                </c:pt>
                <c:pt idx="39">
                  <c:v>519</c:v>
                </c:pt>
                <c:pt idx="40">
                  <c:v>531</c:v>
                </c:pt>
                <c:pt idx="41">
                  <c:v>535</c:v>
                </c:pt>
                <c:pt idx="42">
                  <c:v>541</c:v>
                </c:pt>
                <c:pt idx="43">
                  <c:v>546</c:v>
                </c:pt>
                <c:pt idx="44">
                  <c:v>551</c:v>
                </c:pt>
                <c:pt idx="45">
                  <c:v>556</c:v>
                </c:pt>
                <c:pt idx="46">
                  <c:v>561</c:v>
                </c:pt>
                <c:pt idx="47">
                  <c:v>568</c:v>
                </c:pt>
                <c:pt idx="48">
                  <c:v>576</c:v>
                </c:pt>
                <c:pt idx="49">
                  <c:v>588</c:v>
                </c:pt>
                <c:pt idx="50">
                  <c:v>595</c:v>
                </c:pt>
                <c:pt idx="51">
                  <c:v>601</c:v>
                </c:pt>
                <c:pt idx="52">
                  <c:v>614</c:v>
                </c:pt>
                <c:pt idx="53">
                  <c:v>636</c:v>
                </c:pt>
                <c:pt idx="54">
                  <c:v>641</c:v>
                </c:pt>
                <c:pt idx="55">
                  <c:v>655</c:v>
                </c:pt>
                <c:pt idx="56">
                  <c:v>662</c:v>
                </c:pt>
                <c:pt idx="57">
                  <c:v>689</c:v>
                </c:pt>
                <c:pt idx="58">
                  <c:v>711</c:v>
                </c:pt>
                <c:pt idx="59">
                  <c:v>717</c:v>
                </c:pt>
                <c:pt idx="60">
                  <c:v>723</c:v>
                </c:pt>
                <c:pt idx="61">
                  <c:v>729</c:v>
                </c:pt>
                <c:pt idx="62">
                  <c:v>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C-497D-A01E-035B81E2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Jan. 2018'!$U$4:$U$5</c:f>
              <c:numCache>
                <c:formatCode>m/d/yyyy</c:formatCode>
                <c:ptCount val="2"/>
                <c:pt idx="0">
                  <c:v>43110</c:v>
                </c:pt>
                <c:pt idx="1">
                  <c:v>43110</c:v>
                </c:pt>
              </c:numCache>
            </c:numRef>
          </c:xVal>
          <c:yVal>
            <c:numRef>
              <c:f>'STEG - Jan. 2018'!$W$4:$W$5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C-497D-A01E-035B81E2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110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200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Jan. 2018'!$Q$17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5"/>
            <c:dispRSqr val="0"/>
            <c:dispEq val="0"/>
          </c:trendline>
          <c:cat>
            <c:numRef>
              <c:f>'STEG - Jan. 2018'!$G$18:$G$80</c:f>
              <c:numCache>
                <c:formatCode>d\-mmm</c:formatCode>
                <c:ptCount val="63"/>
                <c:pt idx="0">
                  <c:v>42983</c:v>
                </c:pt>
                <c:pt idx="1">
                  <c:v>42985</c:v>
                </c:pt>
                <c:pt idx="2">
                  <c:v>42990</c:v>
                </c:pt>
                <c:pt idx="3">
                  <c:v>42993</c:v>
                </c:pt>
                <c:pt idx="4">
                  <c:v>42994</c:v>
                </c:pt>
                <c:pt idx="5">
                  <c:v>42997</c:v>
                </c:pt>
                <c:pt idx="6">
                  <c:v>42998</c:v>
                </c:pt>
                <c:pt idx="7">
                  <c:v>43001</c:v>
                </c:pt>
                <c:pt idx="8">
                  <c:v>43003</c:v>
                </c:pt>
                <c:pt idx="9">
                  <c:v>43004</c:v>
                </c:pt>
                <c:pt idx="10">
                  <c:v>43005</c:v>
                </c:pt>
                <c:pt idx="11">
                  <c:v>43007</c:v>
                </c:pt>
                <c:pt idx="12">
                  <c:v>43011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43020</c:v>
                </c:pt>
                <c:pt idx="17">
                  <c:v>43024</c:v>
                </c:pt>
                <c:pt idx="18">
                  <c:v>43026</c:v>
                </c:pt>
                <c:pt idx="19">
                  <c:v>43030</c:v>
                </c:pt>
                <c:pt idx="20">
                  <c:v>43034</c:v>
                </c:pt>
                <c:pt idx="21">
                  <c:v>43038</c:v>
                </c:pt>
                <c:pt idx="22">
                  <c:v>43041</c:v>
                </c:pt>
                <c:pt idx="23">
                  <c:v>43042</c:v>
                </c:pt>
                <c:pt idx="24">
                  <c:v>43045</c:v>
                </c:pt>
                <c:pt idx="25">
                  <c:v>43049</c:v>
                </c:pt>
                <c:pt idx="26">
                  <c:v>43050</c:v>
                </c:pt>
                <c:pt idx="27">
                  <c:v>43052</c:v>
                </c:pt>
                <c:pt idx="28">
                  <c:v>43053</c:v>
                </c:pt>
                <c:pt idx="29">
                  <c:v>43055</c:v>
                </c:pt>
                <c:pt idx="30">
                  <c:v>43060</c:v>
                </c:pt>
                <c:pt idx="31">
                  <c:v>43061</c:v>
                </c:pt>
                <c:pt idx="32">
                  <c:v>43062</c:v>
                </c:pt>
                <c:pt idx="33">
                  <c:v>43063</c:v>
                </c:pt>
                <c:pt idx="34">
                  <c:v>43064</c:v>
                </c:pt>
                <c:pt idx="35">
                  <c:v>43068</c:v>
                </c:pt>
                <c:pt idx="36">
                  <c:v>43072</c:v>
                </c:pt>
                <c:pt idx="37">
                  <c:v>43074</c:v>
                </c:pt>
                <c:pt idx="38">
                  <c:v>43075</c:v>
                </c:pt>
                <c:pt idx="39">
                  <c:v>43076</c:v>
                </c:pt>
                <c:pt idx="40">
                  <c:v>43078</c:v>
                </c:pt>
                <c:pt idx="41">
                  <c:v>43079</c:v>
                </c:pt>
                <c:pt idx="42">
                  <c:v>43080</c:v>
                </c:pt>
                <c:pt idx="43">
                  <c:v>43081</c:v>
                </c:pt>
                <c:pt idx="44">
                  <c:v>43082</c:v>
                </c:pt>
                <c:pt idx="45">
                  <c:v>43083</c:v>
                </c:pt>
                <c:pt idx="46">
                  <c:v>43084</c:v>
                </c:pt>
                <c:pt idx="47">
                  <c:v>43085</c:v>
                </c:pt>
                <c:pt idx="48">
                  <c:v>43087</c:v>
                </c:pt>
                <c:pt idx="49">
                  <c:v>43088</c:v>
                </c:pt>
                <c:pt idx="50">
                  <c:v>43089</c:v>
                </c:pt>
                <c:pt idx="51">
                  <c:v>43090</c:v>
                </c:pt>
                <c:pt idx="52">
                  <c:v>43092</c:v>
                </c:pt>
                <c:pt idx="53">
                  <c:v>43096</c:v>
                </c:pt>
                <c:pt idx="54">
                  <c:v>43097</c:v>
                </c:pt>
                <c:pt idx="55">
                  <c:v>43099</c:v>
                </c:pt>
                <c:pt idx="56">
                  <c:v>43100</c:v>
                </c:pt>
                <c:pt idx="57">
                  <c:v>43104</c:v>
                </c:pt>
                <c:pt idx="58">
                  <c:v>43108</c:v>
                </c:pt>
                <c:pt idx="59">
                  <c:v>43109</c:v>
                </c:pt>
                <c:pt idx="60">
                  <c:v>43110</c:v>
                </c:pt>
                <c:pt idx="61">
                  <c:v>43111</c:v>
                </c:pt>
                <c:pt idx="62">
                  <c:v>43112</c:v>
                </c:pt>
              </c:numCache>
            </c:numRef>
          </c:cat>
          <c:val>
            <c:numRef>
              <c:f>'STEG - Jan. 2018'!$Q$18:$Q$80</c:f>
              <c:numCache>
                <c:formatCode>General</c:formatCode>
                <c:ptCount val="63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10</c:v>
                </c:pt>
                <c:pt idx="4">
                  <c:v>10</c:v>
                </c:pt>
                <c:pt idx="5">
                  <c:v>13</c:v>
                </c:pt>
                <c:pt idx="6">
                  <c:v>14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28</c:v>
                </c:pt>
                <c:pt idx="13">
                  <c:v>31</c:v>
                </c:pt>
                <c:pt idx="14">
                  <c:v>34</c:v>
                </c:pt>
                <c:pt idx="15">
                  <c:v>35</c:v>
                </c:pt>
                <c:pt idx="16">
                  <c:v>38</c:v>
                </c:pt>
                <c:pt idx="17">
                  <c:v>43</c:v>
                </c:pt>
                <c:pt idx="18">
                  <c:v>45</c:v>
                </c:pt>
                <c:pt idx="19">
                  <c:v>49</c:v>
                </c:pt>
                <c:pt idx="20">
                  <c:v>54</c:v>
                </c:pt>
                <c:pt idx="21">
                  <c:v>60</c:v>
                </c:pt>
                <c:pt idx="22">
                  <c:v>64</c:v>
                </c:pt>
                <c:pt idx="23">
                  <c:v>65</c:v>
                </c:pt>
                <c:pt idx="24">
                  <c:v>71</c:v>
                </c:pt>
                <c:pt idx="25">
                  <c:v>75</c:v>
                </c:pt>
                <c:pt idx="26">
                  <c:v>82</c:v>
                </c:pt>
                <c:pt idx="27">
                  <c:v>96</c:v>
                </c:pt>
                <c:pt idx="28">
                  <c:v>102</c:v>
                </c:pt>
                <c:pt idx="29">
                  <c:v>119</c:v>
                </c:pt>
                <c:pt idx="30">
                  <c:v>176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205</c:v>
                </c:pt>
                <c:pt idx="35">
                  <c:v>233</c:v>
                </c:pt>
                <c:pt idx="36">
                  <c:v>255</c:v>
                </c:pt>
                <c:pt idx="37">
                  <c:v>274</c:v>
                </c:pt>
                <c:pt idx="38">
                  <c:v>283</c:v>
                </c:pt>
                <c:pt idx="39">
                  <c:v>294</c:v>
                </c:pt>
                <c:pt idx="40">
                  <c:v>311</c:v>
                </c:pt>
                <c:pt idx="41">
                  <c:v>318</c:v>
                </c:pt>
                <c:pt idx="42">
                  <c:v>325</c:v>
                </c:pt>
                <c:pt idx="43">
                  <c:v>331</c:v>
                </c:pt>
                <c:pt idx="44">
                  <c:v>336</c:v>
                </c:pt>
                <c:pt idx="45">
                  <c:v>343</c:v>
                </c:pt>
                <c:pt idx="46">
                  <c:v>349</c:v>
                </c:pt>
                <c:pt idx="47">
                  <c:v>354</c:v>
                </c:pt>
                <c:pt idx="48">
                  <c:v>376</c:v>
                </c:pt>
                <c:pt idx="49">
                  <c:v>387</c:v>
                </c:pt>
                <c:pt idx="50">
                  <c:v>399</c:v>
                </c:pt>
                <c:pt idx="51">
                  <c:v>408</c:v>
                </c:pt>
                <c:pt idx="52">
                  <c:v>425</c:v>
                </c:pt>
                <c:pt idx="53">
                  <c:v>456</c:v>
                </c:pt>
                <c:pt idx="54">
                  <c:v>464</c:v>
                </c:pt>
                <c:pt idx="55">
                  <c:v>480</c:v>
                </c:pt>
                <c:pt idx="56">
                  <c:v>489</c:v>
                </c:pt>
                <c:pt idx="57">
                  <c:v>520</c:v>
                </c:pt>
                <c:pt idx="58">
                  <c:v>540</c:v>
                </c:pt>
                <c:pt idx="59">
                  <c:v>545</c:v>
                </c:pt>
                <c:pt idx="60">
                  <c:v>556</c:v>
                </c:pt>
                <c:pt idx="61">
                  <c:v>563</c:v>
                </c:pt>
                <c:pt idx="62">
                  <c:v>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35-4473-AF91-6BD5C519C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Jan. 2018'!$U$4:$U$5</c:f>
              <c:numCache>
                <c:formatCode>m/d/yyyy</c:formatCode>
                <c:ptCount val="2"/>
                <c:pt idx="0">
                  <c:v>43110</c:v>
                </c:pt>
                <c:pt idx="1">
                  <c:v>43110</c:v>
                </c:pt>
              </c:numCache>
            </c:numRef>
          </c:xVal>
          <c:yVal>
            <c:numRef>
              <c:f>'STEG - Jan. 2018'!$W$4:$W$5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35-4473-AF91-6BD5C519C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110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7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2018'!$F$17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May 2018'!$G$18:$G$39</c:f>
              <c:numCache>
                <c:formatCode>d\-mmm</c:formatCode>
                <c:ptCount val="22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43118</c:v>
                </c:pt>
                <c:pt idx="6">
                  <c:v>43122</c:v>
                </c:pt>
                <c:pt idx="7">
                  <c:v>43123</c:v>
                </c:pt>
                <c:pt idx="8">
                  <c:v>43125</c:v>
                </c:pt>
                <c:pt idx="9">
                  <c:v>43130</c:v>
                </c:pt>
                <c:pt idx="10">
                  <c:v>43132</c:v>
                </c:pt>
                <c:pt idx="11">
                  <c:v>43138</c:v>
                </c:pt>
                <c:pt idx="12">
                  <c:v>43139</c:v>
                </c:pt>
                <c:pt idx="13">
                  <c:v>43144</c:v>
                </c:pt>
                <c:pt idx="14">
                  <c:v>43145</c:v>
                </c:pt>
                <c:pt idx="15">
                  <c:v>43151</c:v>
                </c:pt>
                <c:pt idx="16">
                  <c:v>43180</c:v>
                </c:pt>
                <c:pt idx="17">
                  <c:v>43197</c:v>
                </c:pt>
                <c:pt idx="18">
                  <c:v>43198</c:v>
                </c:pt>
                <c:pt idx="19">
                  <c:v>43204</c:v>
                </c:pt>
                <c:pt idx="20">
                  <c:v>43209</c:v>
                </c:pt>
                <c:pt idx="21">
                  <c:v>43223</c:v>
                </c:pt>
              </c:numCache>
            </c:numRef>
          </c:cat>
          <c:val>
            <c:numRef>
              <c:f>'STEG - May 2018'!$F$18:$F$39</c:f>
              <c:numCache>
                <c:formatCode>General</c:formatCode>
                <c:ptCount val="22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38</c:v>
                </c:pt>
                <c:pt idx="5">
                  <c:v>51</c:v>
                </c:pt>
                <c:pt idx="6">
                  <c:v>75</c:v>
                </c:pt>
                <c:pt idx="7">
                  <c:v>81</c:v>
                </c:pt>
                <c:pt idx="8">
                  <c:v>100</c:v>
                </c:pt>
                <c:pt idx="9">
                  <c:v>125</c:v>
                </c:pt>
                <c:pt idx="10">
                  <c:v>139</c:v>
                </c:pt>
                <c:pt idx="11">
                  <c:v>180</c:v>
                </c:pt>
                <c:pt idx="12">
                  <c:v>186</c:v>
                </c:pt>
                <c:pt idx="13">
                  <c:v>219</c:v>
                </c:pt>
                <c:pt idx="14">
                  <c:v>226</c:v>
                </c:pt>
                <c:pt idx="15">
                  <c:v>262</c:v>
                </c:pt>
                <c:pt idx="16">
                  <c:v>454</c:v>
                </c:pt>
                <c:pt idx="17">
                  <c:v>550</c:v>
                </c:pt>
                <c:pt idx="18">
                  <c:v>553</c:v>
                </c:pt>
                <c:pt idx="19">
                  <c:v>586</c:v>
                </c:pt>
                <c:pt idx="20">
                  <c:v>611</c:v>
                </c:pt>
                <c:pt idx="21">
                  <c:v>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79-42C1-821E-E3D04E930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2018'!$U$4:$U$5</c:f>
              <c:numCache>
                <c:formatCode>m/d/yyyy</c:formatCode>
                <c:ptCount val="2"/>
                <c:pt idx="0">
                  <c:v>43223</c:v>
                </c:pt>
                <c:pt idx="1">
                  <c:v>43223</c:v>
                </c:pt>
              </c:numCache>
            </c:numRef>
          </c:xVal>
          <c:yVal>
            <c:numRef>
              <c:f>'STEG - May 2018'!$X$4:$X$5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79-42C1-821E-E3D04E930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225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  <c:max val="1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2018'!$Q$17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May 2018'!$G$18:$G$39</c:f>
              <c:numCache>
                <c:formatCode>d\-mmm</c:formatCode>
                <c:ptCount val="22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43118</c:v>
                </c:pt>
                <c:pt idx="6">
                  <c:v>43122</c:v>
                </c:pt>
                <c:pt idx="7">
                  <c:v>43123</c:v>
                </c:pt>
                <c:pt idx="8">
                  <c:v>43125</c:v>
                </c:pt>
                <c:pt idx="9">
                  <c:v>43130</c:v>
                </c:pt>
                <c:pt idx="10">
                  <c:v>43132</c:v>
                </c:pt>
                <c:pt idx="11">
                  <c:v>43138</c:v>
                </c:pt>
                <c:pt idx="12">
                  <c:v>43139</c:v>
                </c:pt>
                <c:pt idx="13">
                  <c:v>43144</c:v>
                </c:pt>
                <c:pt idx="14">
                  <c:v>43145</c:v>
                </c:pt>
                <c:pt idx="15">
                  <c:v>43151</c:v>
                </c:pt>
                <c:pt idx="16">
                  <c:v>43180</c:v>
                </c:pt>
                <c:pt idx="17">
                  <c:v>43197</c:v>
                </c:pt>
                <c:pt idx="18">
                  <c:v>43198</c:v>
                </c:pt>
                <c:pt idx="19">
                  <c:v>43204</c:v>
                </c:pt>
                <c:pt idx="20">
                  <c:v>43209</c:v>
                </c:pt>
                <c:pt idx="21">
                  <c:v>43223</c:v>
                </c:pt>
              </c:numCache>
            </c:numRef>
          </c:cat>
          <c:val>
            <c:numRef>
              <c:f>'STEG - May 2018'!$Q$18:$Q$39</c:f>
              <c:numCache>
                <c:formatCode>General</c:formatCode>
                <c:ptCount val="22"/>
                <c:pt idx="0">
                  <c:v>0</c:v>
                </c:pt>
                <c:pt idx="1">
                  <c:v>7</c:v>
                </c:pt>
                <c:pt idx="2">
                  <c:v>18</c:v>
                </c:pt>
                <c:pt idx="3">
                  <c:v>28</c:v>
                </c:pt>
                <c:pt idx="4">
                  <c:v>56</c:v>
                </c:pt>
                <c:pt idx="5">
                  <c:v>76</c:v>
                </c:pt>
                <c:pt idx="6">
                  <c:v>113</c:v>
                </c:pt>
                <c:pt idx="7">
                  <c:v>120</c:v>
                </c:pt>
                <c:pt idx="8">
                  <c:v>144</c:v>
                </c:pt>
                <c:pt idx="9">
                  <c:v>177</c:v>
                </c:pt>
                <c:pt idx="10">
                  <c:v>199</c:v>
                </c:pt>
                <c:pt idx="11">
                  <c:v>260</c:v>
                </c:pt>
                <c:pt idx="12">
                  <c:v>271</c:v>
                </c:pt>
                <c:pt idx="13">
                  <c:v>326</c:v>
                </c:pt>
                <c:pt idx="14">
                  <c:v>340</c:v>
                </c:pt>
                <c:pt idx="15">
                  <c:v>410</c:v>
                </c:pt>
                <c:pt idx="16">
                  <c:v>659</c:v>
                </c:pt>
                <c:pt idx="17">
                  <c:v>789</c:v>
                </c:pt>
                <c:pt idx="18">
                  <c:v>790</c:v>
                </c:pt>
                <c:pt idx="19">
                  <c:v>820</c:v>
                </c:pt>
                <c:pt idx="20">
                  <c:v>828</c:v>
                </c:pt>
                <c:pt idx="21">
                  <c:v>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8-4C4F-8E43-44D18BC2A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2018'!$U$4:$U$5</c:f>
              <c:numCache>
                <c:formatCode>m/d/yyyy</c:formatCode>
                <c:ptCount val="2"/>
                <c:pt idx="0">
                  <c:v>43223</c:v>
                </c:pt>
                <c:pt idx="1">
                  <c:v>43223</c:v>
                </c:pt>
              </c:numCache>
            </c:numRef>
          </c:xVal>
          <c:yVal>
            <c:numRef>
              <c:f>'STEG - May 2018'!$X$4:$X$5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28-4C4F-8E43-44D18BC2A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May 2018'!$W$17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May 2018'!$G$18:$G$39</c:f>
              <c:numCache>
                <c:formatCode>d\-mmm</c:formatCode>
                <c:ptCount val="22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43118</c:v>
                </c:pt>
                <c:pt idx="6">
                  <c:v>43122</c:v>
                </c:pt>
                <c:pt idx="7">
                  <c:v>43123</c:v>
                </c:pt>
                <c:pt idx="8">
                  <c:v>43125</c:v>
                </c:pt>
                <c:pt idx="9">
                  <c:v>43130</c:v>
                </c:pt>
                <c:pt idx="10">
                  <c:v>43132</c:v>
                </c:pt>
                <c:pt idx="11">
                  <c:v>43138</c:v>
                </c:pt>
                <c:pt idx="12">
                  <c:v>43139</c:v>
                </c:pt>
                <c:pt idx="13">
                  <c:v>43144</c:v>
                </c:pt>
                <c:pt idx="14">
                  <c:v>43145</c:v>
                </c:pt>
                <c:pt idx="15">
                  <c:v>43151</c:v>
                </c:pt>
                <c:pt idx="16">
                  <c:v>43180</c:v>
                </c:pt>
                <c:pt idx="17">
                  <c:v>43197</c:v>
                </c:pt>
                <c:pt idx="18">
                  <c:v>43198</c:v>
                </c:pt>
                <c:pt idx="19">
                  <c:v>43204</c:v>
                </c:pt>
                <c:pt idx="20">
                  <c:v>43209</c:v>
                </c:pt>
                <c:pt idx="21">
                  <c:v>43223</c:v>
                </c:pt>
              </c:numCache>
            </c:numRef>
          </c:cat>
          <c:val>
            <c:numRef>
              <c:f>'STEG - May 2018'!$W$18:$W$39</c:f>
              <c:numCache>
                <c:formatCode>0.00</c:formatCode>
                <c:ptCount val="22"/>
                <c:pt idx="0">
                  <c:v>26.756</c:v>
                </c:pt>
                <c:pt idx="1">
                  <c:v>29.475899999999999</c:v>
                </c:pt>
                <c:pt idx="2">
                  <c:v>34.09796</c:v>
                </c:pt>
                <c:pt idx="3">
                  <c:v>38.44744</c:v>
                </c:pt>
                <c:pt idx="4">
                  <c:v>49.732959999999999</c:v>
                </c:pt>
                <c:pt idx="5">
                  <c:v>57.823039999999999</c:v>
                </c:pt>
                <c:pt idx="6">
                  <c:v>72.779539999999997</c:v>
                </c:pt>
                <c:pt idx="7">
                  <c:v>75.905360000000002</c:v>
                </c:pt>
                <c:pt idx="8">
                  <c:v>96.328799999999987</c:v>
                </c:pt>
                <c:pt idx="9">
                  <c:v>112.69539999999999</c:v>
                </c:pt>
                <c:pt idx="10">
                  <c:v>123.06523999999999</c:v>
                </c:pt>
                <c:pt idx="11">
                  <c:v>178.33879999999999</c:v>
                </c:pt>
                <c:pt idx="12">
                  <c:v>184.42406000000003</c:v>
                </c:pt>
                <c:pt idx="13">
                  <c:v>215.45923999999999</c:v>
                </c:pt>
                <c:pt idx="14">
                  <c:v>223.07496</c:v>
                </c:pt>
                <c:pt idx="15">
                  <c:v>261.35651999999999</c:v>
                </c:pt>
                <c:pt idx="16">
                  <c:v>460.27501999999998</c:v>
                </c:pt>
                <c:pt idx="17">
                  <c:v>547.10177999999996</c:v>
                </c:pt>
                <c:pt idx="18">
                  <c:v>548.22867999999994</c:v>
                </c:pt>
                <c:pt idx="19">
                  <c:v>570.46695999999997</c:v>
                </c:pt>
                <c:pt idx="20">
                  <c:v>579.68511999999998</c:v>
                </c:pt>
                <c:pt idx="21">
                  <c:v>601.68385999999987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7-4C97-BEFF-CF45E24B5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May 2018'!$W$17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May 2018'!$G$18:$G$39</c:f>
              <c:numCache>
                <c:formatCode>d\-mmm</c:formatCode>
                <c:ptCount val="22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43118</c:v>
                </c:pt>
                <c:pt idx="6">
                  <c:v>43122</c:v>
                </c:pt>
                <c:pt idx="7">
                  <c:v>43123</c:v>
                </c:pt>
                <c:pt idx="8">
                  <c:v>43125</c:v>
                </c:pt>
                <c:pt idx="9">
                  <c:v>43130</c:v>
                </c:pt>
                <c:pt idx="10">
                  <c:v>43132</c:v>
                </c:pt>
                <c:pt idx="11">
                  <c:v>43138</c:v>
                </c:pt>
                <c:pt idx="12">
                  <c:v>43139</c:v>
                </c:pt>
                <c:pt idx="13">
                  <c:v>43144</c:v>
                </c:pt>
                <c:pt idx="14">
                  <c:v>43145</c:v>
                </c:pt>
                <c:pt idx="15">
                  <c:v>43151</c:v>
                </c:pt>
                <c:pt idx="16">
                  <c:v>43180</c:v>
                </c:pt>
                <c:pt idx="17">
                  <c:v>43197</c:v>
                </c:pt>
                <c:pt idx="18">
                  <c:v>43198</c:v>
                </c:pt>
                <c:pt idx="19">
                  <c:v>43204</c:v>
                </c:pt>
                <c:pt idx="20">
                  <c:v>43209</c:v>
                </c:pt>
                <c:pt idx="21">
                  <c:v>43223</c:v>
                </c:pt>
              </c:numCache>
            </c:numRef>
          </c:cat>
          <c:val>
            <c:numRef>
              <c:f>'STEG - May 2018'!$W$18:$W$39</c:f>
              <c:numCache>
                <c:formatCode>0.00</c:formatCode>
                <c:ptCount val="22"/>
                <c:pt idx="0">
                  <c:v>26.756</c:v>
                </c:pt>
                <c:pt idx="1">
                  <c:v>29.475899999999999</c:v>
                </c:pt>
                <c:pt idx="2">
                  <c:v>34.09796</c:v>
                </c:pt>
                <c:pt idx="3">
                  <c:v>38.44744</c:v>
                </c:pt>
                <c:pt idx="4">
                  <c:v>49.732959999999999</c:v>
                </c:pt>
                <c:pt idx="5">
                  <c:v>57.823039999999999</c:v>
                </c:pt>
                <c:pt idx="6">
                  <c:v>72.779539999999997</c:v>
                </c:pt>
                <c:pt idx="7">
                  <c:v>75.905360000000002</c:v>
                </c:pt>
                <c:pt idx="8">
                  <c:v>96.328799999999987</c:v>
                </c:pt>
                <c:pt idx="9">
                  <c:v>112.69539999999999</c:v>
                </c:pt>
                <c:pt idx="10">
                  <c:v>123.06523999999999</c:v>
                </c:pt>
                <c:pt idx="11">
                  <c:v>178.33879999999999</c:v>
                </c:pt>
                <c:pt idx="12">
                  <c:v>184.42406000000003</c:v>
                </c:pt>
                <c:pt idx="13">
                  <c:v>215.45923999999999</c:v>
                </c:pt>
                <c:pt idx="14">
                  <c:v>223.07496</c:v>
                </c:pt>
                <c:pt idx="15">
                  <c:v>261.35651999999999</c:v>
                </c:pt>
                <c:pt idx="16">
                  <c:v>460.27501999999998</c:v>
                </c:pt>
                <c:pt idx="17">
                  <c:v>547.10177999999996</c:v>
                </c:pt>
                <c:pt idx="18">
                  <c:v>548.22867999999994</c:v>
                </c:pt>
                <c:pt idx="19">
                  <c:v>570.46695999999997</c:v>
                </c:pt>
                <c:pt idx="20">
                  <c:v>579.68511999999998</c:v>
                </c:pt>
                <c:pt idx="21">
                  <c:v>601.68385999999987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B7-4C97-BEFF-CF45E24B5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'STEG - May 2018'!$U$4:$U$5</c:f>
              <c:numCache>
                <c:formatCode>m/d/yyyy</c:formatCode>
                <c:ptCount val="2"/>
                <c:pt idx="0">
                  <c:v>43223</c:v>
                </c:pt>
                <c:pt idx="1">
                  <c:v>43223</c:v>
                </c:pt>
              </c:numCache>
            </c:numRef>
          </c:xVal>
          <c:yVal>
            <c:numRef>
              <c:f>'STEG - May 2018'!$W$4:$W$5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B7-4C97-BEFF-CF45E24B5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4328"/>
        <c:axId val="373333344"/>
      </c:scatterChart>
      <c:dateAx>
        <c:axId val="373334328"/>
        <c:scaling>
          <c:orientation val="minMax"/>
          <c:max val="43225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75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75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 2018'!$F$17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Sep 2018'!$G$18:$G$32</c:f>
              <c:numCache>
                <c:formatCode>d\-mmm</c:formatCode>
                <c:ptCount val="15"/>
                <c:pt idx="0">
                  <c:v>43223</c:v>
                </c:pt>
                <c:pt idx="1">
                  <c:v>43225</c:v>
                </c:pt>
                <c:pt idx="2">
                  <c:v>43237</c:v>
                </c:pt>
                <c:pt idx="3">
                  <c:v>43239</c:v>
                </c:pt>
                <c:pt idx="4">
                  <c:v>43242</c:v>
                </c:pt>
                <c:pt idx="5">
                  <c:v>43243</c:v>
                </c:pt>
                <c:pt idx="6">
                  <c:v>43249</c:v>
                </c:pt>
                <c:pt idx="7">
                  <c:v>43250</c:v>
                </c:pt>
                <c:pt idx="8">
                  <c:v>43255</c:v>
                </c:pt>
                <c:pt idx="9">
                  <c:v>43264</c:v>
                </c:pt>
                <c:pt idx="10">
                  <c:v>43279</c:v>
                </c:pt>
                <c:pt idx="11">
                  <c:v>43296</c:v>
                </c:pt>
                <c:pt idx="12">
                  <c:v>43299</c:v>
                </c:pt>
                <c:pt idx="13">
                  <c:v>43329</c:v>
                </c:pt>
                <c:pt idx="14">
                  <c:v>43346</c:v>
                </c:pt>
              </c:numCache>
            </c:numRef>
          </c:cat>
          <c:val>
            <c:numRef>
              <c:f>'STEG - Sep 2018'!$F$18:$F$32</c:f>
              <c:numCache>
                <c:formatCode>General</c:formatCode>
                <c:ptCount val="15"/>
                <c:pt idx="0">
                  <c:v>0</c:v>
                </c:pt>
                <c:pt idx="1">
                  <c:v>3</c:v>
                </c:pt>
                <c:pt idx="2">
                  <c:v>68</c:v>
                </c:pt>
                <c:pt idx="3">
                  <c:v>82</c:v>
                </c:pt>
                <c:pt idx="4">
                  <c:v>99</c:v>
                </c:pt>
                <c:pt idx="5">
                  <c:v>106</c:v>
                </c:pt>
                <c:pt idx="6">
                  <c:v>135</c:v>
                </c:pt>
                <c:pt idx="7">
                  <c:v>142</c:v>
                </c:pt>
                <c:pt idx="8">
                  <c:v>176</c:v>
                </c:pt>
                <c:pt idx="9">
                  <c:v>229</c:v>
                </c:pt>
                <c:pt idx="10">
                  <c:v>283</c:v>
                </c:pt>
                <c:pt idx="11">
                  <c:v>560</c:v>
                </c:pt>
                <c:pt idx="12">
                  <c:v>612</c:v>
                </c:pt>
                <c:pt idx="13">
                  <c:v>926</c:v>
                </c:pt>
                <c:pt idx="14">
                  <c:v>1074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14-42DA-9F06-E683E87A2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 2018'!$U$4:$U$5</c:f>
              <c:numCache>
                <c:formatCode>m/d/yyyy</c:formatCode>
                <c:ptCount val="2"/>
                <c:pt idx="0">
                  <c:v>43346</c:v>
                </c:pt>
                <c:pt idx="1">
                  <c:v>43346</c:v>
                </c:pt>
              </c:numCache>
            </c:numRef>
          </c:xVal>
          <c:yVal>
            <c:numRef>
              <c:f>'STEG - Sep 2018'!$X$4:$X$5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14-42DA-9F06-E683E87A2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352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  <c:max val="1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 2018'!$Q$17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Sep 2018'!$G$18:$G$32</c:f>
              <c:numCache>
                <c:formatCode>d\-mmm</c:formatCode>
                <c:ptCount val="15"/>
                <c:pt idx="0">
                  <c:v>43223</c:v>
                </c:pt>
                <c:pt idx="1">
                  <c:v>43225</c:v>
                </c:pt>
                <c:pt idx="2">
                  <c:v>43237</c:v>
                </c:pt>
                <c:pt idx="3">
                  <c:v>43239</c:v>
                </c:pt>
                <c:pt idx="4">
                  <c:v>43242</c:v>
                </c:pt>
                <c:pt idx="5">
                  <c:v>43243</c:v>
                </c:pt>
                <c:pt idx="6">
                  <c:v>43249</c:v>
                </c:pt>
                <c:pt idx="7">
                  <c:v>43250</c:v>
                </c:pt>
                <c:pt idx="8">
                  <c:v>43255</c:v>
                </c:pt>
                <c:pt idx="9">
                  <c:v>43264</c:v>
                </c:pt>
                <c:pt idx="10">
                  <c:v>43279</c:v>
                </c:pt>
                <c:pt idx="11">
                  <c:v>43296</c:v>
                </c:pt>
                <c:pt idx="12">
                  <c:v>43299</c:v>
                </c:pt>
                <c:pt idx="13">
                  <c:v>43329</c:v>
                </c:pt>
                <c:pt idx="14">
                  <c:v>43346</c:v>
                </c:pt>
              </c:numCache>
            </c:numRef>
          </c:cat>
          <c:val>
            <c:numRef>
              <c:f>'STEG - Sep 2018'!$Q$18:$Q$32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20</c:v>
                </c:pt>
                <c:pt idx="4">
                  <c:v>25</c:v>
                </c:pt>
                <c:pt idx="5">
                  <c:v>27</c:v>
                </c:pt>
                <c:pt idx="6">
                  <c:v>33</c:v>
                </c:pt>
                <c:pt idx="7">
                  <c:v>34</c:v>
                </c:pt>
                <c:pt idx="8">
                  <c:v>40</c:v>
                </c:pt>
                <c:pt idx="9">
                  <c:v>48</c:v>
                </c:pt>
                <c:pt idx="10">
                  <c:v>54</c:v>
                </c:pt>
                <c:pt idx="11">
                  <c:v>71</c:v>
                </c:pt>
                <c:pt idx="12">
                  <c:v>74</c:v>
                </c:pt>
                <c:pt idx="13">
                  <c:v>93</c:v>
                </c:pt>
                <c:pt idx="14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5-442E-A021-C2814DDF2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 2018'!$U$4:$U$5</c:f>
              <c:numCache>
                <c:formatCode>m/d/yyyy</c:formatCode>
                <c:ptCount val="2"/>
                <c:pt idx="0">
                  <c:v>43346</c:v>
                </c:pt>
                <c:pt idx="1">
                  <c:v>43346</c:v>
                </c:pt>
              </c:numCache>
            </c:numRef>
          </c:xVal>
          <c:yVal>
            <c:numRef>
              <c:f>'STEG - Sep 2018'!$X$4:$X$5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B5-442E-A021-C2814DDF2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350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Sep 2018'!$W$17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Sep 2018'!$G$18:$G$32</c:f>
              <c:numCache>
                <c:formatCode>d\-mmm</c:formatCode>
                <c:ptCount val="15"/>
                <c:pt idx="0">
                  <c:v>43223</c:v>
                </c:pt>
                <c:pt idx="1">
                  <c:v>43225</c:v>
                </c:pt>
                <c:pt idx="2">
                  <c:v>43237</c:v>
                </c:pt>
                <c:pt idx="3">
                  <c:v>43239</c:v>
                </c:pt>
                <c:pt idx="4">
                  <c:v>43242</c:v>
                </c:pt>
                <c:pt idx="5">
                  <c:v>43243</c:v>
                </c:pt>
                <c:pt idx="6">
                  <c:v>43249</c:v>
                </c:pt>
                <c:pt idx="7">
                  <c:v>43250</c:v>
                </c:pt>
                <c:pt idx="8">
                  <c:v>43255</c:v>
                </c:pt>
                <c:pt idx="9">
                  <c:v>43264</c:v>
                </c:pt>
                <c:pt idx="10">
                  <c:v>43279</c:v>
                </c:pt>
                <c:pt idx="11">
                  <c:v>43296</c:v>
                </c:pt>
                <c:pt idx="12">
                  <c:v>43299</c:v>
                </c:pt>
                <c:pt idx="13">
                  <c:v>43329</c:v>
                </c:pt>
                <c:pt idx="14">
                  <c:v>43346</c:v>
                </c:pt>
              </c:numCache>
            </c:numRef>
          </c:cat>
          <c:val>
            <c:numRef>
              <c:f>'STEG - Sep 2018'!$W$18:$W$32</c:f>
              <c:numCache>
                <c:formatCode>0.00</c:formatCode>
                <c:ptCount val="15"/>
                <c:pt idx="0">
                  <c:v>26.756</c:v>
                </c:pt>
                <c:pt idx="1">
                  <c:v>28.48706</c:v>
                </c:pt>
                <c:pt idx="2">
                  <c:v>45.640720000000002</c:v>
                </c:pt>
                <c:pt idx="3">
                  <c:v>49.72115999999999</c:v>
                </c:pt>
                <c:pt idx="4">
                  <c:v>54.714919999999999</c:v>
                </c:pt>
                <c:pt idx="5">
                  <c:v>56.755139999999997</c:v>
                </c:pt>
                <c:pt idx="6">
                  <c:v>64.584440000000001</c:v>
                </c:pt>
                <c:pt idx="7">
                  <c:v>66.352080000000001</c:v>
                </c:pt>
                <c:pt idx="8">
                  <c:v>75.249279999999999</c:v>
                </c:pt>
                <c:pt idx="9">
                  <c:v>88.749659999999992</c:v>
                </c:pt>
                <c:pt idx="10">
                  <c:v>101.91846</c:v>
                </c:pt>
                <c:pt idx="11">
                  <c:v>165.71397999999999</c:v>
                </c:pt>
                <c:pt idx="12">
                  <c:v>177.63788000000002</c:v>
                </c:pt>
                <c:pt idx="13">
                  <c:v>256.12557999999996</c:v>
                </c:pt>
                <c:pt idx="14">
                  <c:v>299.15899999999993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4-4466-ADB5-0CB78D42B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Sep 2018'!$W$17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Sep 2018'!$G$18:$G$32</c:f>
              <c:numCache>
                <c:formatCode>d\-mmm</c:formatCode>
                <c:ptCount val="15"/>
                <c:pt idx="0">
                  <c:v>43223</c:v>
                </c:pt>
                <c:pt idx="1">
                  <c:v>43225</c:v>
                </c:pt>
                <c:pt idx="2">
                  <c:v>43237</c:v>
                </c:pt>
                <c:pt idx="3">
                  <c:v>43239</c:v>
                </c:pt>
                <c:pt idx="4">
                  <c:v>43242</c:v>
                </c:pt>
                <c:pt idx="5">
                  <c:v>43243</c:v>
                </c:pt>
                <c:pt idx="6">
                  <c:v>43249</c:v>
                </c:pt>
                <c:pt idx="7">
                  <c:v>43250</c:v>
                </c:pt>
                <c:pt idx="8">
                  <c:v>43255</c:v>
                </c:pt>
                <c:pt idx="9">
                  <c:v>43264</c:v>
                </c:pt>
                <c:pt idx="10">
                  <c:v>43279</c:v>
                </c:pt>
                <c:pt idx="11">
                  <c:v>43296</c:v>
                </c:pt>
                <c:pt idx="12">
                  <c:v>43299</c:v>
                </c:pt>
                <c:pt idx="13">
                  <c:v>43329</c:v>
                </c:pt>
                <c:pt idx="14">
                  <c:v>43346</c:v>
                </c:pt>
              </c:numCache>
            </c:numRef>
          </c:cat>
          <c:val>
            <c:numRef>
              <c:f>'STEG - Sep 2018'!$W$18:$W$32</c:f>
              <c:numCache>
                <c:formatCode>0.00</c:formatCode>
                <c:ptCount val="15"/>
                <c:pt idx="0">
                  <c:v>26.756</c:v>
                </c:pt>
                <c:pt idx="1">
                  <c:v>28.48706</c:v>
                </c:pt>
                <c:pt idx="2">
                  <c:v>45.640720000000002</c:v>
                </c:pt>
                <c:pt idx="3">
                  <c:v>49.72115999999999</c:v>
                </c:pt>
                <c:pt idx="4">
                  <c:v>54.714919999999999</c:v>
                </c:pt>
                <c:pt idx="5">
                  <c:v>56.755139999999997</c:v>
                </c:pt>
                <c:pt idx="6">
                  <c:v>64.584440000000001</c:v>
                </c:pt>
                <c:pt idx="7">
                  <c:v>66.352080000000001</c:v>
                </c:pt>
                <c:pt idx="8">
                  <c:v>75.249279999999999</c:v>
                </c:pt>
                <c:pt idx="9">
                  <c:v>88.749659999999992</c:v>
                </c:pt>
                <c:pt idx="10">
                  <c:v>101.91846</c:v>
                </c:pt>
                <c:pt idx="11">
                  <c:v>165.71397999999999</c:v>
                </c:pt>
                <c:pt idx="12">
                  <c:v>177.63788000000002</c:v>
                </c:pt>
                <c:pt idx="13">
                  <c:v>256.12557999999996</c:v>
                </c:pt>
                <c:pt idx="14">
                  <c:v>299.15899999999993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B4-4466-ADB5-0CB78D42B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'STEG - Sep 2018'!$U$4:$U$5</c:f>
              <c:numCache>
                <c:formatCode>m/d/yyyy</c:formatCode>
                <c:ptCount val="2"/>
                <c:pt idx="0">
                  <c:v>43346</c:v>
                </c:pt>
                <c:pt idx="1">
                  <c:v>43346</c:v>
                </c:pt>
              </c:numCache>
            </c:numRef>
          </c:xVal>
          <c:yVal>
            <c:numRef>
              <c:f>'STEG - Sep 2018'!$W$4:$W$5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3B4-4466-ADB5-0CB78D42B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3352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5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 2019'!$F$17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Jan 2019'!$G$18:$G$36</c:f>
              <c:numCache>
                <c:formatCode>d\-mmm</c:formatCode>
                <c:ptCount val="19"/>
                <c:pt idx="0">
                  <c:v>43346</c:v>
                </c:pt>
                <c:pt idx="1">
                  <c:v>43364</c:v>
                </c:pt>
                <c:pt idx="2">
                  <c:v>43365</c:v>
                </c:pt>
                <c:pt idx="3">
                  <c:v>43373</c:v>
                </c:pt>
                <c:pt idx="4">
                  <c:v>43376</c:v>
                </c:pt>
                <c:pt idx="5">
                  <c:v>43390</c:v>
                </c:pt>
                <c:pt idx="6">
                  <c:v>43396</c:v>
                </c:pt>
                <c:pt idx="7">
                  <c:v>43411</c:v>
                </c:pt>
                <c:pt idx="8">
                  <c:v>43418</c:v>
                </c:pt>
                <c:pt idx="9">
                  <c:v>43431</c:v>
                </c:pt>
                <c:pt idx="10">
                  <c:v>43434</c:v>
                </c:pt>
                <c:pt idx="11">
                  <c:v>43437</c:v>
                </c:pt>
                <c:pt idx="12">
                  <c:v>43441</c:v>
                </c:pt>
                <c:pt idx="13">
                  <c:v>43453</c:v>
                </c:pt>
                <c:pt idx="14">
                  <c:v>43466</c:v>
                </c:pt>
                <c:pt idx="15">
                  <c:v>43473</c:v>
                </c:pt>
                <c:pt idx="16">
                  <c:v>43474</c:v>
                </c:pt>
                <c:pt idx="17">
                  <c:v>43475</c:v>
                </c:pt>
                <c:pt idx="18">
                  <c:v>43476</c:v>
                </c:pt>
              </c:numCache>
            </c:numRef>
          </c:cat>
          <c:val>
            <c:numRef>
              <c:f>'STEG - Jan 2019'!$F$18:$F$36</c:f>
              <c:numCache>
                <c:formatCode>General</c:formatCode>
                <c:ptCount val="19"/>
                <c:pt idx="0">
                  <c:v>0</c:v>
                </c:pt>
                <c:pt idx="1">
                  <c:v>182</c:v>
                </c:pt>
                <c:pt idx="2">
                  <c:v>188</c:v>
                </c:pt>
                <c:pt idx="3">
                  <c:v>231</c:v>
                </c:pt>
                <c:pt idx="4">
                  <c:v>249</c:v>
                </c:pt>
                <c:pt idx="5">
                  <c:v>324</c:v>
                </c:pt>
                <c:pt idx="6">
                  <c:v>359</c:v>
                </c:pt>
                <c:pt idx="7">
                  <c:v>439</c:v>
                </c:pt>
                <c:pt idx="8">
                  <c:v>474</c:v>
                </c:pt>
                <c:pt idx="9">
                  <c:v>541</c:v>
                </c:pt>
                <c:pt idx="10">
                  <c:v>559</c:v>
                </c:pt>
                <c:pt idx="11">
                  <c:v>576</c:v>
                </c:pt>
                <c:pt idx="12">
                  <c:v>599</c:v>
                </c:pt>
                <c:pt idx="13">
                  <c:v>675</c:v>
                </c:pt>
                <c:pt idx="14">
                  <c:v>765</c:v>
                </c:pt>
                <c:pt idx="15">
                  <c:v>807</c:v>
                </c:pt>
                <c:pt idx="16">
                  <c:v>814</c:v>
                </c:pt>
                <c:pt idx="17">
                  <c:v>821</c:v>
                </c:pt>
                <c:pt idx="18">
                  <c:v>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6-4FAA-9D4D-2273364B9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2019'!$U$4:$U$5</c:f>
              <c:numCache>
                <c:formatCode>m/d/yyyy</c:formatCode>
                <c:ptCount val="2"/>
                <c:pt idx="0">
                  <c:v>43475</c:v>
                </c:pt>
                <c:pt idx="1">
                  <c:v>43475</c:v>
                </c:pt>
              </c:numCache>
            </c:numRef>
          </c:xVal>
          <c:yVal>
            <c:numRef>
              <c:f>'STEG - Jan 2019'!$X$4:$X$5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16-4FAA-9D4D-2273364B9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480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  <c:max val="1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 2019'!$Q$17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Jan 2019'!$G$18:$G$36</c:f>
              <c:numCache>
                <c:formatCode>d\-mmm</c:formatCode>
                <c:ptCount val="19"/>
                <c:pt idx="0">
                  <c:v>43346</c:v>
                </c:pt>
                <c:pt idx="1">
                  <c:v>43364</c:v>
                </c:pt>
                <c:pt idx="2">
                  <c:v>43365</c:v>
                </c:pt>
                <c:pt idx="3">
                  <c:v>43373</c:v>
                </c:pt>
                <c:pt idx="4">
                  <c:v>43376</c:v>
                </c:pt>
                <c:pt idx="5">
                  <c:v>43390</c:v>
                </c:pt>
                <c:pt idx="6">
                  <c:v>43396</c:v>
                </c:pt>
                <c:pt idx="7">
                  <c:v>43411</c:v>
                </c:pt>
                <c:pt idx="8">
                  <c:v>43418</c:v>
                </c:pt>
                <c:pt idx="9">
                  <c:v>43431</c:v>
                </c:pt>
                <c:pt idx="10">
                  <c:v>43434</c:v>
                </c:pt>
                <c:pt idx="11">
                  <c:v>43437</c:v>
                </c:pt>
                <c:pt idx="12">
                  <c:v>43441</c:v>
                </c:pt>
                <c:pt idx="13">
                  <c:v>43453</c:v>
                </c:pt>
                <c:pt idx="14">
                  <c:v>43466</c:v>
                </c:pt>
                <c:pt idx="15">
                  <c:v>43473</c:v>
                </c:pt>
                <c:pt idx="16">
                  <c:v>43474</c:v>
                </c:pt>
                <c:pt idx="17">
                  <c:v>43475</c:v>
                </c:pt>
                <c:pt idx="18">
                  <c:v>43476</c:v>
                </c:pt>
              </c:numCache>
            </c:numRef>
          </c:cat>
          <c:val>
            <c:numRef>
              <c:f>'STEG - Jan 2019'!$Q$18:$Q$36</c:f>
              <c:numCache>
                <c:formatCode>General</c:formatCode>
                <c:ptCount val="19"/>
                <c:pt idx="0">
                  <c:v>0</c:v>
                </c:pt>
                <c:pt idx="1">
                  <c:v>12</c:v>
                </c:pt>
                <c:pt idx="2">
                  <c:v>15</c:v>
                </c:pt>
                <c:pt idx="3">
                  <c:v>21</c:v>
                </c:pt>
                <c:pt idx="4">
                  <c:v>24</c:v>
                </c:pt>
                <c:pt idx="5">
                  <c:v>36</c:v>
                </c:pt>
                <c:pt idx="6">
                  <c:v>41</c:v>
                </c:pt>
                <c:pt idx="7">
                  <c:v>58</c:v>
                </c:pt>
                <c:pt idx="8">
                  <c:v>65</c:v>
                </c:pt>
                <c:pt idx="9">
                  <c:v>105</c:v>
                </c:pt>
                <c:pt idx="10">
                  <c:v>126</c:v>
                </c:pt>
                <c:pt idx="11">
                  <c:v>144</c:v>
                </c:pt>
                <c:pt idx="12">
                  <c:v>160</c:v>
                </c:pt>
                <c:pt idx="13">
                  <c:v>239</c:v>
                </c:pt>
                <c:pt idx="14">
                  <c:v>331</c:v>
                </c:pt>
                <c:pt idx="15">
                  <c:v>394</c:v>
                </c:pt>
                <c:pt idx="16">
                  <c:v>406</c:v>
                </c:pt>
                <c:pt idx="17">
                  <c:v>418</c:v>
                </c:pt>
                <c:pt idx="18">
                  <c:v>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E-4F29-836C-7F9DFBF6E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2019'!$U$4:$U$5</c:f>
              <c:numCache>
                <c:formatCode>m/d/yyyy</c:formatCode>
                <c:ptCount val="2"/>
                <c:pt idx="0">
                  <c:v>43475</c:v>
                </c:pt>
                <c:pt idx="1">
                  <c:v>43475</c:v>
                </c:pt>
              </c:numCache>
            </c:numRef>
          </c:xVal>
          <c:yVal>
            <c:numRef>
              <c:f>'STEG - Jan 2019'!$X$4:$X$5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2E-4F29-836C-7F9DFBF6E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480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Jan 2019'!$W$17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Jan 2019'!$G$18:$G$36</c:f>
              <c:numCache>
                <c:formatCode>d\-mmm</c:formatCode>
                <c:ptCount val="19"/>
                <c:pt idx="0">
                  <c:v>43346</c:v>
                </c:pt>
                <c:pt idx="1">
                  <c:v>43364</c:v>
                </c:pt>
                <c:pt idx="2">
                  <c:v>43365</c:v>
                </c:pt>
                <c:pt idx="3">
                  <c:v>43373</c:v>
                </c:pt>
                <c:pt idx="4">
                  <c:v>43376</c:v>
                </c:pt>
                <c:pt idx="5">
                  <c:v>43390</c:v>
                </c:pt>
                <c:pt idx="6">
                  <c:v>43396</c:v>
                </c:pt>
                <c:pt idx="7">
                  <c:v>43411</c:v>
                </c:pt>
                <c:pt idx="8">
                  <c:v>43418</c:v>
                </c:pt>
                <c:pt idx="9">
                  <c:v>43431</c:v>
                </c:pt>
                <c:pt idx="10">
                  <c:v>43434</c:v>
                </c:pt>
                <c:pt idx="11">
                  <c:v>43437</c:v>
                </c:pt>
                <c:pt idx="12">
                  <c:v>43441</c:v>
                </c:pt>
                <c:pt idx="13">
                  <c:v>43453</c:v>
                </c:pt>
                <c:pt idx="14">
                  <c:v>43466</c:v>
                </c:pt>
                <c:pt idx="15">
                  <c:v>43473</c:v>
                </c:pt>
                <c:pt idx="16">
                  <c:v>43474</c:v>
                </c:pt>
                <c:pt idx="17">
                  <c:v>43475</c:v>
                </c:pt>
                <c:pt idx="18">
                  <c:v>43476</c:v>
                </c:pt>
              </c:numCache>
            </c:numRef>
          </c:cat>
          <c:val>
            <c:numRef>
              <c:f>'STEG - Jan 2019'!$W$18:$W$36</c:f>
              <c:numCache>
                <c:formatCode>0.00</c:formatCode>
                <c:ptCount val="19"/>
                <c:pt idx="0">
                  <c:v>26.756</c:v>
                </c:pt>
                <c:pt idx="1">
                  <c:v>68.898519999999991</c:v>
                </c:pt>
                <c:pt idx="2">
                  <c:v>70.997739999999993</c:v>
                </c:pt>
                <c:pt idx="3">
                  <c:v>81.817160000000001</c:v>
                </c:pt>
                <c:pt idx="4">
                  <c:v>86.479339999999993</c:v>
                </c:pt>
                <c:pt idx="5">
                  <c:v>105.76880000000001</c:v>
                </c:pt>
                <c:pt idx="6">
                  <c:v>114.607</c:v>
                </c:pt>
                <c:pt idx="7">
                  <c:v>136.32726</c:v>
                </c:pt>
                <c:pt idx="8">
                  <c:v>145.71062000000001</c:v>
                </c:pt>
                <c:pt idx="9">
                  <c:v>170.92368000000002</c:v>
                </c:pt>
                <c:pt idx="10">
                  <c:v>189.26442</c:v>
                </c:pt>
                <c:pt idx="11">
                  <c:v>199.05488</c:v>
                </c:pt>
                <c:pt idx="12">
                  <c:v>209.44241999999997</c:v>
                </c:pt>
                <c:pt idx="13">
                  <c:v>252.70830000000001</c:v>
                </c:pt>
                <c:pt idx="14">
                  <c:v>347.54843999999997</c:v>
                </c:pt>
                <c:pt idx="15">
                  <c:v>386.82473999999996</c:v>
                </c:pt>
                <c:pt idx="16">
                  <c:v>394.37319999999994</c:v>
                </c:pt>
                <c:pt idx="17">
                  <c:v>401.92165999999997</c:v>
                </c:pt>
                <c:pt idx="18">
                  <c:v>410.99822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B-4FDB-A0F9-2746E524C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Jan 2019'!$W$17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Jan 2019'!$G$18:$G$36</c:f>
              <c:numCache>
                <c:formatCode>d\-mmm</c:formatCode>
                <c:ptCount val="19"/>
                <c:pt idx="0">
                  <c:v>43346</c:v>
                </c:pt>
                <c:pt idx="1">
                  <c:v>43364</c:v>
                </c:pt>
                <c:pt idx="2">
                  <c:v>43365</c:v>
                </c:pt>
                <c:pt idx="3">
                  <c:v>43373</c:v>
                </c:pt>
                <c:pt idx="4">
                  <c:v>43376</c:v>
                </c:pt>
                <c:pt idx="5">
                  <c:v>43390</c:v>
                </c:pt>
                <c:pt idx="6">
                  <c:v>43396</c:v>
                </c:pt>
                <c:pt idx="7">
                  <c:v>43411</c:v>
                </c:pt>
                <c:pt idx="8">
                  <c:v>43418</c:v>
                </c:pt>
                <c:pt idx="9">
                  <c:v>43431</c:v>
                </c:pt>
                <c:pt idx="10">
                  <c:v>43434</c:v>
                </c:pt>
                <c:pt idx="11">
                  <c:v>43437</c:v>
                </c:pt>
                <c:pt idx="12">
                  <c:v>43441</c:v>
                </c:pt>
                <c:pt idx="13">
                  <c:v>43453</c:v>
                </c:pt>
                <c:pt idx="14">
                  <c:v>43466</c:v>
                </c:pt>
                <c:pt idx="15">
                  <c:v>43473</c:v>
                </c:pt>
                <c:pt idx="16">
                  <c:v>43474</c:v>
                </c:pt>
                <c:pt idx="17">
                  <c:v>43475</c:v>
                </c:pt>
                <c:pt idx="18">
                  <c:v>43476</c:v>
                </c:pt>
              </c:numCache>
            </c:numRef>
          </c:cat>
          <c:val>
            <c:numRef>
              <c:f>'STEG - Jan 2019'!$W$18:$W$36</c:f>
              <c:numCache>
                <c:formatCode>0.00</c:formatCode>
                <c:ptCount val="19"/>
                <c:pt idx="0">
                  <c:v>26.756</c:v>
                </c:pt>
                <c:pt idx="1">
                  <c:v>68.898519999999991</c:v>
                </c:pt>
                <c:pt idx="2">
                  <c:v>70.997739999999993</c:v>
                </c:pt>
                <c:pt idx="3">
                  <c:v>81.817160000000001</c:v>
                </c:pt>
                <c:pt idx="4">
                  <c:v>86.479339999999993</c:v>
                </c:pt>
                <c:pt idx="5">
                  <c:v>105.76880000000001</c:v>
                </c:pt>
                <c:pt idx="6">
                  <c:v>114.607</c:v>
                </c:pt>
                <c:pt idx="7">
                  <c:v>136.32726</c:v>
                </c:pt>
                <c:pt idx="8">
                  <c:v>145.71062000000001</c:v>
                </c:pt>
                <c:pt idx="9">
                  <c:v>170.92368000000002</c:v>
                </c:pt>
                <c:pt idx="10">
                  <c:v>189.26442</c:v>
                </c:pt>
                <c:pt idx="11">
                  <c:v>199.05488</c:v>
                </c:pt>
                <c:pt idx="12">
                  <c:v>209.44241999999997</c:v>
                </c:pt>
                <c:pt idx="13">
                  <c:v>252.70830000000001</c:v>
                </c:pt>
                <c:pt idx="14">
                  <c:v>347.54843999999997</c:v>
                </c:pt>
                <c:pt idx="15">
                  <c:v>386.82473999999996</c:v>
                </c:pt>
                <c:pt idx="16">
                  <c:v>394.37319999999994</c:v>
                </c:pt>
                <c:pt idx="17">
                  <c:v>401.92165999999997</c:v>
                </c:pt>
                <c:pt idx="18">
                  <c:v>410.99822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3B-4FDB-A0F9-2746E524C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'STEG - Jan 2019'!$U$4:$U$5</c:f>
              <c:numCache>
                <c:formatCode>m/d/yyyy</c:formatCode>
                <c:ptCount val="2"/>
                <c:pt idx="0">
                  <c:v>43475</c:v>
                </c:pt>
                <c:pt idx="1">
                  <c:v>43475</c:v>
                </c:pt>
              </c:numCache>
            </c:numRef>
          </c:xVal>
          <c:yVal>
            <c:numRef>
              <c:f>'STEG - Jan 2019'!$W$4:$W$5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03B-4FDB-A0F9-2746E524C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3480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5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Mai 2019'!$F$17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Mai 2019'!$G$18:$G$38</c:f>
              <c:numCache>
                <c:formatCode>d\-mmm</c:formatCode>
                <c:ptCount val="21"/>
                <c:pt idx="0">
                  <c:v>43476</c:v>
                </c:pt>
                <c:pt idx="1">
                  <c:v>43488</c:v>
                </c:pt>
                <c:pt idx="2">
                  <c:v>43489</c:v>
                </c:pt>
                <c:pt idx="3">
                  <c:v>43490</c:v>
                </c:pt>
                <c:pt idx="4">
                  <c:v>43494</c:v>
                </c:pt>
                <c:pt idx="5">
                  <c:v>43496</c:v>
                </c:pt>
                <c:pt idx="6">
                  <c:v>43508</c:v>
                </c:pt>
                <c:pt idx="7">
                  <c:v>43516</c:v>
                </c:pt>
                <c:pt idx="8">
                  <c:v>43517</c:v>
                </c:pt>
                <c:pt idx="9">
                  <c:v>43522</c:v>
                </c:pt>
                <c:pt idx="10">
                  <c:v>43540</c:v>
                </c:pt>
                <c:pt idx="11">
                  <c:v>43545</c:v>
                </c:pt>
                <c:pt idx="12">
                  <c:v>43546</c:v>
                </c:pt>
                <c:pt idx="13">
                  <c:v>43556</c:v>
                </c:pt>
                <c:pt idx="14">
                  <c:v>43558</c:v>
                </c:pt>
                <c:pt idx="15">
                  <c:v>43559</c:v>
                </c:pt>
                <c:pt idx="16">
                  <c:v>43572</c:v>
                </c:pt>
                <c:pt idx="17">
                  <c:v>43591</c:v>
                </c:pt>
                <c:pt idx="18">
                  <c:v>43592</c:v>
                </c:pt>
                <c:pt idx="19">
                  <c:v>43593</c:v>
                </c:pt>
                <c:pt idx="20">
                  <c:v>43594</c:v>
                </c:pt>
              </c:numCache>
            </c:numRef>
          </c:cat>
          <c:val>
            <c:numRef>
              <c:f>'STEG - Mai 2019'!$F$18:$F$38</c:f>
              <c:numCache>
                <c:formatCode>General</c:formatCode>
                <c:ptCount val="21"/>
                <c:pt idx="0">
                  <c:v>0</c:v>
                </c:pt>
                <c:pt idx="1">
                  <c:v>81</c:v>
                </c:pt>
                <c:pt idx="2">
                  <c:v>88</c:v>
                </c:pt>
                <c:pt idx="3">
                  <c:v>94</c:v>
                </c:pt>
                <c:pt idx="4">
                  <c:v>119</c:v>
                </c:pt>
                <c:pt idx="5">
                  <c:v>132</c:v>
                </c:pt>
                <c:pt idx="6">
                  <c:v>212</c:v>
                </c:pt>
                <c:pt idx="7">
                  <c:v>263</c:v>
                </c:pt>
                <c:pt idx="8">
                  <c:v>268</c:v>
                </c:pt>
                <c:pt idx="9">
                  <c:v>303</c:v>
                </c:pt>
                <c:pt idx="10">
                  <c:v>413</c:v>
                </c:pt>
                <c:pt idx="11">
                  <c:v>438</c:v>
                </c:pt>
                <c:pt idx="12">
                  <c:v>444</c:v>
                </c:pt>
                <c:pt idx="13">
                  <c:v>497</c:v>
                </c:pt>
                <c:pt idx="14">
                  <c:v>508</c:v>
                </c:pt>
                <c:pt idx="15">
                  <c:v>514</c:v>
                </c:pt>
                <c:pt idx="16">
                  <c:v>596</c:v>
                </c:pt>
                <c:pt idx="17">
                  <c:v>696</c:v>
                </c:pt>
                <c:pt idx="18">
                  <c:v>703</c:v>
                </c:pt>
                <c:pt idx="19">
                  <c:v>709</c:v>
                </c:pt>
                <c:pt idx="20">
                  <c:v>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31-4E8B-86F3-96A7F91B8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Mai 2019'!$U$4:$U$5</c:f>
              <c:numCache>
                <c:formatCode>m/d/yyyy</c:formatCode>
                <c:ptCount val="2"/>
                <c:pt idx="0">
                  <c:v>43594</c:v>
                </c:pt>
                <c:pt idx="1">
                  <c:v>43594</c:v>
                </c:pt>
              </c:numCache>
            </c:numRef>
          </c:xVal>
          <c:yVal>
            <c:numRef>
              <c:f>'STEG - Mai 2019'!$X$4:$X$5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31-4E8B-86F3-96A7F91B8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  <c:max val="1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Mai 2019'!$Q$17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Mai 2019'!$G$18:$G$38</c:f>
              <c:numCache>
                <c:formatCode>d\-mmm</c:formatCode>
                <c:ptCount val="21"/>
                <c:pt idx="0">
                  <c:v>43476</c:v>
                </c:pt>
                <c:pt idx="1">
                  <c:v>43488</c:v>
                </c:pt>
                <c:pt idx="2">
                  <c:v>43489</c:v>
                </c:pt>
                <c:pt idx="3">
                  <c:v>43490</c:v>
                </c:pt>
                <c:pt idx="4">
                  <c:v>43494</c:v>
                </c:pt>
                <c:pt idx="5">
                  <c:v>43496</c:v>
                </c:pt>
                <c:pt idx="6">
                  <c:v>43508</c:v>
                </c:pt>
                <c:pt idx="7">
                  <c:v>43516</c:v>
                </c:pt>
                <c:pt idx="8">
                  <c:v>43517</c:v>
                </c:pt>
                <c:pt idx="9">
                  <c:v>43522</c:v>
                </c:pt>
                <c:pt idx="10">
                  <c:v>43540</c:v>
                </c:pt>
                <c:pt idx="11">
                  <c:v>43545</c:v>
                </c:pt>
                <c:pt idx="12">
                  <c:v>43546</c:v>
                </c:pt>
                <c:pt idx="13">
                  <c:v>43556</c:v>
                </c:pt>
                <c:pt idx="14">
                  <c:v>43558</c:v>
                </c:pt>
                <c:pt idx="15">
                  <c:v>43559</c:v>
                </c:pt>
                <c:pt idx="16">
                  <c:v>43572</c:v>
                </c:pt>
                <c:pt idx="17">
                  <c:v>43591</c:v>
                </c:pt>
                <c:pt idx="18">
                  <c:v>43592</c:v>
                </c:pt>
                <c:pt idx="19">
                  <c:v>43593</c:v>
                </c:pt>
                <c:pt idx="20">
                  <c:v>43594</c:v>
                </c:pt>
              </c:numCache>
            </c:numRef>
          </c:cat>
          <c:val>
            <c:numRef>
              <c:f>'STEG - Mai 2019'!$Q$18:$Q$38</c:f>
              <c:numCache>
                <c:formatCode>General</c:formatCode>
                <c:ptCount val="21"/>
                <c:pt idx="0">
                  <c:v>0</c:v>
                </c:pt>
                <c:pt idx="1">
                  <c:v>117</c:v>
                </c:pt>
                <c:pt idx="2">
                  <c:v>129</c:v>
                </c:pt>
                <c:pt idx="3">
                  <c:v>142</c:v>
                </c:pt>
                <c:pt idx="4">
                  <c:v>189</c:v>
                </c:pt>
                <c:pt idx="5">
                  <c:v>214</c:v>
                </c:pt>
                <c:pt idx="6">
                  <c:v>328</c:v>
                </c:pt>
                <c:pt idx="7">
                  <c:v>392</c:v>
                </c:pt>
                <c:pt idx="8">
                  <c:v>398</c:v>
                </c:pt>
                <c:pt idx="9">
                  <c:v>444</c:v>
                </c:pt>
                <c:pt idx="10">
                  <c:v>560</c:v>
                </c:pt>
                <c:pt idx="11">
                  <c:v>592</c:v>
                </c:pt>
                <c:pt idx="12">
                  <c:v>600</c:v>
                </c:pt>
                <c:pt idx="13">
                  <c:v>659</c:v>
                </c:pt>
                <c:pt idx="14">
                  <c:v>671</c:v>
                </c:pt>
                <c:pt idx="15">
                  <c:v>675</c:v>
                </c:pt>
                <c:pt idx="16">
                  <c:v>739</c:v>
                </c:pt>
                <c:pt idx="17">
                  <c:v>786</c:v>
                </c:pt>
                <c:pt idx="18">
                  <c:v>789</c:v>
                </c:pt>
                <c:pt idx="19">
                  <c:v>790</c:v>
                </c:pt>
                <c:pt idx="20">
                  <c:v>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B-4DC2-90F9-80DBF4FF5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Mai 2019'!$U$4:$U$5</c:f>
              <c:numCache>
                <c:formatCode>m/d/yyyy</c:formatCode>
                <c:ptCount val="2"/>
                <c:pt idx="0">
                  <c:v>43594</c:v>
                </c:pt>
                <c:pt idx="1">
                  <c:v>43594</c:v>
                </c:pt>
              </c:numCache>
            </c:numRef>
          </c:xVal>
          <c:yVal>
            <c:numRef>
              <c:f>'STEG - Mai 2019'!$X$4:$X$5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1B-4DC2-90F9-80DBF4FF5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Mai 2019'!$W$17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Mai 2019'!$G$18:$G$38</c:f>
              <c:numCache>
                <c:formatCode>d\-mmm</c:formatCode>
                <c:ptCount val="21"/>
                <c:pt idx="0">
                  <c:v>43476</c:v>
                </c:pt>
                <c:pt idx="1">
                  <c:v>43488</c:v>
                </c:pt>
                <c:pt idx="2">
                  <c:v>43489</c:v>
                </c:pt>
                <c:pt idx="3">
                  <c:v>43490</c:v>
                </c:pt>
                <c:pt idx="4">
                  <c:v>43494</c:v>
                </c:pt>
                <c:pt idx="5">
                  <c:v>43496</c:v>
                </c:pt>
                <c:pt idx="6">
                  <c:v>43508</c:v>
                </c:pt>
                <c:pt idx="7">
                  <c:v>43516</c:v>
                </c:pt>
                <c:pt idx="8">
                  <c:v>43517</c:v>
                </c:pt>
                <c:pt idx="9">
                  <c:v>43522</c:v>
                </c:pt>
                <c:pt idx="10">
                  <c:v>43540</c:v>
                </c:pt>
                <c:pt idx="11">
                  <c:v>43545</c:v>
                </c:pt>
                <c:pt idx="12">
                  <c:v>43546</c:v>
                </c:pt>
                <c:pt idx="13">
                  <c:v>43556</c:v>
                </c:pt>
                <c:pt idx="14">
                  <c:v>43558</c:v>
                </c:pt>
                <c:pt idx="15">
                  <c:v>43559</c:v>
                </c:pt>
                <c:pt idx="16">
                  <c:v>43572</c:v>
                </c:pt>
                <c:pt idx="17">
                  <c:v>43591</c:v>
                </c:pt>
                <c:pt idx="18">
                  <c:v>43592</c:v>
                </c:pt>
                <c:pt idx="19">
                  <c:v>43593</c:v>
                </c:pt>
                <c:pt idx="20">
                  <c:v>43594</c:v>
                </c:pt>
              </c:numCache>
            </c:numRef>
          </c:cat>
          <c:val>
            <c:numRef>
              <c:f>'STEG - Mai 2019'!$W$18:$W$38</c:f>
              <c:numCache>
                <c:formatCode>0.00</c:formatCode>
                <c:ptCount val="21"/>
                <c:pt idx="0">
                  <c:v>26.756</c:v>
                </c:pt>
                <c:pt idx="1">
                  <c:v>75.947839999999999</c:v>
                </c:pt>
                <c:pt idx="2">
                  <c:v>92.587019999999995</c:v>
                </c:pt>
                <c:pt idx="3">
                  <c:v>98.608559999999997</c:v>
                </c:pt>
                <c:pt idx="4">
                  <c:v>121.0852</c:v>
                </c:pt>
                <c:pt idx="5">
                  <c:v>132.97723999999999</c:v>
                </c:pt>
                <c:pt idx="6">
                  <c:v>228.01207999999997</c:v>
                </c:pt>
                <c:pt idx="7">
                  <c:v>269.33921999999995</c:v>
                </c:pt>
                <c:pt idx="8">
                  <c:v>273.26035999999999</c:v>
                </c:pt>
                <c:pt idx="9">
                  <c:v>302.61049999999994</c:v>
                </c:pt>
                <c:pt idx="10">
                  <c:v>381.26693999999992</c:v>
                </c:pt>
                <c:pt idx="11">
                  <c:v>401.82371999999992</c:v>
                </c:pt>
                <c:pt idx="12">
                  <c:v>406.90951999999993</c:v>
                </c:pt>
                <c:pt idx="13">
                  <c:v>524.82574</c:v>
                </c:pt>
                <c:pt idx="14">
                  <c:v>534.31175999999994</c:v>
                </c:pt>
                <c:pt idx="15">
                  <c:v>537.9721199999999</c:v>
                </c:pt>
                <c:pt idx="16">
                  <c:v>593.54775999999993</c:v>
                </c:pt>
                <c:pt idx="17">
                  <c:v>642.85759999999993</c:v>
                </c:pt>
                <c:pt idx="18">
                  <c:v>646.13681999999994</c:v>
                </c:pt>
                <c:pt idx="19">
                  <c:v>648.01301999999998</c:v>
                </c:pt>
                <c:pt idx="20">
                  <c:v>649.88921999999991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F-4E50-A337-87435FDF5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Mai 2019'!$W$17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Mai 2019'!$G$18:$G$38</c:f>
              <c:numCache>
                <c:formatCode>d\-mmm</c:formatCode>
                <c:ptCount val="21"/>
                <c:pt idx="0">
                  <c:v>43476</c:v>
                </c:pt>
                <c:pt idx="1">
                  <c:v>43488</c:v>
                </c:pt>
                <c:pt idx="2">
                  <c:v>43489</c:v>
                </c:pt>
                <c:pt idx="3">
                  <c:v>43490</c:v>
                </c:pt>
                <c:pt idx="4">
                  <c:v>43494</c:v>
                </c:pt>
                <c:pt idx="5">
                  <c:v>43496</c:v>
                </c:pt>
                <c:pt idx="6">
                  <c:v>43508</c:v>
                </c:pt>
                <c:pt idx="7">
                  <c:v>43516</c:v>
                </c:pt>
                <c:pt idx="8">
                  <c:v>43517</c:v>
                </c:pt>
                <c:pt idx="9">
                  <c:v>43522</c:v>
                </c:pt>
                <c:pt idx="10">
                  <c:v>43540</c:v>
                </c:pt>
                <c:pt idx="11">
                  <c:v>43545</c:v>
                </c:pt>
                <c:pt idx="12">
                  <c:v>43546</c:v>
                </c:pt>
                <c:pt idx="13">
                  <c:v>43556</c:v>
                </c:pt>
                <c:pt idx="14">
                  <c:v>43558</c:v>
                </c:pt>
                <c:pt idx="15">
                  <c:v>43559</c:v>
                </c:pt>
                <c:pt idx="16">
                  <c:v>43572</c:v>
                </c:pt>
                <c:pt idx="17">
                  <c:v>43591</c:v>
                </c:pt>
                <c:pt idx="18">
                  <c:v>43592</c:v>
                </c:pt>
                <c:pt idx="19">
                  <c:v>43593</c:v>
                </c:pt>
                <c:pt idx="20">
                  <c:v>43594</c:v>
                </c:pt>
              </c:numCache>
            </c:numRef>
          </c:cat>
          <c:val>
            <c:numRef>
              <c:f>'STEG - Mai 2019'!$W$18:$W$38</c:f>
              <c:numCache>
                <c:formatCode>0.00</c:formatCode>
                <c:ptCount val="21"/>
                <c:pt idx="0">
                  <c:v>26.756</c:v>
                </c:pt>
                <c:pt idx="1">
                  <c:v>75.947839999999999</c:v>
                </c:pt>
                <c:pt idx="2">
                  <c:v>92.587019999999995</c:v>
                </c:pt>
                <c:pt idx="3">
                  <c:v>98.608559999999997</c:v>
                </c:pt>
                <c:pt idx="4">
                  <c:v>121.0852</c:v>
                </c:pt>
                <c:pt idx="5">
                  <c:v>132.97723999999999</c:v>
                </c:pt>
                <c:pt idx="6">
                  <c:v>228.01207999999997</c:v>
                </c:pt>
                <c:pt idx="7">
                  <c:v>269.33921999999995</c:v>
                </c:pt>
                <c:pt idx="8">
                  <c:v>273.26035999999999</c:v>
                </c:pt>
                <c:pt idx="9">
                  <c:v>302.61049999999994</c:v>
                </c:pt>
                <c:pt idx="10">
                  <c:v>381.26693999999992</c:v>
                </c:pt>
                <c:pt idx="11">
                  <c:v>401.82371999999992</c:v>
                </c:pt>
                <c:pt idx="12">
                  <c:v>406.90951999999993</c:v>
                </c:pt>
                <c:pt idx="13">
                  <c:v>524.82574</c:v>
                </c:pt>
                <c:pt idx="14">
                  <c:v>534.31175999999994</c:v>
                </c:pt>
                <c:pt idx="15">
                  <c:v>537.9721199999999</c:v>
                </c:pt>
                <c:pt idx="16">
                  <c:v>593.54775999999993</c:v>
                </c:pt>
                <c:pt idx="17">
                  <c:v>642.85759999999993</c:v>
                </c:pt>
                <c:pt idx="18">
                  <c:v>646.13681999999994</c:v>
                </c:pt>
                <c:pt idx="19">
                  <c:v>648.01301999999998</c:v>
                </c:pt>
                <c:pt idx="20">
                  <c:v>649.88921999999991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2F-4E50-A337-87435FDF5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'STEG - Mai 2019'!$U$4:$U$5</c:f>
              <c:numCache>
                <c:formatCode>m/d/yyyy</c:formatCode>
                <c:ptCount val="2"/>
                <c:pt idx="0">
                  <c:v>43594</c:v>
                </c:pt>
                <c:pt idx="1">
                  <c:v>43594</c:v>
                </c:pt>
              </c:numCache>
            </c:numRef>
          </c:xVal>
          <c:yVal>
            <c:numRef>
              <c:f>'STEG - Mai 2019'!$W$4:$W$5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82F-4E50-A337-87435FDF5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3595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Sept 2019'!$F$17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Sept 2019'!$G$18:$G$35</c:f>
              <c:numCache>
                <c:formatCode>d\-mmm</c:formatCode>
                <c:ptCount val="18"/>
                <c:pt idx="0">
                  <c:v>43594</c:v>
                </c:pt>
                <c:pt idx="1">
                  <c:v>43595</c:v>
                </c:pt>
                <c:pt idx="2">
                  <c:v>43609</c:v>
                </c:pt>
                <c:pt idx="3">
                  <c:v>43614</c:v>
                </c:pt>
                <c:pt idx="4">
                  <c:v>43615</c:v>
                </c:pt>
                <c:pt idx="5">
                  <c:v>43627</c:v>
                </c:pt>
                <c:pt idx="6">
                  <c:v>43641</c:v>
                </c:pt>
                <c:pt idx="7">
                  <c:v>43642</c:v>
                </c:pt>
                <c:pt idx="8">
                  <c:v>43651</c:v>
                </c:pt>
                <c:pt idx="9">
                  <c:v>43655</c:v>
                </c:pt>
                <c:pt idx="10">
                  <c:v>43669</c:v>
                </c:pt>
                <c:pt idx="11">
                  <c:v>43672</c:v>
                </c:pt>
                <c:pt idx="12">
                  <c:v>43674</c:v>
                </c:pt>
                <c:pt idx="13">
                  <c:v>43697</c:v>
                </c:pt>
                <c:pt idx="14">
                  <c:v>43714</c:v>
                </c:pt>
                <c:pt idx="15">
                  <c:v>43717</c:v>
                </c:pt>
                <c:pt idx="16">
                  <c:v>43718</c:v>
                </c:pt>
                <c:pt idx="17">
                  <c:v>43720</c:v>
                </c:pt>
              </c:numCache>
            </c:numRef>
          </c:cat>
          <c:val>
            <c:numRef>
              <c:f>'STEG - Sept 2019'!$F$18:$F$35</c:f>
              <c:numCache>
                <c:formatCode>General</c:formatCode>
                <c:ptCount val="18"/>
                <c:pt idx="0">
                  <c:v>0</c:v>
                </c:pt>
                <c:pt idx="1">
                  <c:v>6</c:v>
                </c:pt>
                <c:pt idx="2">
                  <c:v>90</c:v>
                </c:pt>
                <c:pt idx="3">
                  <c:v>123</c:v>
                </c:pt>
                <c:pt idx="4">
                  <c:v>128</c:v>
                </c:pt>
                <c:pt idx="5">
                  <c:v>185</c:v>
                </c:pt>
                <c:pt idx="6">
                  <c:v>307</c:v>
                </c:pt>
                <c:pt idx="7">
                  <c:v>327</c:v>
                </c:pt>
                <c:pt idx="8">
                  <c:v>469</c:v>
                </c:pt>
                <c:pt idx="9">
                  <c:v>556</c:v>
                </c:pt>
                <c:pt idx="10">
                  <c:v>742</c:v>
                </c:pt>
                <c:pt idx="11">
                  <c:v>773</c:v>
                </c:pt>
                <c:pt idx="12">
                  <c:v>809</c:v>
                </c:pt>
                <c:pt idx="13">
                  <c:v>1306</c:v>
                </c:pt>
                <c:pt idx="14">
                  <c:v>1467</c:v>
                </c:pt>
                <c:pt idx="15">
                  <c:v>1484</c:v>
                </c:pt>
                <c:pt idx="16">
                  <c:v>1492</c:v>
                </c:pt>
                <c:pt idx="17">
                  <c:v>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01-4087-8C2B-0FF99775D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Sept 2019'!$U$4:$U$5</c:f>
              <c:numCache>
                <c:formatCode>m/d/yyyy</c:formatCode>
                <c:ptCount val="2"/>
                <c:pt idx="0">
                  <c:v>43720</c:v>
                </c:pt>
                <c:pt idx="1">
                  <c:v>43720</c:v>
                </c:pt>
              </c:numCache>
            </c:numRef>
          </c:xVal>
          <c:yVal>
            <c:numRef>
              <c:f>'STEG - Sept 2019'!$X$4:$X$5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01-4087-8C2B-0FF99775D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721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Sept 2019'!$Q$17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Sept 2019'!$G$18:$G$35</c:f>
              <c:numCache>
                <c:formatCode>d\-mmm</c:formatCode>
                <c:ptCount val="18"/>
                <c:pt idx="0">
                  <c:v>43594</c:v>
                </c:pt>
                <c:pt idx="1">
                  <c:v>43595</c:v>
                </c:pt>
                <c:pt idx="2">
                  <c:v>43609</c:v>
                </c:pt>
                <c:pt idx="3">
                  <c:v>43614</c:v>
                </c:pt>
                <c:pt idx="4">
                  <c:v>43615</c:v>
                </c:pt>
                <c:pt idx="5">
                  <c:v>43627</c:v>
                </c:pt>
                <c:pt idx="6">
                  <c:v>43641</c:v>
                </c:pt>
                <c:pt idx="7">
                  <c:v>43642</c:v>
                </c:pt>
                <c:pt idx="8">
                  <c:v>43651</c:v>
                </c:pt>
                <c:pt idx="9">
                  <c:v>43655</c:v>
                </c:pt>
                <c:pt idx="10">
                  <c:v>43669</c:v>
                </c:pt>
                <c:pt idx="11">
                  <c:v>43672</c:v>
                </c:pt>
                <c:pt idx="12">
                  <c:v>43674</c:v>
                </c:pt>
                <c:pt idx="13">
                  <c:v>43697</c:v>
                </c:pt>
                <c:pt idx="14">
                  <c:v>43714</c:v>
                </c:pt>
                <c:pt idx="15">
                  <c:v>43717</c:v>
                </c:pt>
                <c:pt idx="16">
                  <c:v>43718</c:v>
                </c:pt>
                <c:pt idx="17">
                  <c:v>43720</c:v>
                </c:pt>
              </c:numCache>
            </c:numRef>
          </c:cat>
          <c:val>
            <c:numRef>
              <c:f>'STEG - Sept 2019'!$Q$18:$Q$35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19</c:v>
                </c:pt>
                <c:pt idx="3">
                  <c:v>26</c:v>
                </c:pt>
                <c:pt idx="4">
                  <c:v>27</c:v>
                </c:pt>
                <c:pt idx="5">
                  <c:v>36</c:v>
                </c:pt>
                <c:pt idx="6">
                  <c:v>50</c:v>
                </c:pt>
                <c:pt idx="7">
                  <c:v>51</c:v>
                </c:pt>
                <c:pt idx="8">
                  <c:v>56</c:v>
                </c:pt>
                <c:pt idx="9">
                  <c:v>58</c:v>
                </c:pt>
                <c:pt idx="10">
                  <c:v>67</c:v>
                </c:pt>
                <c:pt idx="11">
                  <c:v>70</c:v>
                </c:pt>
                <c:pt idx="12">
                  <c:v>71</c:v>
                </c:pt>
                <c:pt idx="13">
                  <c:v>81</c:v>
                </c:pt>
                <c:pt idx="14">
                  <c:v>88</c:v>
                </c:pt>
                <c:pt idx="15">
                  <c:v>90</c:v>
                </c:pt>
                <c:pt idx="16">
                  <c:v>90</c:v>
                </c:pt>
                <c:pt idx="17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AA-4003-A2CE-F17D3D9C7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Sept 2019'!$U$4:$U$5</c:f>
              <c:numCache>
                <c:formatCode>m/d/yyyy</c:formatCode>
                <c:ptCount val="2"/>
                <c:pt idx="0">
                  <c:v>43720</c:v>
                </c:pt>
                <c:pt idx="1">
                  <c:v>43720</c:v>
                </c:pt>
              </c:numCache>
            </c:numRef>
          </c:xVal>
          <c:yVal>
            <c:numRef>
              <c:f>'STEG - Sept 2019'!$X$4:$X$5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AA-4003-A2CE-F17D3D9C7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Sept 2019'!$W$17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Sept 2019'!$G$18:$G$35</c:f>
              <c:numCache>
                <c:formatCode>d\-mmm</c:formatCode>
                <c:ptCount val="18"/>
                <c:pt idx="0">
                  <c:v>43594</c:v>
                </c:pt>
                <c:pt idx="1">
                  <c:v>43595</c:v>
                </c:pt>
                <c:pt idx="2">
                  <c:v>43609</c:v>
                </c:pt>
                <c:pt idx="3">
                  <c:v>43614</c:v>
                </c:pt>
                <c:pt idx="4">
                  <c:v>43615</c:v>
                </c:pt>
                <c:pt idx="5">
                  <c:v>43627</c:v>
                </c:pt>
                <c:pt idx="6">
                  <c:v>43641</c:v>
                </c:pt>
                <c:pt idx="7">
                  <c:v>43642</c:v>
                </c:pt>
                <c:pt idx="8">
                  <c:v>43651</c:v>
                </c:pt>
                <c:pt idx="9">
                  <c:v>43655</c:v>
                </c:pt>
                <c:pt idx="10">
                  <c:v>43669</c:v>
                </c:pt>
                <c:pt idx="11">
                  <c:v>43672</c:v>
                </c:pt>
                <c:pt idx="12">
                  <c:v>43674</c:v>
                </c:pt>
                <c:pt idx="13">
                  <c:v>43697</c:v>
                </c:pt>
                <c:pt idx="14">
                  <c:v>43714</c:v>
                </c:pt>
                <c:pt idx="15">
                  <c:v>43717</c:v>
                </c:pt>
                <c:pt idx="16">
                  <c:v>43718</c:v>
                </c:pt>
                <c:pt idx="17">
                  <c:v>43720</c:v>
                </c:pt>
              </c:numCache>
            </c:numRef>
          </c:cat>
          <c:val>
            <c:numRef>
              <c:f>'STEG - Sept 2019'!$W$18:$W$35</c:f>
              <c:numCache>
                <c:formatCode>0.00</c:formatCode>
                <c:ptCount val="18"/>
                <c:pt idx="0">
                  <c:v>28.1</c:v>
                </c:pt>
                <c:pt idx="1">
                  <c:v>29.654060000000001</c:v>
                </c:pt>
                <c:pt idx="2">
                  <c:v>52.501219999999996</c:v>
                </c:pt>
                <c:pt idx="3">
                  <c:v>61.457419999999999</c:v>
                </c:pt>
                <c:pt idx="4">
                  <c:v>62.797899999999998</c:v>
                </c:pt>
                <c:pt idx="5">
                  <c:v>77.425179999999997</c:v>
                </c:pt>
                <c:pt idx="6">
                  <c:v>107.29805999999999</c:v>
                </c:pt>
                <c:pt idx="7">
                  <c:v>111.84224</c:v>
                </c:pt>
                <c:pt idx="8">
                  <c:v>143.53349999999998</c:v>
                </c:pt>
                <c:pt idx="9">
                  <c:v>162.66011999999998</c:v>
                </c:pt>
                <c:pt idx="10">
                  <c:v>204.83921999999998</c:v>
                </c:pt>
                <c:pt idx="11">
                  <c:v>212.27794000000003</c:v>
                </c:pt>
                <c:pt idx="12">
                  <c:v>220.68544</c:v>
                </c:pt>
                <c:pt idx="13">
                  <c:v>362.30904000000004</c:v>
                </c:pt>
                <c:pt idx="14">
                  <c:v>419.31129999999996</c:v>
                </c:pt>
                <c:pt idx="15">
                  <c:v>425.67386000000005</c:v>
                </c:pt>
                <c:pt idx="16">
                  <c:v>428.41146000000003</c:v>
                </c:pt>
                <c:pt idx="17">
                  <c:v>433.40521999999999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5-4C03-8244-8358E01B6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Sept 2019'!$W$17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Sept 2019'!$G$18:$G$35</c:f>
              <c:numCache>
                <c:formatCode>d\-mmm</c:formatCode>
                <c:ptCount val="18"/>
                <c:pt idx="0">
                  <c:v>43594</c:v>
                </c:pt>
                <c:pt idx="1">
                  <c:v>43595</c:v>
                </c:pt>
                <c:pt idx="2">
                  <c:v>43609</c:v>
                </c:pt>
                <c:pt idx="3">
                  <c:v>43614</c:v>
                </c:pt>
                <c:pt idx="4">
                  <c:v>43615</c:v>
                </c:pt>
                <c:pt idx="5">
                  <c:v>43627</c:v>
                </c:pt>
                <c:pt idx="6">
                  <c:v>43641</c:v>
                </c:pt>
                <c:pt idx="7">
                  <c:v>43642</c:v>
                </c:pt>
                <c:pt idx="8">
                  <c:v>43651</c:v>
                </c:pt>
                <c:pt idx="9">
                  <c:v>43655</c:v>
                </c:pt>
                <c:pt idx="10">
                  <c:v>43669</c:v>
                </c:pt>
                <c:pt idx="11">
                  <c:v>43672</c:v>
                </c:pt>
                <c:pt idx="12">
                  <c:v>43674</c:v>
                </c:pt>
                <c:pt idx="13">
                  <c:v>43697</c:v>
                </c:pt>
                <c:pt idx="14">
                  <c:v>43714</c:v>
                </c:pt>
                <c:pt idx="15">
                  <c:v>43717</c:v>
                </c:pt>
                <c:pt idx="16">
                  <c:v>43718</c:v>
                </c:pt>
                <c:pt idx="17">
                  <c:v>43720</c:v>
                </c:pt>
              </c:numCache>
            </c:numRef>
          </c:cat>
          <c:val>
            <c:numRef>
              <c:f>'STEG - Sept 2019'!$W$18:$W$35</c:f>
              <c:numCache>
                <c:formatCode>0.00</c:formatCode>
                <c:ptCount val="18"/>
                <c:pt idx="0">
                  <c:v>28.1</c:v>
                </c:pt>
                <c:pt idx="1">
                  <c:v>29.654060000000001</c:v>
                </c:pt>
                <c:pt idx="2">
                  <c:v>52.501219999999996</c:v>
                </c:pt>
                <c:pt idx="3">
                  <c:v>61.457419999999999</c:v>
                </c:pt>
                <c:pt idx="4">
                  <c:v>62.797899999999998</c:v>
                </c:pt>
                <c:pt idx="5">
                  <c:v>77.425179999999997</c:v>
                </c:pt>
                <c:pt idx="6">
                  <c:v>107.29805999999999</c:v>
                </c:pt>
                <c:pt idx="7">
                  <c:v>111.84224</c:v>
                </c:pt>
                <c:pt idx="8">
                  <c:v>143.53349999999998</c:v>
                </c:pt>
                <c:pt idx="9">
                  <c:v>162.66011999999998</c:v>
                </c:pt>
                <c:pt idx="10">
                  <c:v>204.83921999999998</c:v>
                </c:pt>
                <c:pt idx="11">
                  <c:v>212.27794000000003</c:v>
                </c:pt>
                <c:pt idx="12">
                  <c:v>220.68544</c:v>
                </c:pt>
                <c:pt idx="13">
                  <c:v>362.30904000000004</c:v>
                </c:pt>
                <c:pt idx="14">
                  <c:v>419.31129999999996</c:v>
                </c:pt>
                <c:pt idx="15">
                  <c:v>425.67386000000005</c:v>
                </c:pt>
                <c:pt idx="16">
                  <c:v>428.41146000000003</c:v>
                </c:pt>
                <c:pt idx="17">
                  <c:v>433.40521999999999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95-4C03-8244-8358E01B6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'STEG - Sept 2019'!$U$4:$U$5</c:f>
              <c:numCache>
                <c:formatCode>m/d/yyyy</c:formatCode>
                <c:ptCount val="2"/>
                <c:pt idx="0">
                  <c:v>43720</c:v>
                </c:pt>
                <c:pt idx="1">
                  <c:v>43720</c:v>
                </c:pt>
              </c:numCache>
            </c:numRef>
          </c:xVal>
          <c:yVal>
            <c:numRef>
              <c:f>'STEG - Sept 2019'!$W$4:$W$5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95-4C03-8244-8358E01B6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3721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Sept 2019'!$Q$17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Sept 2019'!$G$18:$G$35</c:f>
              <c:numCache>
                <c:formatCode>d\-mmm</c:formatCode>
                <c:ptCount val="18"/>
                <c:pt idx="0">
                  <c:v>43594</c:v>
                </c:pt>
                <c:pt idx="1">
                  <c:v>43595</c:v>
                </c:pt>
                <c:pt idx="2">
                  <c:v>43609</c:v>
                </c:pt>
                <c:pt idx="3">
                  <c:v>43614</c:v>
                </c:pt>
                <c:pt idx="4">
                  <c:v>43615</c:v>
                </c:pt>
                <c:pt idx="5">
                  <c:v>43627</c:v>
                </c:pt>
                <c:pt idx="6">
                  <c:v>43641</c:v>
                </c:pt>
                <c:pt idx="7">
                  <c:v>43642</c:v>
                </c:pt>
                <c:pt idx="8">
                  <c:v>43651</c:v>
                </c:pt>
                <c:pt idx="9">
                  <c:v>43655</c:v>
                </c:pt>
                <c:pt idx="10">
                  <c:v>43669</c:v>
                </c:pt>
                <c:pt idx="11">
                  <c:v>43672</c:v>
                </c:pt>
                <c:pt idx="12">
                  <c:v>43674</c:v>
                </c:pt>
                <c:pt idx="13">
                  <c:v>43697</c:v>
                </c:pt>
                <c:pt idx="14">
                  <c:v>43714</c:v>
                </c:pt>
                <c:pt idx="15">
                  <c:v>43717</c:v>
                </c:pt>
                <c:pt idx="16">
                  <c:v>43718</c:v>
                </c:pt>
                <c:pt idx="17">
                  <c:v>43720</c:v>
                </c:pt>
              </c:numCache>
            </c:numRef>
          </c:cat>
          <c:val>
            <c:numRef>
              <c:f>'STEG - Sept 2019'!$Q$18:$Q$35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19</c:v>
                </c:pt>
                <c:pt idx="3">
                  <c:v>26</c:v>
                </c:pt>
                <c:pt idx="4">
                  <c:v>27</c:v>
                </c:pt>
                <c:pt idx="5">
                  <c:v>36</c:v>
                </c:pt>
                <c:pt idx="6">
                  <c:v>50</c:v>
                </c:pt>
                <c:pt idx="7">
                  <c:v>51</c:v>
                </c:pt>
                <c:pt idx="8">
                  <c:v>56</c:v>
                </c:pt>
                <c:pt idx="9">
                  <c:v>58</c:v>
                </c:pt>
                <c:pt idx="10">
                  <c:v>67</c:v>
                </c:pt>
                <c:pt idx="11">
                  <c:v>70</c:v>
                </c:pt>
                <c:pt idx="12">
                  <c:v>71</c:v>
                </c:pt>
                <c:pt idx="13">
                  <c:v>81</c:v>
                </c:pt>
                <c:pt idx="14">
                  <c:v>88</c:v>
                </c:pt>
                <c:pt idx="15">
                  <c:v>90</c:v>
                </c:pt>
                <c:pt idx="16">
                  <c:v>90</c:v>
                </c:pt>
                <c:pt idx="17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3-407B-BE16-DA69B3154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Sept 2019'!$U$4:$U$5</c:f>
              <c:numCache>
                <c:formatCode>m/d/yyyy</c:formatCode>
                <c:ptCount val="2"/>
                <c:pt idx="0">
                  <c:v>43720</c:v>
                </c:pt>
                <c:pt idx="1">
                  <c:v>43720</c:v>
                </c:pt>
              </c:numCache>
            </c:numRef>
          </c:xVal>
          <c:yVal>
            <c:numRef>
              <c:f>'STEG - Sept 2019'!$X$4:$X$5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A3-407B-BE16-DA69B3154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721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 2020'!$F$17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jan 2020'!$G$18:$G$38</c:f>
              <c:numCache>
                <c:formatCode>d\-mmm</c:formatCode>
                <c:ptCount val="21"/>
                <c:pt idx="0">
                  <c:v>43720</c:v>
                </c:pt>
                <c:pt idx="1">
                  <c:v>43726</c:v>
                </c:pt>
                <c:pt idx="2">
                  <c:v>43728</c:v>
                </c:pt>
                <c:pt idx="3">
                  <c:v>43735</c:v>
                </c:pt>
                <c:pt idx="4">
                  <c:v>43755</c:v>
                </c:pt>
                <c:pt idx="5">
                  <c:v>43756</c:v>
                </c:pt>
                <c:pt idx="6">
                  <c:v>43759</c:v>
                </c:pt>
                <c:pt idx="7">
                  <c:v>43760</c:v>
                </c:pt>
                <c:pt idx="8">
                  <c:v>43776</c:v>
                </c:pt>
                <c:pt idx="9">
                  <c:v>43782</c:v>
                </c:pt>
                <c:pt idx="10">
                  <c:v>43783</c:v>
                </c:pt>
                <c:pt idx="11">
                  <c:v>43790</c:v>
                </c:pt>
                <c:pt idx="12">
                  <c:v>43795</c:v>
                </c:pt>
                <c:pt idx="13">
                  <c:v>43796</c:v>
                </c:pt>
                <c:pt idx="14">
                  <c:v>43797</c:v>
                </c:pt>
                <c:pt idx="15">
                  <c:v>43802</c:v>
                </c:pt>
                <c:pt idx="16">
                  <c:v>43809</c:v>
                </c:pt>
                <c:pt idx="17">
                  <c:v>43816</c:v>
                </c:pt>
                <c:pt idx="18">
                  <c:v>43835</c:v>
                </c:pt>
                <c:pt idx="19">
                  <c:v>43839</c:v>
                </c:pt>
                <c:pt idx="20">
                  <c:v>43840</c:v>
                </c:pt>
              </c:numCache>
            </c:numRef>
          </c:cat>
          <c:val>
            <c:numRef>
              <c:f>'STEG - jan 2020'!$F$18:$F$38</c:f>
              <c:numCache>
                <c:formatCode>General</c:formatCode>
                <c:ptCount val="21"/>
                <c:pt idx="0">
                  <c:v>0</c:v>
                </c:pt>
                <c:pt idx="1">
                  <c:v>49</c:v>
                </c:pt>
                <c:pt idx="2">
                  <c:v>75</c:v>
                </c:pt>
                <c:pt idx="3">
                  <c:v>146</c:v>
                </c:pt>
                <c:pt idx="4">
                  <c:v>229</c:v>
                </c:pt>
                <c:pt idx="5">
                  <c:v>233</c:v>
                </c:pt>
                <c:pt idx="6">
                  <c:v>249</c:v>
                </c:pt>
                <c:pt idx="7">
                  <c:v>252</c:v>
                </c:pt>
                <c:pt idx="8">
                  <c:v>330</c:v>
                </c:pt>
                <c:pt idx="9">
                  <c:v>362</c:v>
                </c:pt>
                <c:pt idx="10">
                  <c:v>366</c:v>
                </c:pt>
                <c:pt idx="11">
                  <c:v>406</c:v>
                </c:pt>
                <c:pt idx="12">
                  <c:v>431</c:v>
                </c:pt>
                <c:pt idx="13">
                  <c:v>434</c:v>
                </c:pt>
                <c:pt idx="14">
                  <c:v>440</c:v>
                </c:pt>
                <c:pt idx="15">
                  <c:v>464</c:v>
                </c:pt>
                <c:pt idx="16">
                  <c:v>508</c:v>
                </c:pt>
                <c:pt idx="17">
                  <c:v>536</c:v>
                </c:pt>
                <c:pt idx="18">
                  <c:v>636</c:v>
                </c:pt>
                <c:pt idx="19">
                  <c:v>649</c:v>
                </c:pt>
                <c:pt idx="20">
                  <c:v>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8B-4AC1-A9AD-E8B3F1A2A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2020'!$U$4:$U$5</c:f>
              <c:numCache>
                <c:formatCode>m/d/yyyy</c:formatCode>
                <c:ptCount val="2"/>
                <c:pt idx="0">
                  <c:v>43840</c:v>
                </c:pt>
                <c:pt idx="1">
                  <c:v>43840</c:v>
                </c:pt>
              </c:numCache>
            </c:numRef>
          </c:xVal>
          <c:yVal>
            <c:numRef>
              <c:f>'STEG - jan 2020'!$X$4:$X$5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8B-4AC1-A9AD-E8B3F1A2A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840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 2020'!$Q$17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jan 2020'!$G$18:$G$38</c:f>
              <c:numCache>
                <c:formatCode>d\-mmm</c:formatCode>
                <c:ptCount val="21"/>
                <c:pt idx="0">
                  <c:v>43720</c:v>
                </c:pt>
                <c:pt idx="1">
                  <c:v>43726</c:v>
                </c:pt>
                <c:pt idx="2">
                  <c:v>43728</c:v>
                </c:pt>
                <c:pt idx="3">
                  <c:v>43735</c:v>
                </c:pt>
                <c:pt idx="4">
                  <c:v>43755</c:v>
                </c:pt>
                <c:pt idx="5">
                  <c:v>43756</c:v>
                </c:pt>
                <c:pt idx="6">
                  <c:v>43759</c:v>
                </c:pt>
                <c:pt idx="7">
                  <c:v>43760</c:v>
                </c:pt>
                <c:pt idx="8">
                  <c:v>43776</c:v>
                </c:pt>
                <c:pt idx="9">
                  <c:v>43782</c:v>
                </c:pt>
                <c:pt idx="10">
                  <c:v>43783</c:v>
                </c:pt>
                <c:pt idx="11">
                  <c:v>43790</c:v>
                </c:pt>
                <c:pt idx="12">
                  <c:v>43795</c:v>
                </c:pt>
                <c:pt idx="13">
                  <c:v>43796</c:v>
                </c:pt>
                <c:pt idx="14">
                  <c:v>43797</c:v>
                </c:pt>
                <c:pt idx="15">
                  <c:v>43802</c:v>
                </c:pt>
                <c:pt idx="16">
                  <c:v>43809</c:v>
                </c:pt>
                <c:pt idx="17">
                  <c:v>43816</c:v>
                </c:pt>
                <c:pt idx="18">
                  <c:v>43835</c:v>
                </c:pt>
                <c:pt idx="19">
                  <c:v>43839</c:v>
                </c:pt>
                <c:pt idx="20">
                  <c:v>43840</c:v>
                </c:pt>
              </c:numCache>
            </c:numRef>
          </c:cat>
          <c:val>
            <c:numRef>
              <c:f>'STEG - jan 2020'!$Q$18:$Q$38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21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37</c:v>
                </c:pt>
                <c:pt idx="9">
                  <c:v>58</c:v>
                </c:pt>
                <c:pt idx="10">
                  <c:v>59</c:v>
                </c:pt>
                <c:pt idx="11">
                  <c:v>103</c:v>
                </c:pt>
                <c:pt idx="12">
                  <c:v>131</c:v>
                </c:pt>
                <c:pt idx="13">
                  <c:v>135</c:v>
                </c:pt>
                <c:pt idx="14">
                  <c:v>139</c:v>
                </c:pt>
                <c:pt idx="15">
                  <c:v>157</c:v>
                </c:pt>
                <c:pt idx="16">
                  <c:v>198</c:v>
                </c:pt>
                <c:pt idx="17">
                  <c:v>229</c:v>
                </c:pt>
                <c:pt idx="18">
                  <c:v>356</c:v>
                </c:pt>
                <c:pt idx="19">
                  <c:v>386</c:v>
                </c:pt>
                <c:pt idx="20">
                  <c:v>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B-403F-858A-4D17B60FB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2020'!$U$4:$U$5</c:f>
              <c:numCache>
                <c:formatCode>m/d/yyyy</c:formatCode>
                <c:ptCount val="2"/>
                <c:pt idx="0">
                  <c:v>43840</c:v>
                </c:pt>
                <c:pt idx="1">
                  <c:v>43840</c:v>
                </c:pt>
              </c:numCache>
            </c:numRef>
          </c:xVal>
          <c:yVal>
            <c:numRef>
              <c:f>'STEG - jan 2020'!$X$4:$X$5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2B-403F-858A-4D17B60FB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jan 2020'!$W$17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jan 2020'!$G$18:$G$38</c:f>
              <c:numCache>
                <c:formatCode>d\-mmm</c:formatCode>
                <c:ptCount val="21"/>
                <c:pt idx="0">
                  <c:v>43720</c:v>
                </c:pt>
                <c:pt idx="1">
                  <c:v>43726</c:v>
                </c:pt>
                <c:pt idx="2">
                  <c:v>43728</c:v>
                </c:pt>
                <c:pt idx="3">
                  <c:v>43735</c:v>
                </c:pt>
                <c:pt idx="4">
                  <c:v>43755</c:v>
                </c:pt>
                <c:pt idx="5">
                  <c:v>43756</c:v>
                </c:pt>
                <c:pt idx="6">
                  <c:v>43759</c:v>
                </c:pt>
                <c:pt idx="7">
                  <c:v>43760</c:v>
                </c:pt>
                <c:pt idx="8">
                  <c:v>43776</c:v>
                </c:pt>
                <c:pt idx="9">
                  <c:v>43782</c:v>
                </c:pt>
                <c:pt idx="10">
                  <c:v>43783</c:v>
                </c:pt>
                <c:pt idx="11">
                  <c:v>43790</c:v>
                </c:pt>
                <c:pt idx="12">
                  <c:v>43795</c:v>
                </c:pt>
                <c:pt idx="13">
                  <c:v>43796</c:v>
                </c:pt>
                <c:pt idx="14">
                  <c:v>43797</c:v>
                </c:pt>
                <c:pt idx="15">
                  <c:v>43802</c:v>
                </c:pt>
                <c:pt idx="16">
                  <c:v>43809</c:v>
                </c:pt>
                <c:pt idx="17">
                  <c:v>43816</c:v>
                </c:pt>
                <c:pt idx="18">
                  <c:v>43835</c:v>
                </c:pt>
                <c:pt idx="19">
                  <c:v>43839</c:v>
                </c:pt>
                <c:pt idx="20">
                  <c:v>43840</c:v>
                </c:pt>
              </c:numCache>
            </c:numRef>
          </c:cat>
          <c:val>
            <c:numRef>
              <c:f>'STEG - jan 2020'!$W$18:$W$38</c:f>
              <c:numCache>
                <c:formatCode>0.00</c:formatCode>
                <c:ptCount val="21"/>
                <c:pt idx="0">
                  <c:v>46.631999999999998</c:v>
                </c:pt>
                <c:pt idx="1">
                  <c:v>58.187739999999998</c:v>
                </c:pt>
                <c:pt idx="2">
                  <c:v>64.285979999999995</c:v>
                </c:pt>
                <c:pt idx="3">
                  <c:v>80.540479999999988</c:v>
                </c:pt>
                <c:pt idx="4">
                  <c:v>101.26599999999998</c:v>
                </c:pt>
                <c:pt idx="5">
                  <c:v>102.3929</c:v>
                </c:pt>
                <c:pt idx="6">
                  <c:v>106.35533999999998</c:v>
                </c:pt>
                <c:pt idx="7">
                  <c:v>107.26866</c:v>
                </c:pt>
                <c:pt idx="8">
                  <c:v>127.19885999999998</c:v>
                </c:pt>
                <c:pt idx="9">
                  <c:v>139.75759999999997</c:v>
                </c:pt>
                <c:pt idx="10">
                  <c:v>140.88449999999997</c:v>
                </c:pt>
                <c:pt idx="11">
                  <c:v>161.42121999999998</c:v>
                </c:pt>
                <c:pt idx="12">
                  <c:v>191.39675999999997</c:v>
                </c:pt>
                <c:pt idx="13">
                  <c:v>193.64702</c:v>
                </c:pt>
                <c:pt idx="14">
                  <c:v>196.53801999999999</c:v>
                </c:pt>
                <c:pt idx="15">
                  <c:v>208.90677999999997</c:v>
                </c:pt>
                <c:pt idx="16">
                  <c:v>234.80187999999995</c:v>
                </c:pt>
                <c:pt idx="17">
                  <c:v>253.25589999999997</c:v>
                </c:pt>
                <c:pt idx="18">
                  <c:v>370.24464</c:v>
                </c:pt>
                <c:pt idx="19">
                  <c:v>388.84497999999996</c:v>
                </c:pt>
                <c:pt idx="20">
                  <c:v>396.05477999999994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A-402A-B06E-43F651075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jan 2020'!$W$17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jan 2020'!$G$18:$G$38</c:f>
              <c:numCache>
                <c:formatCode>d\-mmm</c:formatCode>
                <c:ptCount val="21"/>
                <c:pt idx="0">
                  <c:v>43720</c:v>
                </c:pt>
                <c:pt idx="1">
                  <c:v>43726</c:v>
                </c:pt>
                <c:pt idx="2">
                  <c:v>43728</c:v>
                </c:pt>
                <c:pt idx="3">
                  <c:v>43735</c:v>
                </c:pt>
                <c:pt idx="4">
                  <c:v>43755</c:v>
                </c:pt>
                <c:pt idx="5">
                  <c:v>43756</c:v>
                </c:pt>
                <c:pt idx="6">
                  <c:v>43759</c:v>
                </c:pt>
                <c:pt idx="7">
                  <c:v>43760</c:v>
                </c:pt>
                <c:pt idx="8">
                  <c:v>43776</c:v>
                </c:pt>
                <c:pt idx="9">
                  <c:v>43782</c:v>
                </c:pt>
                <c:pt idx="10">
                  <c:v>43783</c:v>
                </c:pt>
                <c:pt idx="11">
                  <c:v>43790</c:v>
                </c:pt>
                <c:pt idx="12">
                  <c:v>43795</c:v>
                </c:pt>
                <c:pt idx="13">
                  <c:v>43796</c:v>
                </c:pt>
                <c:pt idx="14">
                  <c:v>43797</c:v>
                </c:pt>
                <c:pt idx="15">
                  <c:v>43802</c:v>
                </c:pt>
                <c:pt idx="16">
                  <c:v>43809</c:v>
                </c:pt>
                <c:pt idx="17">
                  <c:v>43816</c:v>
                </c:pt>
                <c:pt idx="18">
                  <c:v>43835</c:v>
                </c:pt>
                <c:pt idx="19">
                  <c:v>43839</c:v>
                </c:pt>
                <c:pt idx="20">
                  <c:v>43840</c:v>
                </c:pt>
              </c:numCache>
            </c:numRef>
          </c:cat>
          <c:val>
            <c:numRef>
              <c:f>'STEG - jan 2020'!$W$18:$W$38</c:f>
              <c:numCache>
                <c:formatCode>0.00</c:formatCode>
                <c:ptCount val="21"/>
                <c:pt idx="0">
                  <c:v>46.631999999999998</c:v>
                </c:pt>
                <c:pt idx="1">
                  <c:v>58.187739999999998</c:v>
                </c:pt>
                <c:pt idx="2">
                  <c:v>64.285979999999995</c:v>
                </c:pt>
                <c:pt idx="3">
                  <c:v>80.540479999999988</c:v>
                </c:pt>
                <c:pt idx="4">
                  <c:v>101.26599999999998</c:v>
                </c:pt>
                <c:pt idx="5">
                  <c:v>102.3929</c:v>
                </c:pt>
                <c:pt idx="6">
                  <c:v>106.35533999999998</c:v>
                </c:pt>
                <c:pt idx="7">
                  <c:v>107.26866</c:v>
                </c:pt>
                <c:pt idx="8">
                  <c:v>127.19885999999998</c:v>
                </c:pt>
                <c:pt idx="9">
                  <c:v>139.75759999999997</c:v>
                </c:pt>
                <c:pt idx="10">
                  <c:v>140.88449999999997</c:v>
                </c:pt>
                <c:pt idx="11">
                  <c:v>161.42121999999998</c:v>
                </c:pt>
                <c:pt idx="12">
                  <c:v>191.39675999999997</c:v>
                </c:pt>
                <c:pt idx="13">
                  <c:v>193.64702</c:v>
                </c:pt>
                <c:pt idx="14">
                  <c:v>196.53801999999999</c:v>
                </c:pt>
                <c:pt idx="15">
                  <c:v>208.90677999999997</c:v>
                </c:pt>
                <c:pt idx="16">
                  <c:v>234.80187999999995</c:v>
                </c:pt>
                <c:pt idx="17">
                  <c:v>253.25589999999997</c:v>
                </c:pt>
                <c:pt idx="18">
                  <c:v>370.24464</c:v>
                </c:pt>
                <c:pt idx="19">
                  <c:v>388.84497999999996</c:v>
                </c:pt>
                <c:pt idx="20">
                  <c:v>396.05477999999994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EA-402A-B06E-43F651075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'STEG - jan 2020'!$U$4:$U$5</c:f>
              <c:numCache>
                <c:formatCode>m/d/yyyy</c:formatCode>
                <c:ptCount val="2"/>
                <c:pt idx="0">
                  <c:v>43840</c:v>
                </c:pt>
                <c:pt idx="1">
                  <c:v>43840</c:v>
                </c:pt>
              </c:numCache>
            </c:numRef>
          </c:xVal>
          <c:yVal>
            <c:numRef>
              <c:f>'STEG - jan 2020'!$W$4:$W$5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AEA-402A-B06E-43F651075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3840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 2020'!$Q$17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jan 2020'!$G$18:$G$38</c:f>
              <c:numCache>
                <c:formatCode>d\-mmm</c:formatCode>
                <c:ptCount val="21"/>
                <c:pt idx="0">
                  <c:v>43720</c:v>
                </c:pt>
                <c:pt idx="1">
                  <c:v>43726</c:v>
                </c:pt>
                <c:pt idx="2">
                  <c:v>43728</c:v>
                </c:pt>
                <c:pt idx="3">
                  <c:v>43735</c:v>
                </c:pt>
                <c:pt idx="4">
                  <c:v>43755</c:v>
                </c:pt>
                <c:pt idx="5">
                  <c:v>43756</c:v>
                </c:pt>
                <c:pt idx="6">
                  <c:v>43759</c:v>
                </c:pt>
                <c:pt idx="7">
                  <c:v>43760</c:v>
                </c:pt>
                <c:pt idx="8">
                  <c:v>43776</c:v>
                </c:pt>
                <c:pt idx="9">
                  <c:v>43782</c:v>
                </c:pt>
                <c:pt idx="10">
                  <c:v>43783</c:v>
                </c:pt>
                <c:pt idx="11">
                  <c:v>43790</c:v>
                </c:pt>
                <c:pt idx="12">
                  <c:v>43795</c:v>
                </c:pt>
                <c:pt idx="13">
                  <c:v>43796</c:v>
                </c:pt>
                <c:pt idx="14">
                  <c:v>43797</c:v>
                </c:pt>
                <c:pt idx="15">
                  <c:v>43802</c:v>
                </c:pt>
                <c:pt idx="16">
                  <c:v>43809</c:v>
                </c:pt>
                <c:pt idx="17">
                  <c:v>43816</c:v>
                </c:pt>
                <c:pt idx="18">
                  <c:v>43835</c:v>
                </c:pt>
                <c:pt idx="19">
                  <c:v>43839</c:v>
                </c:pt>
                <c:pt idx="20">
                  <c:v>43840</c:v>
                </c:pt>
              </c:numCache>
            </c:numRef>
          </c:cat>
          <c:val>
            <c:numRef>
              <c:f>'STEG - jan 2020'!$Q$18:$Q$38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21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37</c:v>
                </c:pt>
                <c:pt idx="9">
                  <c:v>58</c:v>
                </c:pt>
                <c:pt idx="10">
                  <c:v>59</c:v>
                </c:pt>
                <c:pt idx="11">
                  <c:v>103</c:v>
                </c:pt>
                <c:pt idx="12">
                  <c:v>131</c:v>
                </c:pt>
                <c:pt idx="13">
                  <c:v>135</c:v>
                </c:pt>
                <c:pt idx="14">
                  <c:v>139</c:v>
                </c:pt>
                <c:pt idx="15">
                  <c:v>157</c:v>
                </c:pt>
                <c:pt idx="16">
                  <c:v>198</c:v>
                </c:pt>
                <c:pt idx="17">
                  <c:v>229</c:v>
                </c:pt>
                <c:pt idx="18">
                  <c:v>356</c:v>
                </c:pt>
                <c:pt idx="19">
                  <c:v>386</c:v>
                </c:pt>
                <c:pt idx="20">
                  <c:v>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9C-4C16-9F0D-FD247FAEC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2020'!$U$4:$U$5</c:f>
              <c:numCache>
                <c:formatCode>m/d/yyyy</c:formatCode>
                <c:ptCount val="2"/>
                <c:pt idx="0">
                  <c:v>43840</c:v>
                </c:pt>
                <c:pt idx="1">
                  <c:v>43840</c:v>
                </c:pt>
              </c:numCache>
            </c:numRef>
          </c:xVal>
          <c:yVal>
            <c:numRef>
              <c:f>'STEG - jan 2020'!$X$4:$X$5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9C-4C16-9F0D-FD247FAEC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840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Mai 2020'!$F$17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Mai 2020'!$G$18:$G$38</c:f>
              <c:numCache>
                <c:formatCode>d\-mmm</c:formatCode>
                <c:ptCount val="21"/>
                <c:pt idx="0">
                  <c:v>43840</c:v>
                </c:pt>
                <c:pt idx="1">
                  <c:v>43853</c:v>
                </c:pt>
                <c:pt idx="2">
                  <c:v>43872</c:v>
                </c:pt>
                <c:pt idx="3">
                  <c:v>43874</c:v>
                </c:pt>
                <c:pt idx="4">
                  <c:v>43880</c:v>
                </c:pt>
                <c:pt idx="5">
                  <c:v>43889</c:v>
                </c:pt>
                <c:pt idx="6">
                  <c:v>43893</c:v>
                </c:pt>
                <c:pt idx="7">
                  <c:v>43928</c:v>
                </c:pt>
                <c:pt idx="8">
                  <c:v>43929</c:v>
                </c:pt>
                <c:pt idx="9">
                  <c:v>43930</c:v>
                </c:pt>
                <c:pt idx="10">
                  <c:v>43931</c:v>
                </c:pt>
                <c:pt idx="11">
                  <c:v>43932</c:v>
                </c:pt>
                <c:pt idx="12">
                  <c:v>43936</c:v>
                </c:pt>
                <c:pt idx="13">
                  <c:v>43937</c:v>
                </c:pt>
                <c:pt idx="14">
                  <c:v>43939</c:v>
                </c:pt>
                <c:pt idx="15">
                  <c:v>43941</c:v>
                </c:pt>
                <c:pt idx="16">
                  <c:v>43943</c:v>
                </c:pt>
                <c:pt idx="17">
                  <c:v>43946</c:v>
                </c:pt>
                <c:pt idx="18">
                  <c:v>43949</c:v>
                </c:pt>
                <c:pt idx="19">
                  <c:v>43955</c:v>
                </c:pt>
                <c:pt idx="20">
                  <c:v>43956</c:v>
                </c:pt>
              </c:numCache>
            </c:numRef>
          </c:cat>
          <c:val>
            <c:numRef>
              <c:f>'STEG - Mai 2020'!$F$18:$F$38</c:f>
              <c:numCache>
                <c:formatCode>General</c:formatCode>
                <c:ptCount val="21"/>
                <c:pt idx="0">
                  <c:v>0</c:v>
                </c:pt>
                <c:pt idx="1">
                  <c:v>65</c:v>
                </c:pt>
                <c:pt idx="2">
                  <c:v>170</c:v>
                </c:pt>
                <c:pt idx="3">
                  <c:v>181</c:v>
                </c:pt>
                <c:pt idx="4">
                  <c:v>213</c:v>
                </c:pt>
                <c:pt idx="5">
                  <c:v>287</c:v>
                </c:pt>
                <c:pt idx="6">
                  <c:v>293</c:v>
                </c:pt>
                <c:pt idx="7">
                  <c:v>501</c:v>
                </c:pt>
                <c:pt idx="8">
                  <c:v>508</c:v>
                </c:pt>
                <c:pt idx="9">
                  <c:v>513</c:v>
                </c:pt>
                <c:pt idx="10">
                  <c:v>519</c:v>
                </c:pt>
                <c:pt idx="11">
                  <c:v>525</c:v>
                </c:pt>
                <c:pt idx="12">
                  <c:v>548</c:v>
                </c:pt>
                <c:pt idx="13">
                  <c:v>554</c:v>
                </c:pt>
                <c:pt idx="14">
                  <c:v>566</c:v>
                </c:pt>
                <c:pt idx="15">
                  <c:v>580</c:v>
                </c:pt>
                <c:pt idx="16">
                  <c:v>591</c:v>
                </c:pt>
                <c:pt idx="17">
                  <c:v>612</c:v>
                </c:pt>
                <c:pt idx="18">
                  <c:v>630</c:v>
                </c:pt>
                <c:pt idx="19">
                  <c:v>670</c:v>
                </c:pt>
                <c:pt idx="20">
                  <c:v>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DC-4A8A-B292-568DDE7D3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Mai 2020'!$U$4:$U$5</c:f>
              <c:numCache>
                <c:formatCode>m/d/yyyy</c:formatCode>
                <c:ptCount val="2"/>
                <c:pt idx="0">
                  <c:v>43956</c:v>
                </c:pt>
                <c:pt idx="1">
                  <c:v>43956</c:v>
                </c:pt>
              </c:numCache>
            </c:numRef>
          </c:xVal>
          <c:yVal>
            <c:numRef>
              <c:f>'STEG - Mai 2020'!$X$4:$X$5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DC-4A8A-B292-568DDE7D3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956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Mai 2020'!$Q$17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Mai 2020'!$G$18:$G$38</c:f>
              <c:numCache>
                <c:formatCode>d\-mmm</c:formatCode>
                <c:ptCount val="21"/>
                <c:pt idx="0">
                  <c:v>43840</c:v>
                </c:pt>
                <c:pt idx="1">
                  <c:v>43853</c:v>
                </c:pt>
                <c:pt idx="2">
                  <c:v>43872</c:v>
                </c:pt>
                <c:pt idx="3">
                  <c:v>43874</c:v>
                </c:pt>
                <c:pt idx="4">
                  <c:v>43880</c:v>
                </c:pt>
                <c:pt idx="5">
                  <c:v>43889</c:v>
                </c:pt>
                <c:pt idx="6">
                  <c:v>43893</c:v>
                </c:pt>
                <c:pt idx="7">
                  <c:v>43928</c:v>
                </c:pt>
                <c:pt idx="8">
                  <c:v>43929</c:v>
                </c:pt>
                <c:pt idx="9">
                  <c:v>43930</c:v>
                </c:pt>
                <c:pt idx="10">
                  <c:v>43931</c:v>
                </c:pt>
                <c:pt idx="11">
                  <c:v>43932</c:v>
                </c:pt>
                <c:pt idx="12">
                  <c:v>43936</c:v>
                </c:pt>
                <c:pt idx="13">
                  <c:v>43937</c:v>
                </c:pt>
                <c:pt idx="14">
                  <c:v>43939</c:v>
                </c:pt>
                <c:pt idx="15">
                  <c:v>43941</c:v>
                </c:pt>
                <c:pt idx="16">
                  <c:v>43943</c:v>
                </c:pt>
                <c:pt idx="17">
                  <c:v>43946</c:v>
                </c:pt>
                <c:pt idx="18">
                  <c:v>43949</c:v>
                </c:pt>
                <c:pt idx="19">
                  <c:v>43955</c:v>
                </c:pt>
                <c:pt idx="20">
                  <c:v>43956</c:v>
                </c:pt>
              </c:numCache>
            </c:numRef>
          </c:cat>
          <c:val>
            <c:numRef>
              <c:f>'STEG - Mai 2020'!$Q$18:$Q$38</c:f>
              <c:numCache>
                <c:formatCode>General</c:formatCode>
                <c:ptCount val="21"/>
                <c:pt idx="0">
                  <c:v>0</c:v>
                </c:pt>
                <c:pt idx="1">
                  <c:v>121</c:v>
                </c:pt>
                <c:pt idx="2">
                  <c:v>193</c:v>
                </c:pt>
                <c:pt idx="3">
                  <c:v>269</c:v>
                </c:pt>
                <c:pt idx="4">
                  <c:v>303</c:v>
                </c:pt>
                <c:pt idx="5">
                  <c:v>352</c:v>
                </c:pt>
                <c:pt idx="6">
                  <c:v>359</c:v>
                </c:pt>
                <c:pt idx="7">
                  <c:v>621</c:v>
                </c:pt>
                <c:pt idx="8">
                  <c:v>625</c:v>
                </c:pt>
                <c:pt idx="9">
                  <c:v>626</c:v>
                </c:pt>
                <c:pt idx="10">
                  <c:v>632</c:v>
                </c:pt>
                <c:pt idx="11">
                  <c:v>636</c:v>
                </c:pt>
                <c:pt idx="12">
                  <c:v>645</c:v>
                </c:pt>
                <c:pt idx="13">
                  <c:v>646</c:v>
                </c:pt>
                <c:pt idx="14">
                  <c:v>649</c:v>
                </c:pt>
                <c:pt idx="15">
                  <c:v>652</c:v>
                </c:pt>
                <c:pt idx="16">
                  <c:v>654</c:v>
                </c:pt>
                <c:pt idx="17">
                  <c:v>658</c:v>
                </c:pt>
                <c:pt idx="18">
                  <c:v>662</c:v>
                </c:pt>
                <c:pt idx="19">
                  <c:v>668</c:v>
                </c:pt>
                <c:pt idx="20">
                  <c:v>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9-4191-AB3D-7E3396609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Mai 2020'!$U$4:$U$5</c:f>
              <c:numCache>
                <c:formatCode>m/d/yyyy</c:formatCode>
                <c:ptCount val="2"/>
                <c:pt idx="0">
                  <c:v>43956</c:v>
                </c:pt>
                <c:pt idx="1">
                  <c:v>43956</c:v>
                </c:pt>
              </c:numCache>
            </c:numRef>
          </c:xVal>
          <c:yVal>
            <c:numRef>
              <c:f>'STEG - Mai 2020'!$X$4:$X$5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C9-4191-AB3D-7E3396609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Mai 2020'!$W$17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Mai 2020'!$G$18:$G$38</c:f>
              <c:numCache>
                <c:formatCode>d\-mmm</c:formatCode>
                <c:ptCount val="21"/>
                <c:pt idx="0">
                  <c:v>43840</c:v>
                </c:pt>
                <c:pt idx="1">
                  <c:v>43853</c:v>
                </c:pt>
                <c:pt idx="2">
                  <c:v>43872</c:v>
                </c:pt>
                <c:pt idx="3">
                  <c:v>43874</c:v>
                </c:pt>
                <c:pt idx="4">
                  <c:v>43880</c:v>
                </c:pt>
                <c:pt idx="5">
                  <c:v>43889</c:v>
                </c:pt>
                <c:pt idx="6">
                  <c:v>43893</c:v>
                </c:pt>
                <c:pt idx="7">
                  <c:v>43928</c:v>
                </c:pt>
                <c:pt idx="8">
                  <c:v>43929</c:v>
                </c:pt>
                <c:pt idx="9">
                  <c:v>43930</c:v>
                </c:pt>
                <c:pt idx="10">
                  <c:v>43931</c:v>
                </c:pt>
                <c:pt idx="11">
                  <c:v>43932</c:v>
                </c:pt>
                <c:pt idx="12">
                  <c:v>43936</c:v>
                </c:pt>
                <c:pt idx="13">
                  <c:v>43937</c:v>
                </c:pt>
                <c:pt idx="14">
                  <c:v>43939</c:v>
                </c:pt>
                <c:pt idx="15">
                  <c:v>43941</c:v>
                </c:pt>
                <c:pt idx="16">
                  <c:v>43943</c:v>
                </c:pt>
                <c:pt idx="17">
                  <c:v>43946</c:v>
                </c:pt>
                <c:pt idx="18">
                  <c:v>43949</c:v>
                </c:pt>
                <c:pt idx="19">
                  <c:v>43955</c:v>
                </c:pt>
                <c:pt idx="20">
                  <c:v>43956</c:v>
                </c:pt>
              </c:numCache>
            </c:numRef>
          </c:cat>
          <c:val>
            <c:numRef>
              <c:f>'STEG - Mai 2020'!$W$18:$W$38</c:f>
              <c:numCache>
                <c:formatCode>0.00</c:formatCode>
                <c:ptCount val="21"/>
                <c:pt idx="0">
                  <c:v>46.631999999999998</c:v>
                </c:pt>
                <c:pt idx="1">
                  <c:v>109.20267999999999</c:v>
                </c:pt>
                <c:pt idx="2">
                  <c:v>160.59994</c:v>
                </c:pt>
                <c:pt idx="3">
                  <c:v>227.17671999999999</c:v>
                </c:pt>
                <c:pt idx="4">
                  <c:v>251.94492</c:v>
                </c:pt>
                <c:pt idx="5">
                  <c:v>293.59537999999998</c:v>
                </c:pt>
                <c:pt idx="6">
                  <c:v>298.56907999999999</c:v>
                </c:pt>
                <c:pt idx="7">
                  <c:v>522.95669999999996</c:v>
                </c:pt>
                <c:pt idx="8">
                  <c:v>526.8306399999999</c:v>
                </c:pt>
                <c:pt idx="9">
                  <c:v>528.49325999999996</c:v>
                </c:pt>
                <c:pt idx="10">
                  <c:v>533.34306000000004</c:v>
                </c:pt>
                <c:pt idx="11">
                  <c:v>537.00342000000001</c:v>
                </c:pt>
                <c:pt idx="12">
                  <c:v>547.26823999999999</c:v>
                </c:pt>
                <c:pt idx="13">
                  <c:v>549.14444000000003</c:v>
                </c:pt>
                <c:pt idx="14">
                  <c:v>553.49155999999994</c:v>
                </c:pt>
                <c:pt idx="15">
                  <c:v>558.26583999999991</c:v>
                </c:pt>
                <c:pt idx="16">
                  <c:v>561.8046599999999</c:v>
                </c:pt>
                <c:pt idx="17">
                  <c:v>568.66871999999989</c:v>
                </c:pt>
                <c:pt idx="18">
                  <c:v>574.89203999999995</c:v>
                </c:pt>
                <c:pt idx="19">
                  <c:v>587.00355999999999</c:v>
                </c:pt>
                <c:pt idx="20">
                  <c:v>591.63977999999997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9-4C2E-A6BB-B3227D019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Mai 2020'!$W$17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Mai 2020'!$G$18:$G$38</c:f>
              <c:numCache>
                <c:formatCode>d\-mmm</c:formatCode>
                <c:ptCount val="21"/>
                <c:pt idx="0">
                  <c:v>43840</c:v>
                </c:pt>
                <c:pt idx="1">
                  <c:v>43853</c:v>
                </c:pt>
                <c:pt idx="2">
                  <c:v>43872</c:v>
                </c:pt>
                <c:pt idx="3">
                  <c:v>43874</c:v>
                </c:pt>
                <c:pt idx="4">
                  <c:v>43880</c:v>
                </c:pt>
                <c:pt idx="5">
                  <c:v>43889</c:v>
                </c:pt>
                <c:pt idx="6">
                  <c:v>43893</c:v>
                </c:pt>
                <c:pt idx="7">
                  <c:v>43928</c:v>
                </c:pt>
                <c:pt idx="8">
                  <c:v>43929</c:v>
                </c:pt>
                <c:pt idx="9">
                  <c:v>43930</c:v>
                </c:pt>
                <c:pt idx="10">
                  <c:v>43931</c:v>
                </c:pt>
                <c:pt idx="11">
                  <c:v>43932</c:v>
                </c:pt>
                <c:pt idx="12">
                  <c:v>43936</c:v>
                </c:pt>
                <c:pt idx="13">
                  <c:v>43937</c:v>
                </c:pt>
                <c:pt idx="14">
                  <c:v>43939</c:v>
                </c:pt>
                <c:pt idx="15">
                  <c:v>43941</c:v>
                </c:pt>
                <c:pt idx="16">
                  <c:v>43943</c:v>
                </c:pt>
                <c:pt idx="17">
                  <c:v>43946</c:v>
                </c:pt>
                <c:pt idx="18">
                  <c:v>43949</c:v>
                </c:pt>
                <c:pt idx="19">
                  <c:v>43955</c:v>
                </c:pt>
                <c:pt idx="20">
                  <c:v>43956</c:v>
                </c:pt>
              </c:numCache>
            </c:numRef>
          </c:cat>
          <c:val>
            <c:numRef>
              <c:f>'STEG - Mai 2020'!$W$18:$W$38</c:f>
              <c:numCache>
                <c:formatCode>0.00</c:formatCode>
                <c:ptCount val="21"/>
                <c:pt idx="0">
                  <c:v>46.631999999999998</c:v>
                </c:pt>
                <c:pt idx="1">
                  <c:v>109.20267999999999</c:v>
                </c:pt>
                <c:pt idx="2">
                  <c:v>160.59994</c:v>
                </c:pt>
                <c:pt idx="3">
                  <c:v>227.17671999999999</c:v>
                </c:pt>
                <c:pt idx="4">
                  <c:v>251.94492</c:v>
                </c:pt>
                <c:pt idx="5">
                  <c:v>293.59537999999998</c:v>
                </c:pt>
                <c:pt idx="6">
                  <c:v>298.56907999999999</c:v>
                </c:pt>
                <c:pt idx="7">
                  <c:v>522.95669999999996</c:v>
                </c:pt>
                <c:pt idx="8">
                  <c:v>526.8306399999999</c:v>
                </c:pt>
                <c:pt idx="9">
                  <c:v>528.49325999999996</c:v>
                </c:pt>
                <c:pt idx="10">
                  <c:v>533.34306000000004</c:v>
                </c:pt>
                <c:pt idx="11">
                  <c:v>537.00342000000001</c:v>
                </c:pt>
                <c:pt idx="12">
                  <c:v>547.26823999999999</c:v>
                </c:pt>
                <c:pt idx="13">
                  <c:v>549.14444000000003</c:v>
                </c:pt>
                <c:pt idx="14">
                  <c:v>553.49155999999994</c:v>
                </c:pt>
                <c:pt idx="15">
                  <c:v>558.26583999999991</c:v>
                </c:pt>
                <c:pt idx="16">
                  <c:v>561.8046599999999</c:v>
                </c:pt>
                <c:pt idx="17">
                  <c:v>568.66871999999989</c:v>
                </c:pt>
                <c:pt idx="18">
                  <c:v>574.89203999999995</c:v>
                </c:pt>
                <c:pt idx="19">
                  <c:v>587.00355999999999</c:v>
                </c:pt>
                <c:pt idx="20">
                  <c:v>591.63977999999997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99-4C2E-A6BB-B3227D019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'STEG - Mai 2020'!$U$4:$U$5</c:f>
              <c:numCache>
                <c:formatCode>m/d/yyyy</c:formatCode>
                <c:ptCount val="2"/>
                <c:pt idx="0">
                  <c:v>43956</c:v>
                </c:pt>
                <c:pt idx="1">
                  <c:v>43956</c:v>
                </c:pt>
              </c:numCache>
            </c:numRef>
          </c:xVal>
          <c:yVal>
            <c:numRef>
              <c:f>'STEG - Mai 2020'!$W$4:$W$5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599-4C2E-A6BB-B3227D019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3956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Mai 2020'!$Q$17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Mai 2020'!$G$18:$G$38</c:f>
              <c:numCache>
                <c:formatCode>d\-mmm</c:formatCode>
                <c:ptCount val="21"/>
                <c:pt idx="0">
                  <c:v>43840</c:v>
                </c:pt>
                <c:pt idx="1">
                  <c:v>43853</c:v>
                </c:pt>
                <c:pt idx="2">
                  <c:v>43872</c:v>
                </c:pt>
                <c:pt idx="3">
                  <c:v>43874</c:v>
                </c:pt>
                <c:pt idx="4">
                  <c:v>43880</c:v>
                </c:pt>
                <c:pt idx="5">
                  <c:v>43889</c:v>
                </c:pt>
                <c:pt idx="6">
                  <c:v>43893</c:v>
                </c:pt>
                <c:pt idx="7">
                  <c:v>43928</c:v>
                </c:pt>
                <c:pt idx="8">
                  <c:v>43929</c:v>
                </c:pt>
                <c:pt idx="9">
                  <c:v>43930</c:v>
                </c:pt>
                <c:pt idx="10">
                  <c:v>43931</c:v>
                </c:pt>
                <c:pt idx="11">
                  <c:v>43932</c:v>
                </c:pt>
                <c:pt idx="12">
                  <c:v>43936</c:v>
                </c:pt>
                <c:pt idx="13">
                  <c:v>43937</c:v>
                </c:pt>
                <c:pt idx="14">
                  <c:v>43939</c:v>
                </c:pt>
                <c:pt idx="15">
                  <c:v>43941</c:v>
                </c:pt>
                <c:pt idx="16">
                  <c:v>43943</c:v>
                </c:pt>
                <c:pt idx="17">
                  <c:v>43946</c:v>
                </c:pt>
                <c:pt idx="18">
                  <c:v>43949</c:v>
                </c:pt>
                <c:pt idx="19">
                  <c:v>43955</c:v>
                </c:pt>
                <c:pt idx="20">
                  <c:v>43956</c:v>
                </c:pt>
              </c:numCache>
            </c:numRef>
          </c:cat>
          <c:val>
            <c:numRef>
              <c:f>'STEG - Mai 2020'!$Q$18:$Q$38</c:f>
              <c:numCache>
                <c:formatCode>General</c:formatCode>
                <c:ptCount val="21"/>
                <c:pt idx="0">
                  <c:v>0</c:v>
                </c:pt>
                <c:pt idx="1">
                  <c:v>121</c:v>
                </c:pt>
                <c:pt idx="2">
                  <c:v>193</c:v>
                </c:pt>
                <c:pt idx="3">
                  <c:v>269</c:v>
                </c:pt>
                <c:pt idx="4">
                  <c:v>303</c:v>
                </c:pt>
                <c:pt idx="5">
                  <c:v>352</c:v>
                </c:pt>
                <c:pt idx="6">
                  <c:v>359</c:v>
                </c:pt>
                <c:pt idx="7">
                  <c:v>621</c:v>
                </c:pt>
                <c:pt idx="8">
                  <c:v>625</c:v>
                </c:pt>
                <c:pt idx="9">
                  <c:v>626</c:v>
                </c:pt>
                <c:pt idx="10">
                  <c:v>632</c:v>
                </c:pt>
                <c:pt idx="11">
                  <c:v>636</c:v>
                </c:pt>
                <c:pt idx="12">
                  <c:v>645</c:v>
                </c:pt>
                <c:pt idx="13">
                  <c:v>646</c:v>
                </c:pt>
                <c:pt idx="14">
                  <c:v>649</c:v>
                </c:pt>
                <c:pt idx="15">
                  <c:v>652</c:v>
                </c:pt>
                <c:pt idx="16">
                  <c:v>654</c:v>
                </c:pt>
                <c:pt idx="17">
                  <c:v>658</c:v>
                </c:pt>
                <c:pt idx="18">
                  <c:v>662</c:v>
                </c:pt>
                <c:pt idx="19">
                  <c:v>668</c:v>
                </c:pt>
                <c:pt idx="20">
                  <c:v>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8-444F-B26F-E38FF1841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Mai 2020'!$U$4:$U$5</c:f>
              <c:numCache>
                <c:formatCode>m/d/yyyy</c:formatCode>
                <c:ptCount val="2"/>
                <c:pt idx="0">
                  <c:v>43956</c:v>
                </c:pt>
                <c:pt idx="1">
                  <c:v>43956</c:v>
                </c:pt>
              </c:numCache>
            </c:numRef>
          </c:xVal>
          <c:yVal>
            <c:numRef>
              <c:f>'STEG - Mai 2020'!$X$4:$X$5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48-444F-B26F-E38FF1841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956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 2020'!$F$17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Sep 2020'!$G$18:$G$37</c:f>
              <c:numCache>
                <c:formatCode>d\-mmm</c:formatCode>
                <c:ptCount val="20"/>
                <c:pt idx="0">
                  <c:v>43956</c:v>
                </c:pt>
                <c:pt idx="1">
                  <c:v>43958</c:v>
                </c:pt>
                <c:pt idx="2">
                  <c:v>43967</c:v>
                </c:pt>
                <c:pt idx="3">
                  <c:v>43990</c:v>
                </c:pt>
                <c:pt idx="4">
                  <c:v>44028</c:v>
                </c:pt>
                <c:pt idx="5">
                  <c:v>44029</c:v>
                </c:pt>
                <c:pt idx="6">
                  <c:v>44030</c:v>
                </c:pt>
                <c:pt idx="7">
                  <c:v>44032</c:v>
                </c:pt>
                <c:pt idx="8">
                  <c:v>44037</c:v>
                </c:pt>
                <c:pt idx="9">
                  <c:v>44053</c:v>
                </c:pt>
                <c:pt idx="10">
                  <c:v>44060</c:v>
                </c:pt>
                <c:pt idx="11">
                  <c:v>44061</c:v>
                </c:pt>
                <c:pt idx="12">
                  <c:v>44062</c:v>
                </c:pt>
                <c:pt idx="13">
                  <c:v>44068</c:v>
                </c:pt>
                <c:pt idx="14">
                  <c:v>44072</c:v>
                </c:pt>
                <c:pt idx="15">
                  <c:v>44073</c:v>
                </c:pt>
                <c:pt idx="16">
                  <c:v>44074</c:v>
                </c:pt>
                <c:pt idx="17">
                  <c:v>44080</c:v>
                </c:pt>
                <c:pt idx="18">
                  <c:v>44081</c:v>
                </c:pt>
                <c:pt idx="19">
                  <c:v>44082</c:v>
                </c:pt>
              </c:numCache>
            </c:numRef>
          </c:cat>
          <c:val>
            <c:numRef>
              <c:f>'STEG - Sep 2020'!$F$18:$F$37</c:f>
              <c:numCache>
                <c:formatCode>General</c:formatCode>
                <c:ptCount val="20"/>
                <c:pt idx="0">
                  <c:v>0</c:v>
                </c:pt>
                <c:pt idx="1">
                  <c:v>12</c:v>
                </c:pt>
                <c:pt idx="2">
                  <c:v>70</c:v>
                </c:pt>
                <c:pt idx="3">
                  <c:v>193</c:v>
                </c:pt>
                <c:pt idx="4">
                  <c:v>518</c:v>
                </c:pt>
                <c:pt idx="5">
                  <c:v>522</c:v>
                </c:pt>
                <c:pt idx="6">
                  <c:v>526</c:v>
                </c:pt>
                <c:pt idx="7">
                  <c:v>533</c:v>
                </c:pt>
                <c:pt idx="8">
                  <c:v>562</c:v>
                </c:pt>
                <c:pt idx="9">
                  <c:v>739</c:v>
                </c:pt>
                <c:pt idx="10">
                  <c:v>907</c:v>
                </c:pt>
                <c:pt idx="11">
                  <c:v>927</c:v>
                </c:pt>
                <c:pt idx="12">
                  <c:v>954</c:v>
                </c:pt>
                <c:pt idx="13">
                  <c:v>1054</c:v>
                </c:pt>
                <c:pt idx="14">
                  <c:v>1127</c:v>
                </c:pt>
                <c:pt idx="15">
                  <c:v>1159</c:v>
                </c:pt>
                <c:pt idx="16">
                  <c:v>1167</c:v>
                </c:pt>
                <c:pt idx="17">
                  <c:v>1218</c:v>
                </c:pt>
                <c:pt idx="18">
                  <c:v>1224</c:v>
                </c:pt>
                <c:pt idx="19">
                  <c:v>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83-4EF0-93A5-C0AE10329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 2020'!$U$4:$U$5</c:f>
              <c:numCache>
                <c:formatCode>m/d/yyyy</c:formatCode>
                <c:ptCount val="2"/>
                <c:pt idx="0">
                  <c:v>44082</c:v>
                </c:pt>
                <c:pt idx="1">
                  <c:v>44082</c:v>
                </c:pt>
              </c:numCache>
            </c:numRef>
          </c:xVal>
          <c:yVal>
            <c:numRef>
              <c:f>'STEG - Sep 2020'!$X$4:$X$5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83-4EF0-93A5-C0AE10329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08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 2020'!$Q$17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Sep 2020'!$G$18:$G$37</c:f>
              <c:numCache>
                <c:formatCode>d\-mmm</c:formatCode>
                <c:ptCount val="20"/>
                <c:pt idx="0">
                  <c:v>43956</c:v>
                </c:pt>
                <c:pt idx="1">
                  <c:v>43958</c:v>
                </c:pt>
                <c:pt idx="2">
                  <c:v>43967</c:v>
                </c:pt>
                <c:pt idx="3">
                  <c:v>43990</c:v>
                </c:pt>
                <c:pt idx="4">
                  <c:v>44028</c:v>
                </c:pt>
                <c:pt idx="5">
                  <c:v>44029</c:v>
                </c:pt>
                <c:pt idx="6">
                  <c:v>44030</c:v>
                </c:pt>
                <c:pt idx="7">
                  <c:v>44032</c:v>
                </c:pt>
                <c:pt idx="8">
                  <c:v>44037</c:v>
                </c:pt>
                <c:pt idx="9">
                  <c:v>44053</c:v>
                </c:pt>
                <c:pt idx="10">
                  <c:v>44060</c:v>
                </c:pt>
                <c:pt idx="11">
                  <c:v>44061</c:v>
                </c:pt>
                <c:pt idx="12">
                  <c:v>44062</c:v>
                </c:pt>
                <c:pt idx="13">
                  <c:v>44068</c:v>
                </c:pt>
                <c:pt idx="14">
                  <c:v>44072</c:v>
                </c:pt>
                <c:pt idx="15">
                  <c:v>44073</c:v>
                </c:pt>
                <c:pt idx="16">
                  <c:v>44074</c:v>
                </c:pt>
                <c:pt idx="17">
                  <c:v>44080</c:v>
                </c:pt>
                <c:pt idx="18">
                  <c:v>44081</c:v>
                </c:pt>
                <c:pt idx="19">
                  <c:v>44082</c:v>
                </c:pt>
              </c:numCache>
            </c:numRef>
          </c:cat>
          <c:val>
            <c:numRef>
              <c:f>'STEG - Sep 2020'!$Q$18:$Q$37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29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46</c:v>
                </c:pt>
                <c:pt idx="8">
                  <c:v>47</c:v>
                </c:pt>
                <c:pt idx="9">
                  <c:v>53</c:v>
                </c:pt>
                <c:pt idx="10">
                  <c:v>55</c:v>
                </c:pt>
                <c:pt idx="11">
                  <c:v>56</c:v>
                </c:pt>
                <c:pt idx="12">
                  <c:v>56</c:v>
                </c:pt>
                <c:pt idx="13">
                  <c:v>59</c:v>
                </c:pt>
                <c:pt idx="14">
                  <c:v>61</c:v>
                </c:pt>
                <c:pt idx="15">
                  <c:v>62</c:v>
                </c:pt>
                <c:pt idx="16">
                  <c:v>62</c:v>
                </c:pt>
                <c:pt idx="17">
                  <c:v>65</c:v>
                </c:pt>
                <c:pt idx="18">
                  <c:v>67</c:v>
                </c:pt>
                <c:pt idx="1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8-4ADE-A0BF-9EC7CF58C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 2020'!$U$4:$U$5</c:f>
              <c:numCache>
                <c:formatCode>m/d/yyyy</c:formatCode>
                <c:ptCount val="2"/>
                <c:pt idx="0">
                  <c:v>44082</c:v>
                </c:pt>
                <c:pt idx="1">
                  <c:v>44082</c:v>
                </c:pt>
              </c:numCache>
            </c:numRef>
          </c:xVal>
          <c:yVal>
            <c:numRef>
              <c:f>'STEG - Sep 2020'!$X$4:$X$5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A8-4ADE-A0BF-9EC7CF58C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Sep 2020'!$W$17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Sep 2020'!$G$18:$G$37</c:f>
              <c:numCache>
                <c:formatCode>d\-mmm</c:formatCode>
                <c:ptCount val="20"/>
                <c:pt idx="0">
                  <c:v>43956</c:v>
                </c:pt>
                <c:pt idx="1">
                  <c:v>43958</c:v>
                </c:pt>
                <c:pt idx="2">
                  <c:v>43967</c:v>
                </c:pt>
                <c:pt idx="3">
                  <c:v>43990</c:v>
                </c:pt>
                <c:pt idx="4">
                  <c:v>44028</c:v>
                </c:pt>
                <c:pt idx="5">
                  <c:v>44029</c:v>
                </c:pt>
                <c:pt idx="6">
                  <c:v>44030</c:v>
                </c:pt>
                <c:pt idx="7">
                  <c:v>44032</c:v>
                </c:pt>
                <c:pt idx="8">
                  <c:v>44037</c:v>
                </c:pt>
                <c:pt idx="9">
                  <c:v>44053</c:v>
                </c:pt>
                <c:pt idx="10">
                  <c:v>44060</c:v>
                </c:pt>
                <c:pt idx="11">
                  <c:v>44061</c:v>
                </c:pt>
                <c:pt idx="12">
                  <c:v>44062</c:v>
                </c:pt>
                <c:pt idx="13">
                  <c:v>44068</c:v>
                </c:pt>
                <c:pt idx="14">
                  <c:v>44072</c:v>
                </c:pt>
                <c:pt idx="15">
                  <c:v>44073</c:v>
                </c:pt>
                <c:pt idx="16">
                  <c:v>44074</c:v>
                </c:pt>
                <c:pt idx="17">
                  <c:v>44080</c:v>
                </c:pt>
                <c:pt idx="18">
                  <c:v>44081</c:v>
                </c:pt>
                <c:pt idx="19">
                  <c:v>44082</c:v>
                </c:pt>
              </c:numCache>
            </c:numRef>
          </c:cat>
          <c:val>
            <c:numRef>
              <c:f>'STEG - Sep 2020'!$W$18:$W$37</c:f>
              <c:numCache>
                <c:formatCode>0.00</c:formatCode>
                <c:ptCount val="20"/>
                <c:pt idx="0">
                  <c:v>46.631999999999998</c:v>
                </c:pt>
                <c:pt idx="1">
                  <c:v>49.46754</c:v>
                </c:pt>
                <c:pt idx="2">
                  <c:v>64.308400000000006</c:v>
                </c:pt>
                <c:pt idx="3">
                  <c:v>95.75775999999999</c:v>
                </c:pt>
                <c:pt idx="4">
                  <c:v>169.53253999999998</c:v>
                </c:pt>
                <c:pt idx="5">
                  <c:v>170.38686000000001</c:v>
                </c:pt>
                <c:pt idx="6">
                  <c:v>171.24117999999999</c:v>
                </c:pt>
                <c:pt idx="7">
                  <c:v>173.00881999999999</c:v>
                </c:pt>
                <c:pt idx="8">
                  <c:v>179.47521999999998</c:v>
                </c:pt>
                <c:pt idx="9">
                  <c:v>218.91435999999996</c:v>
                </c:pt>
                <c:pt idx="10">
                  <c:v>260.64388000000002</c:v>
                </c:pt>
                <c:pt idx="11">
                  <c:v>266.17926</c:v>
                </c:pt>
                <c:pt idx="12">
                  <c:v>273.28404</c:v>
                </c:pt>
                <c:pt idx="13">
                  <c:v>300.41577999999998</c:v>
                </c:pt>
                <c:pt idx="14">
                  <c:v>320.17015999999995</c:v>
                </c:pt>
                <c:pt idx="15">
                  <c:v>328.86322000000001</c:v>
                </c:pt>
                <c:pt idx="16">
                  <c:v>330.96833999999996</c:v>
                </c:pt>
                <c:pt idx="17">
                  <c:v>347.55559999999991</c:v>
                </c:pt>
                <c:pt idx="18">
                  <c:v>350.55043999999992</c:v>
                </c:pt>
                <c:pt idx="19">
                  <c:v>352.59183999999999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DFF-9603-DA242A6D3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Sep 2020'!$W$17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16068860623191331"/>
                  <c:y val="0.21961890037270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Sep 2020'!$G$18:$G$37</c:f>
              <c:numCache>
                <c:formatCode>d\-mmm</c:formatCode>
                <c:ptCount val="20"/>
                <c:pt idx="0">
                  <c:v>43956</c:v>
                </c:pt>
                <c:pt idx="1">
                  <c:v>43958</c:v>
                </c:pt>
                <c:pt idx="2">
                  <c:v>43967</c:v>
                </c:pt>
                <c:pt idx="3">
                  <c:v>43990</c:v>
                </c:pt>
                <c:pt idx="4">
                  <c:v>44028</c:v>
                </c:pt>
                <c:pt idx="5">
                  <c:v>44029</c:v>
                </c:pt>
                <c:pt idx="6">
                  <c:v>44030</c:v>
                </c:pt>
                <c:pt idx="7">
                  <c:v>44032</c:v>
                </c:pt>
                <c:pt idx="8">
                  <c:v>44037</c:v>
                </c:pt>
                <c:pt idx="9">
                  <c:v>44053</c:v>
                </c:pt>
                <c:pt idx="10">
                  <c:v>44060</c:v>
                </c:pt>
                <c:pt idx="11">
                  <c:v>44061</c:v>
                </c:pt>
                <c:pt idx="12">
                  <c:v>44062</c:v>
                </c:pt>
                <c:pt idx="13">
                  <c:v>44068</c:v>
                </c:pt>
                <c:pt idx="14">
                  <c:v>44072</c:v>
                </c:pt>
                <c:pt idx="15">
                  <c:v>44073</c:v>
                </c:pt>
                <c:pt idx="16">
                  <c:v>44074</c:v>
                </c:pt>
                <c:pt idx="17">
                  <c:v>44080</c:v>
                </c:pt>
                <c:pt idx="18">
                  <c:v>44081</c:v>
                </c:pt>
                <c:pt idx="19">
                  <c:v>44082</c:v>
                </c:pt>
              </c:numCache>
            </c:numRef>
          </c:cat>
          <c:val>
            <c:numRef>
              <c:f>'STEG - Sep 2020'!$W$18:$W$37</c:f>
              <c:numCache>
                <c:formatCode>0.00</c:formatCode>
                <c:ptCount val="20"/>
                <c:pt idx="0">
                  <c:v>46.631999999999998</c:v>
                </c:pt>
                <c:pt idx="1">
                  <c:v>49.46754</c:v>
                </c:pt>
                <c:pt idx="2">
                  <c:v>64.308400000000006</c:v>
                </c:pt>
                <c:pt idx="3">
                  <c:v>95.75775999999999</c:v>
                </c:pt>
                <c:pt idx="4">
                  <c:v>169.53253999999998</c:v>
                </c:pt>
                <c:pt idx="5">
                  <c:v>170.38686000000001</c:v>
                </c:pt>
                <c:pt idx="6">
                  <c:v>171.24117999999999</c:v>
                </c:pt>
                <c:pt idx="7">
                  <c:v>173.00881999999999</c:v>
                </c:pt>
                <c:pt idx="8">
                  <c:v>179.47521999999998</c:v>
                </c:pt>
                <c:pt idx="9">
                  <c:v>218.91435999999996</c:v>
                </c:pt>
                <c:pt idx="10">
                  <c:v>260.64388000000002</c:v>
                </c:pt>
                <c:pt idx="11">
                  <c:v>266.17926</c:v>
                </c:pt>
                <c:pt idx="12">
                  <c:v>273.28404</c:v>
                </c:pt>
                <c:pt idx="13">
                  <c:v>300.41577999999998</c:v>
                </c:pt>
                <c:pt idx="14">
                  <c:v>320.17015999999995</c:v>
                </c:pt>
                <c:pt idx="15">
                  <c:v>328.86322000000001</c:v>
                </c:pt>
                <c:pt idx="16">
                  <c:v>330.96833999999996</c:v>
                </c:pt>
                <c:pt idx="17">
                  <c:v>347.55559999999991</c:v>
                </c:pt>
                <c:pt idx="18">
                  <c:v>350.55043999999992</c:v>
                </c:pt>
                <c:pt idx="19">
                  <c:v>352.59183999999999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DFF-9603-DA242A6D3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'STEG - Sep 2020'!$U$4:$U$5</c:f>
              <c:numCache>
                <c:formatCode>m/d/yyyy</c:formatCode>
                <c:ptCount val="2"/>
                <c:pt idx="0">
                  <c:v>44082</c:v>
                </c:pt>
                <c:pt idx="1">
                  <c:v>44082</c:v>
                </c:pt>
              </c:numCache>
            </c:numRef>
          </c:xVal>
          <c:yVal>
            <c:numRef>
              <c:f>'STEG - Sep 2020'!$W$4:$W$5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D9-4DFF-9603-DA242A6D3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4084"/>
          <c:min val="43956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 2020'!$Q$17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Sep 2020'!$G$18:$G$37</c:f>
              <c:numCache>
                <c:formatCode>d\-mmm</c:formatCode>
                <c:ptCount val="20"/>
                <c:pt idx="0">
                  <c:v>43956</c:v>
                </c:pt>
                <c:pt idx="1">
                  <c:v>43958</c:v>
                </c:pt>
                <c:pt idx="2">
                  <c:v>43967</c:v>
                </c:pt>
                <c:pt idx="3">
                  <c:v>43990</c:v>
                </c:pt>
                <c:pt idx="4">
                  <c:v>44028</c:v>
                </c:pt>
                <c:pt idx="5">
                  <c:v>44029</c:v>
                </c:pt>
                <c:pt idx="6">
                  <c:v>44030</c:v>
                </c:pt>
                <c:pt idx="7">
                  <c:v>44032</c:v>
                </c:pt>
                <c:pt idx="8">
                  <c:v>44037</c:v>
                </c:pt>
                <c:pt idx="9">
                  <c:v>44053</c:v>
                </c:pt>
                <c:pt idx="10">
                  <c:v>44060</c:v>
                </c:pt>
                <c:pt idx="11">
                  <c:v>44061</c:v>
                </c:pt>
                <c:pt idx="12">
                  <c:v>44062</c:v>
                </c:pt>
                <c:pt idx="13">
                  <c:v>44068</c:v>
                </c:pt>
                <c:pt idx="14">
                  <c:v>44072</c:v>
                </c:pt>
                <c:pt idx="15">
                  <c:v>44073</c:v>
                </c:pt>
                <c:pt idx="16">
                  <c:v>44074</c:v>
                </c:pt>
                <c:pt idx="17">
                  <c:v>44080</c:v>
                </c:pt>
                <c:pt idx="18">
                  <c:v>44081</c:v>
                </c:pt>
                <c:pt idx="19">
                  <c:v>44082</c:v>
                </c:pt>
              </c:numCache>
            </c:numRef>
          </c:cat>
          <c:val>
            <c:numRef>
              <c:f>'STEG - Sep 2020'!$Q$18:$Q$37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29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46</c:v>
                </c:pt>
                <c:pt idx="8">
                  <c:v>47</c:v>
                </c:pt>
                <c:pt idx="9">
                  <c:v>53</c:v>
                </c:pt>
                <c:pt idx="10">
                  <c:v>55</c:v>
                </c:pt>
                <c:pt idx="11">
                  <c:v>56</c:v>
                </c:pt>
                <c:pt idx="12">
                  <c:v>56</c:v>
                </c:pt>
                <c:pt idx="13">
                  <c:v>59</c:v>
                </c:pt>
                <c:pt idx="14">
                  <c:v>61</c:v>
                </c:pt>
                <c:pt idx="15">
                  <c:v>62</c:v>
                </c:pt>
                <c:pt idx="16">
                  <c:v>62</c:v>
                </c:pt>
                <c:pt idx="17">
                  <c:v>65</c:v>
                </c:pt>
                <c:pt idx="18">
                  <c:v>67</c:v>
                </c:pt>
                <c:pt idx="1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DB-4975-A183-FB6BADB68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 2020'!$U$4:$U$5</c:f>
              <c:numCache>
                <c:formatCode>m/d/yyyy</c:formatCode>
                <c:ptCount val="2"/>
                <c:pt idx="0">
                  <c:v>44082</c:v>
                </c:pt>
                <c:pt idx="1">
                  <c:v>44082</c:v>
                </c:pt>
              </c:numCache>
            </c:numRef>
          </c:xVal>
          <c:yVal>
            <c:numRef>
              <c:f>'STEG - Sep 2020'!$X$4:$X$5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DB-4975-A183-FB6BADB68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08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 2021'!$F$17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Jan 2021'!$G$18:$G$44</c:f>
              <c:numCache>
                <c:formatCode>d\-mmm</c:formatCode>
                <c:ptCount val="27"/>
                <c:pt idx="0">
                  <c:v>44082</c:v>
                </c:pt>
                <c:pt idx="1">
                  <c:v>44083</c:v>
                </c:pt>
                <c:pt idx="2">
                  <c:v>44085</c:v>
                </c:pt>
                <c:pt idx="3">
                  <c:v>44087</c:v>
                </c:pt>
                <c:pt idx="4">
                  <c:v>44088</c:v>
                </c:pt>
                <c:pt idx="5">
                  <c:v>44092</c:v>
                </c:pt>
                <c:pt idx="6">
                  <c:v>44098</c:v>
                </c:pt>
                <c:pt idx="7">
                  <c:v>44123</c:v>
                </c:pt>
                <c:pt idx="8">
                  <c:v>44124</c:v>
                </c:pt>
                <c:pt idx="9">
                  <c:v>44134</c:v>
                </c:pt>
                <c:pt idx="10">
                  <c:v>44141</c:v>
                </c:pt>
                <c:pt idx="11">
                  <c:v>44158</c:v>
                </c:pt>
                <c:pt idx="12">
                  <c:v>44165</c:v>
                </c:pt>
                <c:pt idx="13">
                  <c:v>44166</c:v>
                </c:pt>
                <c:pt idx="14">
                  <c:v>44171</c:v>
                </c:pt>
                <c:pt idx="15">
                  <c:v>44172</c:v>
                </c:pt>
                <c:pt idx="16">
                  <c:v>44173</c:v>
                </c:pt>
                <c:pt idx="17">
                  <c:v>44174</c:v>
                </c:pt>
                <c:pt idx="18">
                  <c:v>44175</c:v>
                </c:pt>
                <c:pt idx="19">
                  <c:v>44179</c:v>
                </c:pt>
                <c:pt idx="20">
                  <c:v>44183</c:v>
                </c:pt>
                <c:pt idx="21">
                  <c:v>44194</c:v>
                </c:pt>
                <c:pt idx="22">
                  <c:v>44202</c:v>
                </c:pt>
                <c:pt idx="23">
                  <c:v>44206</c:v>
                </c:pt>
                <c:pt idx="24">
                  <c:v>44207</c:v>
                </c:pt>
                <c:pt idx="25">
                  <c:v>44208</c:v>
                </c:pt>
                <c:pt idx="26">
                  <c:v>44209</c:v>
                </c:pt>
              </c:numCache>
            </c:numRef>
          </c:cat>
          <c:val>
            <c:numRef>
              <c:f>'STEG - Jan 2021'!$F$18:$F$44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20</c:v>
                </c:pt>
                <c:pt idx="3">
                  <c:v>32</c:v>
                </c:pt>
                <c:pt idx="4">
                  <c:v>36</c:v>
                </c:pt>
                <c:pt idx="5">
                  <c:v>55</c:v>
                </c:pt>
                <c:pt idx="6">
                  <c:v>86</c:v>
                </c:pt>
                <c:pt idx="7">
                  <c:v>200</c:v>
                </c:pt>
                <c:pt idx="8">
                  <c:v>204</c:v>
                </c:pt>
                <c:pt idx="9">
                  <c:v>249</c:v>
                </c:pt>
                <c:pt idx="10">
                  <c:v>282</c:v>
                </c:pt>
                <c:pt idx="11">
                  <c:v>367</c:v>
                </c:pt>
                <c:pt idx="12">
                  <c:v>402</c:v>
                </c:pt>
                <c:pt idx="13">
                  <c:v>407</c:v>
                </c:pt>
                <c:pt idx="14">
                  <c:v>431</c:v>
                </c:pt>
                <c:pt idx="15">
                  <c:v>437</c:v>
                </c:pt>
                <c:pt idx="16">
                  <c:v>442</c:v>
                </c:pt>
                <c:pt idx="17">
                  <c:v>450</c:v>
                </c:pt>
                <c:pt idx="18">
                  <c:v>456</c:v>
                </c:pt>
                <c:pt idx="19">
                  <c:v>480</c:v>
                </c:pt>
                <c:pt idx="20">
                  <c:v>502</c:v>
                </c:pt>
                <c:pt idx="21">
                  <c:v>561</c:v>
                </c:pt>
                <c:pt idx="22">
                  <c:v>612</c:v>
                </c:pt>
                <c:pt idx="23">
                  <c:v>633</c:v>
                </c:pt>
                <c:pt idx="24">
                  <c:v>638</c:v>
                </c:pt>
                <c:pt idx="25">
                  <c:v>645</c:v>
                </c:pt>
                <c:pt idx="26">
                  <c:v>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D8-4E69-BA88-1D6790F5A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2021'!$U$4:$U$5</c:f>
              <c:numCache>
                <c:formatCode>m/d/yyyy</c:formatCode>
                <c:ptCount val="2"/>
                <c:pt idx="0">
                  <c:v>44209</c:v>
                </c:pt>
                <c:pt idx="1">
                  <c:v>44209</c:v>
                </c:pt>
              </c:numCache>
            </c:numRef>
          </c:xVal>
          <c:yVal>
            <c:numRef>
              <c:f>'STEG - Jan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D8-4E69-BA88-1D6790F5A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209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 2021'!$Q$17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Jan 2021'!$G$18:$G$44</c:f>
              <c:numCache>
                <c:formatCode>d\-mmm</c:formatCode>
                <c:ptCount val="27"/>
                <c:pt idx="0">
                  <c:v>44082</c:v>
                </c:pt>
                <c:pt idx="1">
                  <c:v>44083</c:v>
                </c:pt>
                <c:pt idx="2">
                  <c:v>44085</c:v>
                </c:pt>
                <c:pt idx="3">
                  <c:v>44087</c:v>
                </c:pt>
                <c:pt idx="4">
                  <c:v>44088</c:v>
                </c:pt>
                <c:pt idx="5">
                  <c:v>44092</c:v>
                </c:pt>
                <c:pt idx="6">
                  <c:v>44098</c:v>
                </c:pt>
                <c:pt idx="7">
                  <c:v>44123</c:v>
                </c:pt>
                <c:pt idx="8">
                  <c:v>44124</c:v>
                </c:pt>
                <c:pt idx="9">
                  <c:v>44134</c:v>
                </c:pt>
                <c:pt idx="10">
                  <c:v>44141</c:v>
                </c:pt>
                <c:pt idx="11">
                  <c:v>44158</c:v>
                </c:pt>
                <c:pt idx="12">
                  <c:v>44165</c:v>
                </c:pt>
                <c:pt idx="13">
                  <c:v>44166</c:v>
                </c:pt>
                <c:pt idx="14">
                  <c:v>44171</c:v>
                </c:pt>
                <c:pt idx="15">
                  <c:v>44172</c:v>
                </c:pt>
                <c:pt idx="16">
                  <c:v>44173</c:v>
                </c:pt>
                <c:pt idx="17">
                  <c:v>44174</c:v>
                </c:pt>
                <c:pt idx="18">
                  <c:v>44175</c:v>
                </c:pt>
                <c:pt idx="19">
                  <c:v>44179</c:v>
                </c:pt>
                <c:pt idx="20">
                  <c:v>44183</c:v>
                </c:pt>
                <c:pt idx="21">
                  <c:v>44194</c:v>
                </c:pt>
                <c:pt idx="22">
                  <c:v>44202</c:v>
                </c:pt>
                <c:pt idx="23">
                  <c:v>44206</c:v>
                </c:pt>
                <c:pt idx="24">
                  <c:v>44207</c:v>
                </c:pt>
                <c:pt idx="25">
                  <c:v>44208</c:v>
                </c:pt>
                <c:pt idx="26">
                  <c:v>44209</c:v>
                </c:pt>
              </c:numCache>
            </c:numRef>
          </c:cat>
          <c:val>
            <c:numRef>
              <c:f>'STEG - Jan 2021'!$Q$18:$Q$44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11</c:v>
                </c:pt>
                <c:pt idx="7">
                  <c:v>33</c:v>
                </c:pt>
                <c:pt idx="8">
                  <c:v>34</c:v>
                </c:pt>
                <c:pt idx="9">
                  <c:v>45</c:v>
                </c:pt>
                <c:pt idx="10">
                  <c:v>54</c:v>
                </c:pt>
                <c:pt idx="11">
                  <c:v>76</c:v>
                </c:pt>
                <c:pt idx="12">
                  <c:v>86</c:v>
                </c:pt>
                <c:pt idx="13">
                  <c:v>88</c:v>
                </c:pt>
                <c:pt idx="14">
                  <c:v>100</c:v>
                </c:pt>
                <c:pt idx="15">
                  <c:v>103</c:v>
                </c:pt>
                <c:pt idx="16">
                  <c:v>109</c:v>
                </c:pt>
                <c:pt idx="17">
                  <c:v>115</c:v>
                </c:pt>
                <c:pt idx="18">
                  <c:v>122</c:v>
                </c:pt>
                <c:pt idx="19">
                  <c:v>151</c:v>
                </c:pt>
                <c:pt idx="20">
                  <c:v>170</c:v>
                </c:pt>
                <c:pt idx="21">
                  <c:v>249</c:v>
                </c:pt>
                <c:pt idx="22">
                  <c:v>338</c:v>
                </c:pt>
                <c:pt idx="23">
                  <c:v>374</c:v>
                </c:pt>
                <c:pt idx="24">
                  <c:v>381</c:v>
                </c:pt>
                <c:pt idx="25">
                  <c:v>389</c:v>
                </c:pt>
                <c:pt idx="26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BE-4934-9F67-1AE1404B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2021'!$U$4:$U$5</c:f>
              <c:numCache>
                <c:formatCode>m/d/yyyy</c:formatCode>
                <c:ptCount val="2"/>
                <c:pt idx="0">
                  <c:v>44209</c:v>
                </c:pt>
                <c:pt idx="1">
                  <c:v>44209</c:v>
                </c:pt>
              </c:numCache>
            </c:numRef>
          </c:xVal>
          <c:yVal>
            <c:numRef>
              <c:f>'STEG - Jan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BE-4934-9F67-1AE1404B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Jan 2021'!$W$17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Jan 2021'!$G$18:$G$44</c:f>
              <c:numCache>
                <c:formatCode>d\-mmm</c:formatCode>
                <c:ptCount val="27"/>
                <c:pt idx="0">
                  <c:v>44082</c:v>
                </c:pt>
                <c:pt idx="1">
                  <c:v>44083</c:v>
                </c:pt>
                <c:pt idx="2">
                  <c:v>44085</c:v>
                </c:pt>
                <c:pt idx="3">
                  <c:v>44087</c:v>
                </c:pt>
                <c:pt idx="4">
                  <c:v>44088</c:v>
                </c:pt>
                <c:pt idx="5">
                  <c:v>44092</c:v>
                </c:pt>
                <c:pt idx="6">
                  <c:v>44098</c:v>
                </c:pt>
                <c:pt idx="7">
                  <c:v>44123</c:v>
                </c:pt>
                <c:pt idx="8">
                  <c:v>44124</c:v>
                </c:pt>
                <c:pt idx="9">
                  <c:v>44134</c:v>
                </c:pt>
                <c:pt idx="10">
                  <c:v>44141</c:v>
                </c:pt>
                <c:pt idx="11">
                  <c:v>44158</c:v>
                </c:pt>
                <c:pt idx="12">
                  <c:v>44165</c:v>
                </c:pt>
                <c:pt idx="13">
                  <c:v>44166</c:v>
                </c:pt>
                <c:pt idx="14">
                  <c:v>44171</c:v>
                </c:pt>
                <c:pt idx="15">
                  <c:v>44172</c:v>
                </c:pt>
                <c:pt idx="16">
                  <c:v>44173</c:v>
                </c:pt>
                <c:pt idx="17">
                  <c:v>44174</c:v>
                </c:pt>
                <c:pt idx="18">
                  <c:v>44175</c:v>
                </c:pt>
                <c:pt idx="19">
                  <c:v>44179</c:v>
                </c:pt>
                <c:pt idx="20">
                  <c:v>44183</c:v>
                </c:pt>
                <c:pt idx="21">
                  <c:v>44194</c:v>
                </c:pt>
                <c:pt idx="22">
                  <c:v>44202</c:v>
                </c:pt>
                <c:pt idx="23">
                  <c:v>44206</c:v>
                </c:pt>
                <c:pt idx="24">
                  <c:v>44207</c:v>
                </c:pt>
                <c:pt idx="25">
                  <c:v>44208</c:v>
                </c:pt>
                <c:pt idx="26">
                  <c:v>44209</c:v>
                </c:pt>
              </c:numCache>
            </c:numRef>
          </c:cat>
          <c:val>
            <c:numRef>
              <c:f>'STEG - Jan 2021'!$W$18:$W$44</c:f>
              <c:numCache>
                <c:formatCode>0.00</c:formatCode>
                <c:ptCount val="27"/>
                <c:pt idx="0">
                  <c:v>46.631999999999998</c:v>
                </c:pt>
                <c:pt idx="1">
                  <c:v>47.545319999999997</c:v>
                </c:pt>
                <c:pt idx="2">
                  <c:v>51.176179999999995</c:v>
                </c:pt>
                <c:pt idx="3">
                  <c:v>54.284299999999995</c:v>
                </c:pt>
                <c:pt idx="4">
                  <c:v>55.411199999999994</c:v>
                </c:pt>
                <c:pt idx="5">
                  <c:v>60.014380000000003</c:v>
                </c:pt>
                <c:pt idx="6">
                  <c:v>67.998259999999988</c:v>
                </c:pt>
                <c:pt idx="7">
                  <c:v>98.343139999999991</c:v>
                </c:pt>
                <c:pt idx="8">
                  <c:v>99.470039999999983</c:v>
                </c:pt>
                <c:pt idx="9">
                  <c:v>112.07951999999997</c:v>
                </c:pt>
                <c:pt idx="10">
                  <c:v>121.58088000000001</c:v>
                </c:pt>
                <c:pt idx="11">
                  <c:v>145.73193999999998</c:v>
                </c:pt>
                <c:pt idx="12">
                  <c:v>155.93304000000001</c:v>
                </c:pt>
                <c:pt idx="13">
                  <c:v>157.5461</c:v>
                </c:pt>
                <c:pt idx="14">
                  <c:v>165.94297999999998</c:v>
                </c:pt>
                <c:pt idx="15">
                  <c:v>168.04219999999998</c:v>
                </c:pt>
                <c:pt idx="16">
                  <c:v>170.74557999999996</c:v>
                </c:pt>
                <c:pt idx="17">
                  <c:v>174.08969999999997</c:v>
                </c:pt>
                <c:pt idx="18">
                  <c:v>193.11483999999999</c:v>
                </c:pt>
                <c:pt idx="19">
                  <c:v>209.90978000000001</c:v>
                </c:pt>
                <c:pt idx="20">
                  <c:v>222.25375999999997</c:v>
                </c:pt>
                <c:pt idx="21">
                  <c:v>297.78791999999999</c:v>
                </c:pt>
                <c:pt idx="22">
                  <c:v>355.62444000000005</c:v>
                </c:pt>
                <c:pt idx="23">
                  <c:v>379.0981799999999</c:v>
                </c:pt>
                <c:pt idx="24">
                  <c:v>383.85829999999993</c:v>
                </c:pt>
                <c:pt idx="25">
                  <c:v>389.57303999999999</c:v>
                </c:pt>
                <c:pt idx="26">
                  <c:v>397.29732000000001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B-4F33-9B89-2A6DF755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Jan 2021'!$W$17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50331295255387154"/>
                  <c:y val="-0.176514479481950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Jan 2021'!$G$18:$G$44</c:f>
              <c:numCache>
                <c:formatCode>d\-mmm</c:formatCode>
                <c:ptCount val="27"/>
                <c:pt idx="0">
                  <c:v>44082</c:v>
                </c:pt>
                <c:pt idx="1">
                  <c:v>44083</c:v>
                </c:pt>
                <c:pt idx="2">
                  <c:v>44085</c:v>
                </c:pt>
                <c:pt idx="3">
                  <c:v>44087</c:v>
                </c:pt>
                <c:pt idx="4">
                  <c:v>44088</c:v>
                </c:pt>
                <c:pt idx="5">
                  <c:v>44092</c:v>
                </c:pt>
                <c:pt idx="6">
                  <c:v>44098</c:v>
                </c:pt>
                <c:pt idx="7">
                  <c:v>44123</c:v>
                </c:pt>
                <c:pt idx="8">
                  <c:v>44124</c:v>
                </c:pt>
                <c:pt idx="9">
                  <c:v>44134</c:v>
                </c:pt>
                <c:pt idx="10">
                  <c:v>44141</c:v>
                </c:pt>
                <c:pt idx="11">
                  <c:v>44158</c:v>
                </c:pt>
                <c:pt idx="12">
                  <c:v>44165</c:v>
                </c:pt>
                <c:pt idx="13">
                  <c:v>44166</c:v>
                </c:pt>
                <c:pt idx="14">
                  <c:v>44171</c:v>
                </c:pt>
                <c:pt idx="15">
                  <c:v>44172</c:v>
                </c:pt>
                <c:pt idx="16">
                  <c:v>44173</c:v>
                </c:pt>
                <c:pt idx="17">
                  <c:v>44174</c:v>
                </c:pt>
                <c:pt idx="18">
                  <c:v>44175</c:v>
                </c:pt>
                <c:pt idx="19">
                  <c:v>44179</c:v>
                </c:pt>
                <c:pt idx="20">
                  <c:v>44183</c:v>
                </c:pt>
                <c:pt idx="21">
                  <c:v>44194</c:v>
                </c:pt>
                <c:pt idx="22">
                  <c:v>44202</c:v>
                </c:pt>
                <c:pt idx="23">
                  <c:v>44206</c:v>
                </c:pt>
                <c:pt idx="24">
                  <c:v>44207</c:v>
                </c:pt>
                <c:pt idx="25">
                  <c:v>44208</c:v>
                </c:pt>
                <c:pt idx="26">
                  <c:v>44209</c:v>
                </c:pt>
              </c:numCache>
            </c:numRef>
          </c:cat>
          <c:val>
            <c:numRef>
              <c:f>'STEG - Jan 2021'!$W$18:$W$44</c:f>
              <c:numCache>
                <c:formatCode>0.00</c:formatCode>
                <c:ptCount val="27"/>
                <c:pt idx="0">
                  <c:v>46.631999999999998</c:v>
                </c:pt>
                <c:pt idx="1">
                  <c:v>47.545319999999997</c:v>
                </c:pt>
                <c:pt idx="2">
                  <c:v>51.176179999999995</c:v>
                </c:pt>
                <c:pt idx="3">
                  <c:v>54.284299999999995</c:v>
                </c:pt>
                <c:pt idx="4">
                  <c:v>55.411199999999994</c:v>
                </c:pt>
                <c:pt idx="5">
                  <c:v>60.014380000000003</c:v>
                </c:pt>
                <c:pt idx="6">
                  <c:v>67.998259999999988</c:v>
                </c:pt>
                <c:pt idx="7">
                  <c:v>98.343139999999991</c:v>
                </c:pt>
                <c:pt idx="8">
                  <c:v>99.470039999999983</c:v>
                </c:pt>
                <c:pt idx="9">
                  <c:v>112.07951999999997</c:v>
                </c:pt>
                <c:pt idx="10">
                  <c:v>121.58088000000001</c:v>
                </c:pt>
                <c:pt idx="11">
                  <c:v>145.73193999999998</c:v>
                </c:pt>
                <c:pt idx="12">
                  <c:v>155.93304000000001</c:v>
                </c:pt>
                <c:pt idx="13">
                  <c:v>157.5461</c:v>
                </c:pt>
                <c:pt idx="14">
                  <c:v>165.94297999999998</c:v>
                </c:pt>
                <c:pt idx="15">
                  <c:v>168.04219999999998</c:v>
                </c:pt>
                <c:pt idx="16">
                  <c:v>170.74557999999996</c:v>
                </c:pt>
                <c:pt idx="17">
                  <c:v>174.08969999999997</c:v>
                </c:pt>
                <c:pt idx="18">
                  <c:v>193.11483999999999</c:v>
                </c:pt>
                <c:pt idx="19">
                  <c:v>209.90978000000001</c:v>
                </c:pt>
                <c:pt idx="20">
                  <c:v>222.25375999999997</c:v>
                </c:pt>
                <c:pt idx="21">
                  <c:v>297.78791999999999</c:v>
                </c:pt>
                <c:pt idx="22">
                  <c:v>355.62444000000005</c:v>
                </c:pt>
                <c:pt idx="23">
                  <c:v>379.0981799999999</c:v>
                </c:pt>
                <c:pt idx="24">
                  <c:v>383.85829999999993</c:v>
                </c:pt>
                <c:pt idx="25">
                  <c:v>389.57303999999999</c:v>
                </c:pt>
                <c:pt idx="26">
                  <c:v>397.29732000000001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7B-4F33-9B89-2A6DF755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'STEG - Jan 2021'!$U$4:$U$5</c:f>
              <c:numCache>
                <c:formatCode>m/d/yyyy</c:formatCode>
                <c:ptCount val="2"/>
                <c:pt idx="0">
                  <c:v>44209</c:v>
                </c:pt>
                <c:pt idx="1">
                  <c:v>44209</c:v>
                </c:pt>
              </c:numCache>
            </c:numRef>
          </c:xVal>
          <c:yVal>
            <c:numRef>
              <c:f>'STEG - Jan 2021'!$W$4:$W$5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7B-4F33-9B89-2A6DF755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4211"/>
          <c:min val="44082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 2021'!$Q$17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Jan 2021'!$G$18:$G$44</c:f>
              <c:numCache>
                <c:formatCode>d\-mmm</c:formatCode>
                <c:ptCount val="27"/>
                <c:pt idx="0">
                  <c:v>44082</c:v>
                </c:pt>
                <c:pt idx="1">
                  <c:v>44083</c:v>
                </c:pt>
                <c:pt idx="2">
                  <c:v>44085</c:v>
                </c:pt>
                <c:pt idx="3">
                  <c:v>44087</c:v>
                </c:pt>
                <c:pt idx="4">
                  <c:v>44088</c:v>
                </c:pt>
                <c:pt idx="5">
                  <c:v>44092</c:v>
                </c:pt>
                <c:pt idx="6">
                  <c:v>44098</c:v>
                </c:pt>
                <c:pt idx="7">
                  <c:v>44123</c:v>
                </c:pt>
                <c:pt idx="8">
                  <c:v>44124</c:v>
                </c:pt>
                <c:pt idx="9">
                  <c:v>44134</c:v>
                </c:pt>
                <c:pt idx="10">
                  <c:v>44141</c:v>
                </c:pt>
                <c:pt idx="11">
                  <c:v>44158</c:v>
                </c:pt>
                <c:pt idx="12">
                  <c:v>44165</c:v>
                </c:pt>
                <c:pt idx="13">
                  <c:v>44166</c:v>
                </c:pt>
                <c:pt idx="14">
                  <c:v>44171</c:v>
                </c:pt>
                <c:pt idx="15">
                  <c:v>44172</c:v>
                </c:pt>
                <c:pt idx="16">
                  <c:v>44173</c:v>
                </c:pt>
                <c:pt idx="17">
                  <c:v>44174</c:v>
                </c:pt>
                <c:pt idx="18">
                  <c:v>44175</c:v>
                </c:pt>
                <c:pt idx="19">
                  <c:v>44179</c:v>
                </c:pt>
                <c:pt idx="20">
                  <c:v>44183</c:v>
                </c:pt>
                <c:pt idx="21">
                  <c:v>44194</c:v>
                </c:pt>
                <c:pt idx="22">
                  <c:v>44202</c:v>
                </c:pt>
                <c:pt idx="23">
                  <c:v>44206</c:v>
                </c:pt>
                <c:pt idx="24">
                  <c:v>44207</c:v>
                </c:pt>
                <c:pt idx="25">
                  <c:v>44208</c:v>
                </c:pt>
                <c:pt idx="26">
                  <c:v>44209</c:v>
                </c:pt>
              </c:numCache>
            </c:numRef>
          </c:cat>
          <c:val>
            <c:numRef>
              <c:f>'STEG - Jan 2021'!$Q$18:$Q$44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11</c:v>
                </c:pt>
                <c:pt idx="7">
                  <c:v>33</c:v>
                </c:pt>
                <c:pt idx="8">
                  <c:v>34</c:v>
                </c:pt>
                <c:pt idx="9">
                  <c:v>45</c:v>
                </c:pt>
                <c:pt idx="10">
                  <c:v>54</c:v>
                </c:pt>
                <c:pt idx="11">
                  <c:v>76</c:v>
                </c:pt>
                <c:pt idx="12">
                  <c:v>86</c:v>
                </c:pt>
                <c:pt idx="13">
                  <c:v>88</c:v>
                </c:pt>
                <c:pt idx="14">
                  <c:v>100</c:v>
                </c:pt>
                <c:pt idx="15">
                  <c:v>103</c:v>
                </c:pt>
                <c:pt idx="16">
                  <c:v>109</c:v>
                </c:pt>
                <c:pt idx="17">
                  <c:v>115</c:v>
                </c:pt>
                <c:pt idx="18">
                  <c:v>122</c:v>
                </c:pt>
                <c:pt idx="19">
                  <c:v>151</c:v>
                </c:pt>
                <c:pt idx="20">
                  <c:v>170</c:v>
                </c:pt>
                <c:pt idx="21">
                  <c:v>249</c:v>
                </c:pt>
                <c:pt idx="22">
                  <c:v>338</c:v>
                </c:pt>
                <c:pt idx="23">
                  <c:v>374</c:v>
                </c:pt>
                <c:pt idx="24">
                  <c:v>381</c:v>
                </c:pt>
                <c:pt idx="25">
                  <c:v>389</c:v>
                </c:pt>
                <c:pt idx="26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72-41DA-8187-40ABE586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2021'!$U$4:$U$5</c:f>
              <c:numCache>
                <c:formatCode>m/d/yyyy</c:formatCode>
                <c:ptCount val="2"/>
                <c:pt idx="0">
                  <c:v>44209</c:v>
                </c:pt>
                <c:pt idx="1">
                  <c:v>44209</c:v>
                </c:pt>
              </c:numCache>
            </c:numRef>
          </c:xVal>
          <c:yVal>
            <c:numRef>
              <c:f>'STEG - Jan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72-41DA-8187-40ABE586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211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2021'!$F$17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May 2021'!$G$18:$G$31</c:f>
              <c:numCache>
                <c:formatCode>d\-mmm</c:formatCode>
                <c:ptCount val="14"/>
                <c:pt idx="0">
                  <c:v>44209</c:v>
                </c:pt>
                <c:pt idx="1">
                  <c:v>44222</c:v>
                </c:pt>
                <c:pt idx="2">
                  <c:v>44230</c:v>
                </c:pt>
                <c:pt idx="3">
                  <c:v>44233</c:v>
                </c:pt>
                <c:pt idx="4">
                  <c:v>44234</c:v>
                </c:pt>
                <c:pt idx="5">
                  <c:v>44236</c:v>
                </c:pt>
                <c:pt idx="6">
                  <c:v>44238</c:v>
                </c:pt>
                <c:pt idx="7">
                  <c:v>44244</c:v>
                </c:pt>
                <c:pt idx="8">
                  <c:v>44251</c:v>
                </c:pt>
                <c:pt idx="9">
                  <c:v>44255</c:v>
                </c:pt>
                <c:pt idx="10">
                  <c:v>44256</c:v>
                </c:pt>
                <c:pt idx="11">
                  <c:v>44312</c:v>
                </c:pt>
                <c:pt idx="12">
                  <c:v>44320</c:v>
                </c:pt>
                <c:pt idx="13">
                  <c:v>44321</c:v>
                </c:pt>
              </c:numCache>
            </c:numRef>
          </c:cat>
          <c:val>
            <c:numRef>
              <c:f>'STEG - May 2021'!$F$18:$F$31</c:f>
              <c:numCache>
                <c:formatCode>General</c:formatCode>
                <c:ptCount val="14"/>
                <c:pt idx="0">
                  <c:v>0</c:v>
                </c:pt>
                <c:pt idx="1">
                  <c:v>84</c:v>
                </c:pt>
                <c:pt idx="2">
                  <c:v>132</c:v>
                </c:pt>
                <c:pt idx="3">
                  <c:v>148</c:v>
                </c:pt>
                <c:pt idx="4">
                  <c:v>152</c:v>
                </c:pt>
                <c:pt idx="5">
                  <c:v>160</c:v>
                </c:pt>
                <c:pt idx="6">
                  <c:v>170</c:v>
                </c:pt>
                <c:pt idx="7">
                  <c:v>198</c:v>
                </c:pt>
                <c:pt idx="8">
                  <c:v>223</c:v>
                </c:pt>
                <c:pt idx="9">
                  <c:v>234</c:v>
                </c:pt>
                <c:pt idx="10">
                  <c:v>240</c:v>
                </c:pt>
                <c:pt idx="11">
                  <c:v>505</c:v>
                </c:pt>
                <c:pt idx="12">
                  <c:v>544</c:v>
                </c:pt>
                <c:pt idx="13">
                  <c:v>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76-42B2-BAA7-935CD0052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2021'!$U$4:$U$5</c:f>
              <c:numCache>
                <c:formatCode>m/d/yyyy</c:formatCode>
                <c:ptCount val="2"/>
                <c:pt idx="0">
                  <c:v>44322</c:v>
                </c:pt>
                <c:pt idx="1">
                  <c:v>44322</c:v>
                </c:pt>
              </c:numCache>
            </c:numRef>
          </c:xVal>
          <c:yVal>
            <c:numRef>
              <c:f>'STEG - May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76-42B2-BAA7-935CD0052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322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2021'!$Q$17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May 2021'!$G$18:$G$31</c:f>
              <c:numCache>
                <c:formatCode>d\-mmm</c:formatCode>
                <c:ptCount val="14"/>
                <c:pt idx="0">
                  <c:v>44209</c:v>
                </c:pt>
                <c:pt idx="1">
                  <c:v>44222</c:v>
                </c:pt>
                <c:pt idx="2">
                  <c:v>44230</c:v>
                </c:pt>
                <c:pt idx="3">
                  <c:v>44233</c:v>
                </c:pt>
                <c:pt idx="4">
                  <c:v>44234</c:v>
                </c:pt>
                <c:pt idx="5">
                  <c:v>44236</c:v>
                </c:pt>
                <c:pt idx="6">
                  <c:v>44238</c:v>
                </c:pt>
                <c:pt idx="7">
                  <c:v>44244</c:v>
                </c:pt>
                <c:pt idx="8">
                  <c:v>44251</c:v>
                </c:pt>
                <c:pt idx="9">
                  <c:v>44255</c:v>
                </c:pt>
                <c:pt idx="10">
                  <c:v>44256</c:v>
                </c:pt>
                <c:pt idx="11">
                  <c:v>44312</c:v>
                </c:pt>
                <c:pt idx="12">
                  <c:v>44320</c:v>
                </c:pt>
                <c:pt idx="13">
                  <c:v>44321</c:v>
                </c:pt>
              </c:numCache>
            </c:numRef>
          </c:cat>
          <c:val>
            <c:numRef>
              <c:f>'STEG - May 2021'!$Q$18:$Q$31</c:f>
              <c:numCache>
                <c:formatCode>General</c:formatCode>
                <c:ptCount val="14"/>
                <c:pt idx="0">
                  <c:v>0</c:v>
                </c:pt>
                <c:pt idx="1">
                  <c:v>139</c:v>
                </c:pt>
                <c:pt idx="2">
                  <c:v>198</c:v>
                </c:pt>
                <c:pt idx="3">
                  <c:v>209</c:v>
                </c:pt>
                <c:pt idx="4">
                  <c:v>213</c:v>
                </c:pt>
                <c:pt idx="5">
                  <c:v>226</c:v>
                </c:pt>
                <c:pt idx="6">
                  <c:v>238</c:v>
                </c:pt>
                <c:pt idx="7">
                  <c:v>277</c:v>
                </c:pt>
                <c:pt idx="8">
                  <c:v>322</c:v>
                </c:pt>
                <c:pt idx="9">
                  <c:v>336</c:v>
                </c:pt>
                <c:pt idx="10">
                  <c:v>344</c:v>
                </c:pt>
                <c:pt idx="11">
                  <c:v>642</c:v>
                </c:pt>
                <c:pt idx="12">
                  <c:v>648</c:v>
                </c:pt>
                <c:pt idx="13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D7-4174-8928-FC2EA4198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2021'!$U$4:$U$5</c:f>
              <c:numCache>
                <c:formatCode>m/d/yyyy</c:formatCode>
                <c:ptCount val="2"/>
                <c:pt idx="0">
                  <c:v>44322</c:v>
                </c:pt>
                <c:pt idx="1">
                  <c:v>44322</c:v>
                </c:pt>
              </c:numCache>
            </c:numRef>
          </c:xVal>
          <c:yVal>
            <c:numRef>
              <c:f>'STEG - May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D7-4174-8928-FC2EA4198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May 2021'!$W$17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May 2021'!$G$18:$G$31</c:f>
              <c:numCache>
                <c:formatCode>d\-mmm</c:formatCode>
                <c:ptCount val="14"/>
                <c:pt idx="0">
                  <c:v>44209</c:v>
                </c:pt>
                <c:pt idx="1">
                  <c:v>44222</c:v>
                </c:pt>
                <c:pt idx="2">
                  <c:v>44230</c:v>
                </c:pt>
                <c:pt idx="3">
                  <c:v>44233</c:v>
                </c:pt>
                <c:pt idx="4">
                  <c:v>44234</c:v>
                </c:pt>
                <c:pt idx="5">
                  <c:v>44236</c:v>
                </c:pt>
                <c:pt idx="6">
                  <c:v>44238</c:v>
                </c:pt>
                <c:pt idx="7">
                  <c:v>44244</c:v>
                </c:pt>
                <c:pt idx="8">
                  <c:v>44251</c:v>
                </c:pt>
                <c:pt idx="9">
                  <c:v>44255</c:v>
                </c:pt>
                <c:pt idx="10">
                  <c:v>44256</c:v>
                </c:pt>
                <c:pt idx="11">
                  <c:v>44312</c:v>
                </c:pt>
                <c:pt idx="12">
                  <c:v>44320</c:v>
                </c:pt>
                <c:pt idx="13">
                  <c:v>44321</c:v>
                </c:pt>
              </c:numCache>
            </c:numRef>
          </c:cat>
          <c:val>
            <c:numRef>
              <c:f>'STEG - May 2021'!$W$18:$W$31</c:f>
              <c:numCache>
                <c:formatCode>0.00</c:formatCode>
                <c:ptCount val="14"/>
                <c:pt idx="0">
                  <c:v>46.631999999999998</c:v>
                </c:pt>
                <c:pt idx="1">
                  <c:v>120.50353999999999</c:v>
                </c:pt>
                <c:pt idx="2">
                  <c:v>154.4958</c:v>
                </c:pt>
                <c:pt idx="3">
                  <c:v>162.33925999999997</c:v>
                </c:pt>
                <c:pt idx="4">
                  <c:v>164.80309999999997</c:v>
                </c:pt>
                <c:pt idx="5">
                  <c:v>171.74267999999998</c:v>
                </c:pt>
                <c:pt idx="6">
                  <c:v>178.70703999999998</c:v>
                </c:pt>
                <c:pt idx="7">
                  <c:v>235.02726000000001</c:v>
                </c:pt>
                <c:pt idx="8">
                  <c:v>264.10246000000001</c:v>
                </c:pt>
                <c:pt idx="9">
                  <c:v>273.83627999999999</c:v>
                </c:pt>
                <c:pt idx="10">
                  <c:v>279.33743999999996</c:v>
                </c:pt>
                <c:pt idx="11">
                  <c:v>536.30013999999994</c:v>
                </c:pt>
                <c:pt idx="12">
                  <c:v>548.19808</c:v>
                </c:pt>
                <c:pt idx="13">
                  <c:v>551.30974000000003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7-4515-9DB0-0A8662DA0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May 2021'!$W$17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50331295255387154"/>
                  <c:y val="-0.176514479481950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May 2021'!$G$18:$G$31</c:f>
              <c:numCache>
                <c:formatCode>d\-mmm</c:formatCode>
                <c:ptCount val="14"/>
                <c:pt idx="0">
                  <c:v>44209</c:v>
                </c:pt>
                <c:pt idx="1">
                  <c:v>44222</c:v>
                </c:pt>
                <c:pt idx="2">
                  <c:v>44230</c:v>
                </c:pt>
                <c:pt idx="3">
                  <c:v>44233</c:v>
                </c:pt>
                <c:pt idx="4">
                  <c:v>44234</c:v>
                </c:pt>
                <c:pt idx="5">
                  <c:v>44236</c:v>
                </c:pt>
                <c:pt idx="6">
                  <c:v>44238</c:v>
                </c:pt>
                <c:pt idx="7">
                  <c:v>44244</c:v>
                </c:pt>
                <c:pt idx="8">
                  <c:v>44251</c:v>
                </c:pt>
                <c:pt idx="9">
                  <c:v>44255</c:v>
                </c:pt>
                <c:pt idx="10">
                  <c:v>44256</c:v>
                </c:pt>
                <c:pt idx="11">
                  <c:v>44312</c:v>
                </c:pt>
                <c:pt idx="12">
                  <c:v>44320</c:v>
                </c:pt>
                <c:pt idx="13">
                  <c:v>44321</c:v>
                </c:pt>
              </c:numCache>
            </c:numRef>
          </c:cat>
          <c:val>
            <c:numRef>
              <c:f>'STEG - May 2021'!$W$18:$W$31</c:f>
              <c:numCache>
                <c:formatCode>0.00</c:formatCode>
                <c:ptCount val="14"/>
                <c:pt idx="0">
                  <c:v>46.631999999999998</c:v>
                </c:pt>
                <c:pt idx="1">
                  <c:v>120.50353999999999</c:v>
                </c:pt>
                <c:pt idx="2">
                  <c:v>154.4958</c:v>
                </c:pt>
                <c:pt idx="3">
                  <c:v>162.33925999999997</c:v>
                </c:pt>
                <c:pt idx="4">
                  <c:v>164.80309999999997</c:v>
                </c:pt>
                <c:pt idx="5">
                  <c:v>171.74267999999998</c:v>
                </c:pt>
                <c:pt idx="6">
                  <c:v>178.70703999999998</c:v>
                </c:pt>
                <c:pt idx="7">
                  <c:v>235.02726000000001</c:v>
                </c:pt>
                <c:pt idx="8">
                  <c:v>264.10246000000001</c:v>
                </c:pt>
                <c:pt idx="9">
                  <c:v>273.83627999999999</c:v>
                </c:pt>
                <c:pt idx="10">
                  <c:v>279.33743999999996</c:v>
                </c:pt>
                <c:pt idx="11">
                  <c:v>536.30013999999994</c:v>
                </c:pt>
                <c:pt idx="12">
                  <c:v>548.19808</c:v>
                </c:pt>
                <c:pt idx="13">
                  <c:v>551.30974000000003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57-4515-9DB0-0A8662DA0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'STEG - May 2021'!$U$4:$U$5</c:f>
              <c:numCache>
                <c:formatCode>m/d/yyyy</c:formatCode>
                <c:ptCount val="2"/>
                <c:pt idx="0">
                  <c:v>44322</c:v>
                </c:pt>
                <c:pt idx="1">
                  <c:v>44322</c:v>
                </c:pt>
              </c:numCache>
            </c:numRef>
          </c:xVal>
          <c:yVal>
            <c:numRef>
              <c:f>'STEG - May 2021'!$W$4:$W$5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957-4515-9DB0-0A8662DA0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4322"/>
          <c:min val="44209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2021'!$Q$17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May 2021'!$G$18:$G$31</c:f>
              <c:numCache>
                <c:formatCode>d\-mmm</c:formatCode>
                <c:ptCount val="14"/>
                <c:pt idx="0">
                  <c:v>44209</c:v>
                </c:pt>
                <c:pt idx="1">
                  <c:v>44222</c:v>
                </c:pt>
                <c:pt idx="2">
                  <c:v>44230</c:v>
                </c:pt>
                <c:pt idx="3">
                  <c:v>44233</c:v>
                </c:pt>
                <c:pt idx="4">
                  <c:v>44234</c:v>
                </c:pt>
                <c:pt idx="5">
                  <c:v>44236</c:v>
                </c:pt>
                <c:pt idx="6">
                  <c:v>44238</c:v>
                </c:pt>
                <c:pt idx="7">
                  <c:v>44244</c:v>
                </c:pt>
                <c:pt idx="8">
                  <c:v>44251</c:v>
                </c:pt>
                <c:pt idx="9">
                  <c:v>44255</c:v>
                </c:pt>
                <c:pt idx="10">
                  <c:v>44256</c:v>
                </c:pt>
                <c:pt idx="11">
                  <c:v>44312</c:v>
                </c:pt>
                <c:pt idx="12">
                  <c:v>44320</c:v>
                </c:pt>
                <c:pt idx="13">
                  <c:v>44321</c:v>
                </c:pt>
              </c:numCache>
            </c:numRef>
          </c:cat>
          <c:val>
            <c:numRef>
              <c:f>'STEG - May 2021'!$Q$18:$Q$31</c:f>
              <c:numCache>
                <c:formatCode>General</c:formatCode>
                <c:ptCount val="14"/>
                <c:pt idx="0">
                  <c:v>0</c:v>
                </c:pt>
                <c:pt idx="1">
                  <c:v>139</c:v>
                </c:pt>
                <c:pt idx="2">
                  <c:v>198</c:v>
                </c:pt>
                <c:pt idx="3">
                  <c:v>209</c:v>
                </c:pt>
                <c:pt idx="4">
                  <c:v>213</c:v>
                </c:pt>
                <c:pt idx="5">
                  <c:v>226</c:v>
                </c:pt>
                <c:pt idx="6">
                  <c:v>238</c:v>
                </c:pt>
                <c:pt idx="7">
                  <c:v>277</c:v>
                </c:pt>
                <c:pt idx="8">
                  <c:v>322</c:v>
                </c:pt>
                <c:pt idx="9">
                  <c:v>336</c:v>
                </c:pt>
                <c:pt idx="10">
                  <c:v>344</c:v>
                </c:pt>
                <c:pt idx="11">
                  <c:v>642</c:v>
                </c:pt>
                <c:pt idx="12">
                  <c:v>648</c:v>
                </c:pt>
                <c:pt idx="13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49-4F85-80FA-65FF8AF7C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2021'!$U$4:$U$5</c:f>
              <c:numCache>
                <c:formatCode>m/d/yyyy</c:formatCode>
                <c:ptCount val="2"/>
                <c:pt idx="0">
                  <c:v>44322</c:v>
                </c:pt>
                <c:pt idx="1">
                  <c:v>44322</c:v>
                </c:pt>
              </c:numCache>
            </c:numRef>
          </c:xVal>
          <c:yVal>
            <c:numRef>
              <c:f>'STEG - May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49-4F85-80FA-65FF8AF7C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322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2021'!$F$17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Sep 2021'!$G$18:$G$26</c:f>
              <c:numCache>
                <c:formatCode>d\-mmm</c:formatCode>
                <c:ptCount val="9"/>
                <c:pt idx="0">
                  <c:v>44321</c:v>
                </c:pt>
                <c:pt idx="1">
                  <c:v>44363</c:v>
                </c:pt>
                <c:pt idx="2">
                  <c:v>44418</c:v>
                </c:pt>
                <c:pt idx="3">
                  <c:v>44419</c:v>
                </c:pt>
                <c:pt idx="4">
                  <c:v>44420</c:v>
                </c:pt>
                <c:pt idx="5">
                  <c:v>44421</c:v>
                </c:pt>
                <c:pt idx="6">
                  <c:v>44448</c:v>
                </c:pt>
                <c:pt idx="7">
                  <c:v>44449</c:v>
                </c:pt>
              </c:numCache>
            </c:numRef>
          </c:cat>
          <c:val>
            <c:numRef>
              <c:f>'STEG - Sep 2021'!$F$18:$F$26</c:f>
              <c:numCache>
                <c:formatCode>General</c:formatCode>
                <c:ptCount val="9"/>
                <c:pt idx="0">
                  <c:v>0</c:v>
                </c:pt>
                <c:pt idx="1">
                  <c:v>202</c:v>
                </c:pt>
                <c:pt idx="2">
                  <c:v>1295</c:v>
                </c:pt>
                <c:pt idx="3">
                  <c:v>1325</c:v>
                </c:pt>
                <c:pt idx="4">
                  <c:v>1364</c:v>
                </c:pt>
                <c:pt idx="5">
                  <c:v>1393</c:v>
                </c:pt>
                <c:pt idx="6">
                  <c:v>1728</c:v>
                </c:pt>
                <c:pt idx="7">
                  <c:v>1734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2-4966-B55B-E0270CCB7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 2021'!$U$4:$U$5</c:f>
              <c:numCache>
                <c:formatCode>m/d/yyyy</c:formatCode>
                <c:ptCount val="2"/>
                <c:pt idx="0">
                  <c:v>44450</c:v>
                </c:pt>
                <c:pt idx="1">
                  <c:v>44450</c:v>
                </c:pt>
              </c:numCache>
            </c:numRef>
          </c:xVal>
          <c:yVal>
            <c:numRef>
              <c:f>'STEG - Sep 2021'!$W$4:$W$5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C2-4966-B55B-E0270CCB7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450"/>
          <c:min val="44321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  <c:max val="16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2021'!$Q$17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May 2021'!$G$18:$G$31</c:f>
              <c:numCache>
                <c:formatCode>d\-mmm</c:formatCode>
                <c:ptCount val="14"/>
                <c:pt idx="0">
                  <c:v>44209</c:v>
                </c:pt>
                <c:pt idx="1">
                  <c:v>44222</c:v>
                </c:pt>
                <c:pt idx="2">
                  <c:v>44230</c:v>
                </c:pt>
                <c:pt idx="3">
                  <c:v>44233</c:v>
                </c:pt>
                <c:pt idx="4">
                  <c:v>44234</c:v>
                </c:pt>
                <c:pt idx="5">
                  <c:v>44236</c:v>
                </c:pt>
                <c:pt idx="6">
                  <c:v>44238</c:v>
                </c:pt>
                <c:pt idx="7">
                  <c:v>44244</c:v>
                </c:pt>
                <c:pt idx="8">
                  <c:v>44251</c:v>
                </c:pt>
                <c:pt idx="9">
                  <c:v>44255</c:v>
                </c:pt>
                <c:pt idx="10">
                  <c:v>44256</c:v>
                </c:pt>
                <c:pt idx="11">
                  <c:v>44312</c:v>
                </c:pt>
                <c:pt idx="12">
                  <c:v>44320</c:v>
                </c:pt>
                <c:pt idx="13">
                  <c:v>44321</c:v>
                </c:pt>
              </c:numCache>
            </c:numRef>
          </c:cat>
          <c:val>
            <c:numRef>
              <c:f>'STEG - May 2021'!$Q$18:$Q$31</c:f>
              <c:numCache>
                <c:formatCode>General</c:formatCode>
                <c:ptCount val="14"/>
                <c:pt idx="0">
                  <c:v>0</c:v>
                </c:pt>
                <c:pt idx="1">
                  <c:v>139</c:v>
                </c:pt>
                <c:pt idx="2">
                  <c:v>198</c:v>
                </c:pt>
                <c:pt idx="3">
                  <c:v>209</c:v>
                </c:pt>
                <c:pt idx="4">
                  <c:v>213</c:v>
                </c:pt>
                <c:pt idx="5">
                  <c:v>226</c:v>
                </c:pt>
                <c:pt idx="6">
                  <c:v>238</c:v>
                </c:pt>
                <c:pt idx="7">
                  <c:v>277</c:v>
                </c:pt>
                <c:pt idx="8">
                  <c:v>322</c:v>
                </c:pt>
                <c:pt idx="9">
                  <c:v>336</c:v>
                </c:pt>
                <c:pt idx="10">
                  <c:v>344</c:v>
                </c:pt>
                <c:pt idx="11">
                  <c:v>642</c:v>
                </c:pt>
                <c:pt idx="12">
                  <c:v>648</c:v>
                </c:pt>
                <c:pt idx="13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C1-4C06-B7C1-46E8DD418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2021'!$U$4:$U$5</c:f>
              <c:numCache>
                <c:formatCode>m/d/yyyy</c:formatCode>
                <c:ptCount val="2"/>
                <c:pt idx="0">
                  <c:v>44322</c:v>
                </c:pt>
                <c:pt idx="1">
                  <c:v>44322</c:v>
                </c:pt>
              </c:numCache>
            </c:numRef>
          </c:xVal>
          <c:yVal>
            <c:numRef>
              <c:f>'STEG - May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C1-4C06-B7C1-46E8DD418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Sep 2021'!$W$17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Sep 2021'!$G$18:$G$26</c:f>
              <c:numCache>
                <c:formatCode>d\-mmm</c:formatCode>
                <c:ptCount val="9"/>
                <c:pt idx="0">
                  <c:v>44321</c:v>
                </c:pt>
                <c:pt idx="1">
                  <c:v>44363</c:v>
                </c:pt>
                <c:pt idx="2">
                  <c:v>44418</c:v>
                </c:pt>
                <c:pt idx="3">
                  <c:v>44419</c:v>
                </c:pt>
                <c:pt idx="4">
                  <c:v>44420</c:v>
                </c:pt>
                <c:pt idx="5">
                  <c:v>44421</c:v>
                </c:pt>
                <c:pt idx="6">
                  <c:v>44448</c:v>
                </c:pt>
                <c:pt idx="7">
                  <c:v>44449</c:v>
                </c:pt>
              </c:numCache>
            </c:numRef>
          </c:cat>
          <c:val>
            <c:numRef>
              <c:f>'STEG - Sep 2021'!$W$18:$W$25</c:f>
              <c:numCache>
                <c:formatCode>0.00</c:formatCode>
                <c:ptCount val="8"/>
                <c:pt idx="0">
                  <c:v>46.631999999999998</c:v>
                </c:pt>
                <c:pt idx="1">
                  <c:v>99.860619999999969</c:v>
                </c:pt>
                <c:pt idx="2">
                  <c:v>383.62701999999996</c:v>
                </c:pt>
                <c:pt idx="3">
                  <c:v>396.14799999999991</c:v>
                </c:pt>
                <c:pt idx="4">
                  <c:v>412.07091999999994</c:v>
                </c:pt>
                <c:pt idx="5">
                  <c:v>424.18361999999996</c:v>
                </c:pt>
                <c:pt idx="6">
                  <c:v>563.41063999999994</c:v>
                </c:pt>
                <c:pt idx="7">
                  <c:v>566.13289999999995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E-4CDE-85D1-B87DC331B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Sep 2021'!$W$17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73200214997064517"/>
                  <c:y val="-0.17769736348299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Sep 2021'!$G$18:$G$26</c:f>
              <c:numCache>
                <c:formatCode>d\-mmm</c:formatCode>
                <c:ptCount val="9"/>
                <c:pt idx="0">
                  <c:v>44321</c:v>
                </c:pt>
                <c:pt idx="1">
                  <c:v>44363</c:v>
                </c:pt>
                <c:pt idx="2">
                  <c:v>44418</c:v>
                </c:pt>
                <c:pt idx="3">
                  <c:v>44419</c:v>
                </c:pt>
                <c:pt idx="4">
                  <c:v>44420</c:v>
                </c:pt>
                <c:pt idx="5">
                  <c:v>44421</c:v>
                </c:pt>
                <c:pt idx="6">
                  <c:v>44448</c:v>
                </c:pt>
                <c:pt idx="7">
                  <c:v>44449</c:v>
                </c:pt>
              </c:numCache>
            </c:numRef>
          </c:cat>
          <c:val>
            <c:numRef>
              <c:f>'STEG - Sep 2021'!$W$18:$W$25</c:f>
              <c:numCache>
                <c:formatCode>0.00</c:formatCode>
                <c:ptCount val="8"/>
                <c:pt idx="0">
                  <c:v>46.631999999999998</c:v>
                </c:pt>
                <c:pt idx="1">
                  <c:v>99.860619999999969</c:v>
                </c:pt>
                <c:pt idx="2">
                  <c:v>383.62701999999996</c:v>
                </c:pt>
                <c:pt idx="3">
                  <c:v>396.14799999999991</c:v>
                </c:pt>
                <c:pt idx="4">
                  <c:v>412.07091999999994</c:v>
                </c:pt>
                <c:pt idx="5">
                  <c:v>424.18361999999996</c:v>
                </c:pt>
                <c:pt idx="6">
                  <c:v>563.41063999999994</c:v>
                </c:pt>
                <c:pt idx="7">
                  <c:v>566.13289999999995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FE-4CDE-85D1-B87DC331B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'STEG - Sep 2021'!$U$4:$U$5</c:f>
              <c:numCache>
                <c:formatCode>m/d/yyyy</c:formatCode>
                <c:ptCount val="2"/>
                <c:pt idx="0">
                  <c:v>44450</c:v>
                </c:pt>
                <c:pt idx="1">
                  <c:v>44450</c:v>
                </c:pt>
              </c:numCache>
            </c:numRef>
          </c:xVal>
          <c:yVal>
            <c:numRef>
              <c:f>'STEG - Sep 2021'!$W$4:$W$5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FE-4CDE-85D1-B87DC331B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4452"/>
          <c:min val="44321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Sep 2021'!$Q$17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Sep 2021'!$G$18:$G$26</c:f>
              <c:numCache>
                <c:formatCode>d\-mmm</c:formatCode>
                <c:ptCount val="9"/>
                <c:pt idx="0">
                  <c:v>44321</c:v>
                </c:pt>
                <c:pt idx="1">
                  <c:v>44363</c:v>
                </c:pt>
                <c:pt idx="2">
                  <c:v>44418</c:v>
                </c:pt>
                <c:pt idx="3">
                  <c:v>44419</c:v>
                </c:pt>
                <c:pt idx="4">
                  <c:v>44420</c:v>
                </c:pt>
                <c:pt idx="5">
                  <c:v>44421</c:v>
                </c:pt>
                <c:pt idx="6">
                  <c:v>44448</c:v>
                </c:pt>
                <c:pt idx="7">
                  <c:v>44449</c:v>
                </c:pt>
              </c:numCache>
            </c:numRef>
          </c:cat>
          <c:val>
            <c:numRef>
              <c:f>'STEG - Sep 2021'!$Q$18:$Q$25</c:f>
              <c:numCache>
                <c:formatCode>General</c:formatCode>
                <c:ptCount val="8"/>
                <c:pt idx="0">
                  <c:v>0</c:v>
                </c:pt>
                <c:pt idx="1">
                  <c:v>37</c:v>
                </c:pt>
                <c:pt idx="2">
                  <c:v>82</c:v>
                </c:pt>
                <c:pt idx="3">
                  <c:v>83</c:v>
                </c:pt>
                <c:pt idx="4">
                  <c:v>83</c:v>
                </c:pt>
                <c:pt idx="5">
                  <c:v>84</c:v>
                </c:pt>
                <c:pt idx="6">
                  <c:v>93</c:v>
                </c:pt>
                <c:pt idx="7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9-4325-969D-A25629C11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Sep 2021'!$U$4:$U$5</c:f>
              <c:numCache>
                <c:formatCode>m/d/yyyy</c:formatCode>
                <c:ptCount val="2"/>
                <c:pt idx="0">
                  <c:v>44450</c:v>
                </c:pt>
                <c:pt idx="1">
                  <c:v>44450</c:v>
                </c:pt>
              </c:numCache>
            </c:numRef>
          </c:xVal>
          <c:yVal>
            <c:numRef>
              <c:f>'STEG - May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69-4325-969D-A25629C11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450"/>
          <c:min val="44321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2021'!$F$17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Jan 2022'!$G$18:$G$32</c:f>
              <c:numCache>
                <c:formatCode>d\-mmm</c:formatCode>
                <c:ptCount val="15"/>
                <c:pt idx="0">
                  <c:v>44449</c:v>
                </c:pt>
                <c:pt idx="1">
                  <c:v>44463</c:v>
                </c:pt>
                <c:pt idx="2">
                  <c:v>44480</c:v>
                </c:pt>
                <c:pt idx="3">
                  <c:v>44529</c:v>
                </c:pt>
                <c:pt idx="4">
                  <c:v>44530</c:v>
                </c:pt>
                <c:pt idx="5">
                  <c:v>44533</c:v>
                </c:pt>
                <c:pt idx="6">
                  <c:v>44536</c:v>
                </c:pt>
                <c:pt idx="7">
                  <c:v>44537</c:v>
                </c:pt>
                <c:pt idx="8">
                  <c:v>44545</c:v>
                </c:pt>
                <c:pt idx="9">
                  <c:v>44550</c:v>
                </c:pt>
                <c:pt idx="10">
                  <c:v>44575</c:v>
                </c:pt>
              </c:numCache>
            </c:numRef>
          </c:cat>
          <c:val>
            <c:numRef>
              <c:f>'STEG - Jan 2022'!$F$18:$F$32</c:f>
              <c:numCache>
                <c:formatCode>General</c:formatCode>
                <c:ptCount val="15"/>
                <c:pt idx="0">
                  <c:v>0</c:v>
                </c:pt>
                <c:pt idx="1">
                  <c:v>69</c:v>
                </c:pt>
                <c:pt idx="2">
                  <c:v>150</c:v>
                </c:pt>
                <c:pt idx="3">
                  <c:v>340</c:v>
                </c:pt>
                <c:pt idx="4">
                  <c:v>350</c:v>
                </c:pt>
                <c:pt idx="5">
                  <c:v>365</c:v>
                </c:pt>
                <c:pt idx="6">
                  <c:v>386</c:v>
                </c:pt>
                <c:pt idx="7">
                  <c:v>391</c:v>
                </c:pt>
                <c:pt idx="8">
                  <c:v>428</c:v>
                </c:pt>
                <c:pt idx="9">
                  <c:v>457</c:v>
                </c:pt>
                <c:pt idx="10">
                  <c:v>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C6-425D-B364-BD63CA387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2022'!$U$4:$U$5</c:f>
              <c:numCache>
                <c:formatCode>m/d/yyyy</c:formatCode>
                <c:ptCount val="2"/>
                <c:pt idx="0">
                  <c:v>44573</c:v>
                </c:pt>
                <c:pt idx="1">
                  <c:v>44573</c:v>
                </c:pt>
              </c:numCache>
            </c:numRef>
          </c:xVal>
          <c:yVal>
            <c:numRef>
              <c:f>'STEG - Jan 2022'!$W$4:$W$5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C6-425D-B364-BD63CA387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450"/>
          <c:min val="44321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  <c:max val="16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2021'!$Q$17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May 2021'!$G$18:$G$31</c:f>
              <c:numCache>
                <c:formatCode>d\-mmm</c:formatCode>
                <c:ptCount val="14"/>
                <c:pt idx="0">
                  <c:v>44209</c:v>
                </c:pt>
                <c:pt idx="1">
                  <c:v>44222</c:v>
                </c:pt>
                <c:pt idx="2">
                  <c:v>44230</c:v>
                </c:pt>
                <c:pt idx="3">
                  <c:v>44233</c:v>
                </c:pt>
                <c:pt idx="4">
                  <c:v>44234</c:v>
                </c:pt>
                <c:pt idx="5">
                  <c:v>44236</c:v>
                </c:pt>
                <c:pt idx="6">
                  <c:v>44238</c:v>
                </c:pt>
                <c:pt idx="7">
                  <c:v>44244</c:v>
                </c:pt>
                <c:pt idx="8">
                  <c:v>44251</c:v>
                </c:pt>
                <c:pt idx="9">
                  <c:v>44255</c:v>
                </c:pt>
                <c:pt idx="10">
                  <c:v>44256</c:v>
                </c:pt>
                <c:pt idx="11">
                  <c:v>44312</c:v>
                </c:pt>
                <c:pt idx="12">
                  <c:v>44320</c:v>
                </c:pt>
                <c:pt idx="13">
                  <c:v>44321</c:v>
                </c:pt>
              </c:numCache>
            </c:numRef>
          </c:cat>
          <c:val>
            <c:numRef>
              <c:f>'STEG - May 2021'!$Q$18:$Q$31</c:f>
              <c:numCache>
                <c:formatCode>General</c:formatCode>
                <c:ptCount val="14"/>
                <c:pt idx="0">
                  <c:v>0</c:v>
                </c:pt>
                <c:pt idx="1">
                  <c:v>139</c:v>
                </c:pt>
                <c:pt idx="2">
                  <c:v>198</c:v>
                </c:pt>
                <c:pt idx="3">
                  <c:v>209</c:v>
                </c:pt>
                <c:pt idx="4">
                  <c:v>213</c:v>
                </c:pt>
                <c:pt idx="5">
                  <c:v>226</c:v>
                </c:pt>
                <c:pt idx="6">
                  <c:v>238</c:v>
                </c:pt>
                <c:pt idx="7">
                  <c:v>277</c:v>
                </c:pt>
                <c:pt idx="8">
                  <c:v>322</c:v>
                </c:pt>
                <c:pt idx="9">
                  <c:v>336</c:v>
                </c:pt>
                <c:pt idx="10">
                  <c:v>344</c:v>
                </c:pt>
                <c:pt idx="11">
                  <c:v>642</c:v>
                </c:pt>
                <c:pt idx="12">
                  <c:v>648</c:v>
                </c:pt>
                <c:pt idx="13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4-4243-85B6-DCBE6292A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2021'!$U$4:$U$5</c:f>
              <c:numCache>
                <c:formatCode>m/d/yyyy</c:formatCode>
                <c:ptCount val="2"/>
                <c:pt idx="0">
                  <c:v>44322</c:v>
                </c:pt>
                <c:pt idx="1">
                  <c:v>44322</c:v>
                </c:pt>
              </c:numCache>
            </c:numRef>
          </c:xVal>
          <c:yVal>
            <c:numRef>
              <c:f>'STEG - May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14-4243-85B6-DCBE6292A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Jan 2022'!$W$17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Jan 2022'!$G$18:$G$32</c:f>
              <c:numCache>
                <c:formatCode>d\-mmm</c:formatCode>
                <c:ptCount val="15"/>
                <c:pt idx="0">
                  <c:v>44449</c:v>
                </c:pt>
                <c:pt idx="1">
                  <c:v>44463</c:v>
                </c:pt>
                <c:pt idx="2">
                  <c:v>44480</c:v>
                </c:pt>
                <c:pt idx="3">
                  <c:v>44529</c:v>
                </c:pt>
                <c:pt idx="4">
                  <c:v>44530</c:v>
                </c:pt>
                <c:pt idx="5">
                  <c:v>44533</c:v>
                </c:pt>
                <c:pt idx="6">
                  <c:v>44536</c:v>
                </c:pt>
                <c:pt idx="7">
                  <c:v>44537</c:v>
                </c:pt>
                <c:pt idx="8">
                  <c:v>44545</c:v>
                </c:pt>
                <c:pt idx="9">
                  <c:v>44550</c:v>
                </c:pt>
                <c:pt idx="10">
                  <c:v>44575</c:v>
                </c:pt>
              </c:numCache>
            </c:numRef>
          </c:cat>
          <c:val>
            <c:numRef>
              <c:f>'STEG - Jan 2022'!$W$18:$W$28</c:f>
              <c:numCache>
                <c:formatCode>0.00</c:formatCode>
                <c:ptCount val="11"/>
                <c:pt idx="0">
                  <c:v>46.631999999999998</c:v>
                </c:pt>
                <c:pt idx="1">
                  <c:v>62.869979999999991</c:v>
                </c:pt>
                <c:pt idx="2">
                  <c:v>81.872699999999995</c:v>
                </c:pt>
                <c:pt idx="3">
                  <c:v>138.50443999999999</c:v>
                </c:pt>
                <c:pt idx="4">
                  <c:v>144.66994</c:v>
                </c:pt>
                <c:pt idx="5">
                  <c:v>154.87221999999997</c:v>
                </c:pt>
                <c:pt idx="6">
                  <c:v>185.94634000000002</c:v>
                </c:pt>
                <c:pt idx="7">
                  <c:v>191.00854000000001</c:v>
                </c:pt>
                <c:pt idx="8">
                  <c:v>227.26167999999998</c:v>
                </c:pt>
                <c:pt idx="9">
                  <c:v>282.90103999999997</c:v>
                </c:pt>
                <c:pt idx="10">
                  <c:v>402.79847999999998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0-43ED-B76C-092211193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Jan 2022'!$W$17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73200214997064517"/>
                  <c:y val="-0.17769736348299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Jan 2022'!$G$18:$G$32</c:f>
              <c:numCache>
                <c:formatCode>d\-mmm</c:formatCode>
                <c:ptCount val="15"/>
                <c:pt idx="0">
                  <c:v>44449</c:v>
                </c:pt>
                <c:pt idx="1">
                  <c:v>44463</c:v>
                </c:pt>
                <c:pt idx="2">
                  <c:v>44480</c:v>
                </c:pt>
                <c:pt idx="3">
                  <c:v>44529</c:v>
                </c:pt>
                <c:pt idx="4">
                  <c:v>44530</c:v>
                </c:pt>
                <c:pt idx="5">
                  <c:v>44533</c:v>
                </c:pt>
                <c:pt idx="6">
                  <c:v>44536</c:v>
                </c:pt>
                <c:pt idx="7">
                  <c:v>44537</c:v>
                </c:pt>
                <c:pt idx="8">
                  <c:v>44545</c:v>
                </c:pt>
                <c:pt idx="9">
                  <c:v>44550</c:v>
                </c:pt>
                <c:pt idx="10">
                  <c:v>44575</c:v>
                </c:pt>
              </c:numCache>
            </c:numRef>
          </c:cat>
          <c:val>
            <c:numRef>
              <c:f>'STEG - Jan 2022'!$W$18:$W$28</c:f>
              <c:numCache>
                <c:formatCode>0.00</c:formatCode>
                <c:ptCount val="11"/>
                <c:pt idx="0">
                  <c:v>46.631999999999998</c:v>
                </c:pt>
                <c:pt idx="1">
                  <c:v>62.869979999999991</c:v>
                </c:pt>
                <c:pt idx="2">
                  <c:v>81.872699999999995</c:v>
                </c:pt>
                <c:pt idx="3">
                  <c:v>138.50443999999999</c:v>
                </c:pt>
                <c:pt idx="4">
                  <c:v>144.66994</c:v>
                </c:pt>
                <c:pt idx="5">
                  <c:v>154.87221999999997</c:v>
                </c:pt>
                <c:pt idx="6">
                  <c:v>185.94634000000002</c:v>
                </c:pt>
                <c:pt idx="7">
                  <c:v>191.00854000000001</c:v>
                </c:pt>
                <c:pt idx="8">
                  <c:v>227.26167999999998</c:v>
                </c:pt>
                <c:pt idx="9">
                  <c:v>282.90103999999997</c:v>
                </c:pt>
                <c:pt idx="10">
                  <c:v>402.79847999999998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60-43ED-B76C-092211193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'STEG - Jan 2022'!$U$4:$U$5</c:f>
              <c:numCache>
                <c:formatCode>m/d/yyyy</c:formatCode>
                <c:ptCount val="2"/>
                <c:pt idx="0">
                  <c:v>44573</c:v>
                </c:pt>
                <c:pt idx="1">
                  <c:v>44573</c:v>
                </c:pt>
              </c:numCache>
            </c:numRef>
          </c:xVal>
          <c:yVal>
            <c:numRef>
              <c:f>'STEG - Jan 2022'!$W$4:$W$5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60-43ED-B76C-092211193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4573"/>
          <c:min val="44449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Jan 2022'!$Q$17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Jan 2022'!$G$18:$G$32</c:f>
              <c:numCache>
                <c:formatCode>d\-mmm</c:formatCode>
                <c:ptCount val="15"/>
                <c:pt idx="0">
                  <c:v>44449</c:v>
                </c:pt>
                <c:pt idx="1">
                  <c:v>44463</c:v>
                </c:pt>
                <c:pt idx="2">
                  <c:v>44480</c:v>
                </c:pt>
                <c:pt idx="3">
                  <c:v>44529</c:v>
                </c:pt>
                <c:pt idx="4">
                  <c:v>44530</c:v>
                </c:pt>
                <c:pt idx="5">
                  <c:v>44533</c:v>
                </c:pt>
                <c:pt idx="6">
                  <c:v>44536</c:v>
                </c:pt>
                <c:pt idx="7">
                  <c:v>44537</c:v>
                </c:pt>
                <c:pt idx="8">
                  <c:v>44545</c:v>
                </c:pt>
                <c:pt idx="9">
                  <c:v>44550</c:v>
                </c:pt>
                <c:pt idx="10">
                  <c:v>44575</c:v>
                </c:pt>
              </c:numCache>
            </c:numRef>
          </c:cat>
          <c:val>
            <c:numRef>
              <c:f>'STEG - Jan 2022'!$Q$18:$Q$28</c:f>
              <c:numCache>
                <c:formatCode>General</c:formatCode>
                <c:ptCount val="11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78</c:v>
                </c:pt>
                <c:pt idx="4">
                  <c:v>93</c:v>
                </c:pt>
                <c:pt idx="5">
                  <c:v>119</c:v>
                </c:pt>
                <c:pt idx="6">
                  <c:v>147</c:v>
                </c:pt>
                <c:pt idx="7">
                  <c:v>157</c:v>
                </c:pt>
                <c:pt idx="8">
                  <c:v>228</c:v>
                </c:pt>
                <c:pt idx="9">
                  <c:v>268</c:v>
                </c:pt>
                <c:pt idx="10">
                  <c:v>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A-432C-A2DD-C701F2606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Jan 2022'!$U$4:$U$5</c:f>
              <c:numCache>
                <c:formatCode>m/d/yyyy</c:formatCode>
                <c:ptCount val="2"/>
                <c:pt idx="0">
                  <c:v>44573</c:v>
                </c:pt>
                <c:pt idx="1">
                  <c:v>44573</c:v>
                </c:pt>
              </c:numCache>
            </c:numRef>
          </c:xVal>
          <c:yVal>
            <c:numRef>
              <c:f>'STEG - May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BA-432C-A2DD-C701F2606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450"/>
          <c:min val="44321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</a:t>
            </a:r>
          </a:p>
          <a:p>
            <a:pPr>
              <a:defRPr/>
            </a:pPr>
            <a:r>
              <a:rPr lang="en-US"/>
              <a:t>Consumption (KWh)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2021'!$F$17</c:f>
              <c:strCache>
                <c:ptCount val="1"/>
                <c:pt idx="0">
                  <c:v>Consumption to date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cat>
            <c:numRef>
              <c:f>'STEG - May 2022'!$G$18:$G$24</c:f>
              <c:numCache>
                <c:formatCode>d\-mmm</c:formatCode>
                <c:ptCount val="7"/>
                <c:pt idx="0">
                  <c:v>44573</c:v>
                </c:pt>
                <c:pt idx="1">
                  <c:v>44575</c:v>
                </c:pt>
                <c:pt idx="2">
                  <c:v>44586</c:v>
                </c:pt>
              </c:numCache>
            </c:numRef>
          </c:cat>
          <c:val>
            <c:numRef>
              <c:f>'STEG - May 2022'!$F$18:$F$24</c:f>
              <c:numCache>
                <c:formatCode>General</c:formatCode>
                <c:ptCount val="7"/>
                <c:pt idx="0">
                  <c:v>0</c:v>
                </c:pt>
                <c:pt idx="1">
                  <c:v>4</c:v>
                </c:pt>
                <c:pt idx="2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3B-4A39-84C4-42A70B166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2022'!$U$4:$U$5</c:f>
              <c:numCache>
                <c:formatCode>m/d/yyyy</c:formatCode>
                <c:ptCount val="2"/>
                <c:pt idx="0">
                  <c:v>44450</c:v>
                </c:pt>
                <c:pt idx="1">
                  <c:v>44450</c:v>
                </c:pt>
              </c:numCache>
            </c:numRef>
          </c:xVal>
          <c:yVal>
            <c:numRef>
              <c:f>'STEG - May 2022'!$W$4:$W$5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3B-4A39-84C4-42A70B166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691"/>
          <c:min val="44573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  <c:majorUnit val="100"/>
      </c:valAx>
      <c:valAx>
        <c:axId val="296674224"/>
        <c:scaling>
          <c:orientation val="minMax"/>
          <c:max val="16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  <c:majorUnit val="100"/>
      </c:valAx>
      <c:valAx>
        <c:axId val="2966745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9667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2021'!$Q$17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May 2021'!$G$18:$G$31</c:f>
              <c:numCache>
                <c:formatCode>d\-mmm</c:formatCode>
                <c:ptCount val="14"/>
                <c:pt idx="0">
                  <c:v>44209</c:v>
                </c:pt>
                <c:pt idx="1">
                  <c:v>44222</c:v>
                </c:pt>
                <c:pt idx="2">
                  <c:v>44230</c:v>
                </c:pt>
                <c:pt idx="3">
                  <c:v>44233</c:v>
                </c:pt>
                <c:pt idx="4">
                  <c:v>44234</c:v>
                </c:pt>
                <c:pt idx="5">
                  <c:v>44236</c:v>
                </c:pt>
                <c:pt idx="6">
                  <c:v>44238</c:v>
                </c:pt>
                <c:pt idx="7">
                  <c:v>44244</c:v>
                </c:pt>
                <c:pt idx="8">
                  <c:v>44251</c:v>
                </c:pt>
                <c:pt idx="9">
                  <c:v>44255</c:v>
                </c:pt>
                <c:pt idx="10">
                  <c:v>44256</c:v>
                </c:pt>
                <c:pt idx="11">
                  <c:v>44312</c:v>
                </c:pt>
                <c:pt idx="12">
                  <c:v>44320</c:v>
                </c:pt>
                <c:pt idx="13">
                  <c:v>44321</c:v>
                </c:pt>
              </c:numCache>
            </c:numRef>
          </c:cat>
          <c:val>
            <c:numRef>
              <c:f>'STEG - May 2021'!$Q$18:$Q$31</c:f>
              <c:numCache>
                <c:formatCode>General</c:formatCode>
                <c:ptCount val="14"/>
                <c:pt idx="0">
                  <c:v>0</c:v>
                </c:pt>
                <c:pt idx="1">
                  <c:v>139</c:v>
                </c:pt>
                <c:pt idx="2">
                  <c:v>198</c:v>
                </c:pt>
                <c:pt idx="3">
                  <c:v>209</c:v>
                </c:pt>
                <c:pt idx="4">
                  <c:v>213</c:v>
                </c:pt>
                <c:pt idx="5">
                  <c:v>226</c:v>
                </c:pt>
                <c:pt idx="6">
                  <c:v>238</c:v>
                </c:pt>
                <c:pt idx="7">
                  <c:v>277</c:v>
                </c:pt>
                <c:pt idx="8">
                  <c:v>322</c:v>
                </c:pt>
                <c:pt idx="9">
                  <c:v>336</c:v>
                </c:pt>
                <c:pt idx="10">
                  <c:v>344</c:v>
                </c:pt>
                <c:pt idx="11">
                  <c:v>642</c:v>
                </c:pt>
                <c:pt idx="12">
                  <c:v>648</c:v>
                </c:pt>
                <c:pt idx="13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5-4EB6-BC4C-1544E1CD1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2021'!$U$4:$U$5</c:f>
              <c:numCache>
                <c:formatCode>m/d/yyyy</c:formatCode>
                <c:ptCount val="2"/>
                <c:pt idx="0">
                  <c:v>44322</c:v>
                </c:pt>
                <c:pt idx="1">
                  <c:v>44322</c:v>
                </c:pt>
              </c:numCache>
            </c:numRef>
          </c:xVal>
          <c:yVal>
            <c:numRef>
              <c:f>'STEG - May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A5-4EB6-BC4C-1544E1CD1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3594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 pay (TND) </a:t>
            </a:r>
          </a:p>
          <a:p>
            <a:pPr>
              <a:defRPr/>
            </a:pPr>
            <a:r>
              <a:rPr lang="en-US"/>
              <a:t>Gas +</a:t>
            </a:r>
            <a:r>
              <a:rPr lang="en-US" baseline="0"/>
              <a:t> </a:t>
            </a: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'STEG - May 2022'!$W$17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'STEG - May 2022'!$G$18:$G$24</c:f>
              <c:numCache>
                <c:formatCode>d\-mmm</c:formatCode>
                <c:ptCount val="7"/>
                <c:pt idx="0">
                  <c:v>44573</c:v>
                </c:pt>
                <c:pt idx="1">
                  <c:v>44575</c:v>
                </c:pt>
                <c:pt idx="2">
                  <c:v>44586</c:v>
                </c:pt>
              </c:numCache>
            </c:numRef>
          </c:cat>
          <c:val>
            <c:numRef>
              <c:f>'STEG - May 2022'!$W$18:$W$20</c:f>
              <c:numCache>
                <c:formatCode>0.00</c:formatCode>
                <c:ptCount val="3"/>
                <c:pt idx="0">
                  <c:v>46.631999999999998</c:v>
                </c:pt>
                <c:pt idx="1">
                  <c:v>50.461099999999995</c:v>
                </c:pt>
                <c:pt idx="2">
                  <c:v>91.945179999999993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7-471F-B905-54D904EA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4328"/>
        <c:axId val="373333344"/>
      </c:lineChart>
      <c:lineChart>
        <c:grouping val="standard"/>
        <c:varyColors val="0"/>
        <c:ser>
          <c:idx val="0"/>
          <c:order val="0"/>
          <c:tx>
            <c:strRef>
              <c:f>'STEG - May 2022'!$W$17</c:f>
              <c:strCache>
                <c:ptCount val="1"/>
                <c:pt idx="0">
                  <c:v>Total to pay to date
(TND)
- Predicted -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  <a:prstDash val="dash"/>
              </a:ln>
              <a:effectLst/>
            </c:spPr>
            <c:trendlineType val="linear"/>
            <c:forward val="150"/>
            <c:dispRSqr val="1"/>
            <c:dispEq val="1"/>
            <c:trendlineLbl>
              <c:layout>
                <c:manualLayout>
                  <c:x val="-0.73200214997064517"/>
                  <c:y val="-0.177697363482993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150"/>
            <c:dispRSqr val="0"/>
            <c:dispEq val="0"/>
          </c:trendline>
          <c:cat>
            <c:numRef>
              <c:f>'STEG - May 2022'!$G$18:$G$24</c:f>
              <c:numCache>
                <c:formatCode>d\-mmm</c:formatCode>
                <c:ptCount val="7"/>
                <c:pt idx="0">
                  <c:v>44573</c:v>
                </c:pt>
                <c:pt idx="1">
                  <c:v>44575</c:v>
                </c:pt>
                <c:pt idx="2">
                  <c:v>44586</c:v>
                </c:pt>
              </c:numCache>
            </c:numRef>
          </c:cat>
          <c:val>
            <c:numRef>
              <c:f>'STEG - May 2022'!$W$18:$W$20</c:f>
              <c:numCache>
                <c:formatCode>0.00</c:formatCode>
                <c:ptCount val="3"/>
                <c:pt idx="0">
                  <c:v>46.631999999999998</c:v>
                </c:pt>
                <c:pt idx="1">
                  <c:v>50.461099999999995</c:v>
                </c:pt>
                <c:pt idx="2">
                  <c:v>91.945179999999993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37-471F-B905-54D904EA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336952"/>
        <c:axId val="373332688"/>
      </c:lineChart>
      <c:scatterChart>
        <c:scatterStyle val="lineMarker"/>
        <c:varyColors val="0"/>
        <c:ser>
          <c:idx val="2"/>
          <c:order val="2"/>
          <c:tx>
            <c:v>Next bill</c:v>
          </c:tx>
          <c:spPr>
            <a:ln w="22225" cap="rnd">
              <a:solidFill>
                <a:srgbClr val="FF0000"/>
              </a:solidFill>
              <a:prstDash val="dash"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'STEG - May 2022'!$U$4:$U$5</c:f>
              <c:numCache>
                <c:formatCode>m/d/yyyy</c:formatCode>
                <c:ptCount val="2"/>
                <c:pt idx="0">
                  <c:v>44450</c:v>
                </c:pt>
                <c:pt idx="1">
                  <c:v>44450</c:v>
                </c:pt>
              </c:numCache>
            </c:numRef>
          </c:xVal>
          <c:yVal>
            <c:numRef>
              <c:f>'STEG - May 2022'!$W$4:$W$5</c:f>
              <c:numCache>
                <c:formatCode>General</c:formatCode>
                <c:ptCount val="2"/>
                <c:pt idx="0">
                  <c:v>0</c:v>
                </c:pt>
                <c:pt idx="1">
                  <c:v>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37-471F-B905-54D904EA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36952"/>
        <c:axId val="373332688"/>
      </c:scatterChart>
      <c:dateAx>
        <c:axId val="373334328"/>
        <c:scaling>
          <c:orientation val="minMax"/>
          <c:max val="44691"/>
          <c:min val="44573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3344"/>
        <c:crosses val="autoZero"/>
        <c:auto val="1"/>
        <c:lblOffset val="100"/>
        <c:baseTimeUnit val="days"/>
        <c:majorUnit val="7"/>
        <c:majorTimeUnit val="days"/>
      </c:dateAx>
      <c:valAx>
        <c:axId val="373333344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4328"/>
        <c:crosses val="autoZero"/>
        <c:crossBetween val="between"/>
        <c:majorUnit val="50"/>
      </c:valAx>
      <c:valAx>
        <c:axId val="373332688"/>
        <c:scaling>
          <c:orientation val="minMax"/>
          <c:max val="800"/>
          <c:min val="0"/>
        </c:scaling>
        <c:delete val="0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952"/>
        <c:crosses val="max"/>
        <c:crossBetween val="between"/>
        <c:majorUnit val="50"/>
      </c:valAx>
      <c:dateAx>
        <c:axId val="37333695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373332688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</a:t>
            </a:r>
          </a:p>
          <a:p>
            <a:pPr>
              <a:defRPr/>
            </a:pPr>
            <a:r>
              <a:rPr lang="en-US"/>
              <a:t>Consumption (m3) to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'STEG - May 2022'!$Q$17</c:f>
              <c:strCache>
                <c:ptCount val="1"/>
                <c:pt idx="0">
                  <c:v>Consumption (m3)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'STEG - May 2022'!$G$18:$G$24</c:f>
              <c:numCache>
                <c:formatCode>d\-mmm</c:formatCode>
                <c:ptCount val="7"/>
                <c:pt idx="0">
                  <c:v>44573</c:v>
                </c:pt>
                <c:pt idx="1">
                  <c:v>44575</c:v>
                </c:pt>
                <c:pt idx="2">
                  <c:v>44586</c:v>
                </c:pt>
              </c:numCache>
            </c:numRef>
          </c:cat>
          <c:val>
            <c:numRef>
              <c:f>'STEG - May 2022'!$Q$18:$Q$20</c:f>
              <c:numCache>
                <c:formatCode>General</c:formatCode>
                <c:ptCount val="3"/>
                <c:pt idx="0">
                  <c:v>0</c:v>
                </c:pt>
                <c:pt idx="1">
                  <c:v>11</c:v>
                </c:pt>
                <c:pt idx="2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4-401D-8002-6B132B464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1712"/>
        <c:axId val="238909416"/>
      </c:lineChart>
      <c:scatterChart>
        <c:scatterStyle val="lineMarker"/>
        <c:varyColors val="0"/>
        <c:ser>
          <c:idx val="1"/>
          <c:order val="1"/>
          <c:tx>
            <c:v>Next bill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'STEG - May 2022'!$U$4:$U$5</c:f>
              <c:numCache>
                <c:formatCode>m/d/yyyy</c:formatCode>
                <c:ptCount val="2"/>
                <c:pt idx="0">
                  <c:v>44450</c:v>
                </c:pt>
                <c:pt idx="1">
                  <c:v>44450</c:v>
                </c:pt>
              </c:numCache>
            </c:numRef>
          </c:xVal>
          <c:yVal>
            <c:numRef>
              <c:f>'STEG - May 2021'!$X$4:$X$5</c:f>
              <c:numCache>
                <c:formatCode>General</c:formatCode>
                <c:ptCount val="2"/>
                <c:pt idx="0">
                  <c:v>0</c:v>
                </c:pt>
                <c:pt idx="1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4-401D-8002-6B132B464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74552"/>
        <c:axId val="296674224"/>
      </c:scatterChart>
      <c:dateAx>
        <c:axId val="238911712"/>
        <c:scaling>
          <c:orientation val="minMax"/>
          <c:max val="44691"/>
          <c:min val="44573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09416"/>
        <c:crosses val="autoZero"/>
        <c:auto val="1"/>
        <c:lblOffset val="100"/>
        <c:baseTimeUnit val="days"/>
      </c:dateAx>
      <c:valAx>
        <c:axId val="238909416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11712"/>
        <c:crosses val="autoZero"/>
        <c:crossBetween val="between"/>
      </c:valAx>
      <c:valAx>
        <c:axId val="296674224"/>
        <c:scaling>
          <c:orientation val="minMax"/>
          <c:max val="1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74552"/>
        <c:crosses val="max"/>
        <c:crossBetween val="midCat"/>
      </c:valAx>
      <c:valAx>
        <c:axId val="296674552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96674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4" Type="http://schemas.openxmlformats.org/officeDocument/2006/relationships/chart" Target="../charts/chart41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4" Type="http://schemas.openxmlformats.org/officeDocument/2006/relationships/chart" Target="../charts/chart45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4" Type="http://schemas.openxmlformats.org/officeDocument/2006/relationships/chart" Target="../charts/chart49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4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217221</xdr:colOff>
      <xdr:row>68</xdr:row>
      <xdr:rowOff>175154</xdr:rowOff>
    </xdr:from>
    <xdr:to>
      <xdr:col>11</xdr:col>
      <xdr:colOff>1102254</xdr:colOff>
      <xdr:row>85</xdr:row>
      <xdr:rowOff>94191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321733</xdr:colOff>
      <xdr:row>68</xdr:row>
      <xdr:rowOff>163513</xdr:rowOff>
    </xdr:from>
    <xdr:to>
      <xdr:col>6</xdr:col>
      <xdr:colOff>1234016</xdr:colOff>
      <xdr:row>83</xdr:row>
      <xdr:rowOff>49213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950085</xdr:colOff>
      <xdr:row>80</xdr:row>
      <xdr:rowOff>136494</xdr:rowOff>
    </xdr:from>
    <xdr:to>
      <xdr:col>10</xdr:col>
      <xdr:colOff>804177</xdr:colOff>
      <xdr:row>97</xdr:row>
      <xdr:rowOff>55531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3180E-BEA5-4E6C-88BB-79C67DF81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1510676</xdr:colOff>
      <xdr:row>80</xdr:row>
      <xdr:rowOff>134378</xdr:rowOff>
    </xdr:from>
    <xdr:to>
      <xdr:col>5</xdr:col>
      <xdr:colOff>820519</xdr:colOff>
      <xdr:row>95</xdr:row>
      <xdr:rowOff>20078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09274A-2918-4334-A93E-4F6E8CB17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352425</xdr:colOff>
      <xdr:row>80</xdr:row>
      <xdr:rowOff>123825</xdr:rowOff>
    </xdr:from>
    <xdr:to>
      <xdr:col>16</xdr:col>
      <xdr:colOff>1024343</xdr:colOff>
      <xdr:row>95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A67DBE-809E-4E9A-ACAD-DEB04C7E3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187759</xdr:colOff>
      <xdr:row>41</xdr:row>
      <xdr:rowOff>55003</xdr:rowOff>
    </xdr:from>
    <xdr:to>
      <xdr:col>6</xdr:col>
      <xdr:colOff>174625</xdr:colOff>
      <xdr:row>57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C7C49C-E649-4228-95FC-A8F5E62F1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701675</xdr:colOff>
      <xdr:row>41</xdr:row>
      <xdr:rowOff>55033</xdr:rowOff>
    </xdr:from>
    <xdr:to>
      <xdr:col>16</xdr:col>
      <xdr:colOff>1373593</xdr:colOff>
      <xdr:row>55</xdr:row>
      <xdr:rowOff>131233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78F70D-BD87-4C0B-8FAA-91B14B092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1090083</xdr:colOff>
      <xdr:row>41</xdr:row>
      <xdr:rowOff>42333</xdr:rowOff>
    </xdr:from>
    <xdr:to>
      <xdr:col>10</xdr:col>
      <xdr:colOff>690175</xdr:colOff>
      <xdr:row>57</xdr:row>
      <xdr:rowOff>151870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412D92-E93B-4835-8CF0-3B1D753F1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187759</xdr:colOff>
      <xdr:row>39</xdr:row>
      <xdr:rowOff>55003</xdr:rowOff>
    </xdr:from>
    <xdr:to>
      <xdr:col>6</xdr:col>
      <xdr:colOff>174625</xdr:colOff>
      <xdr:row>55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AB3CB-767B-4C22-886B-C01FEF4E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701675</xdr:colOff>
      <xdr:row>39</xdr:row>
      <xdr:rowOff>55033</xdr:rowOff>
    </xdr:from>
    <xdr:to>
      <xdr:col>16</xdr:col>
      <xdr:colOff>1373593</xdr:colOff>
      <xdr:row>53</xdr:row>
      <xdr:rowOff>131233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363D93-5D3D-43F1-8F55-175DC0F02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1090083</xdr:colOff>
      <xdr:row>39</xdr:row>
      <xdr:rowOff>42333</xdr:rowOff>
    </xdr:from>
    <xdr:to>
      <xdr:col>10</xdr:col>
      <xdr:colOff>690175</xdr:colOff>
      <xdr:row>55</xdr:row>
      <xdr:rowOff>151870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0502FB-858C-4D2A-B590-31D087457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187759</xdr:colOff>
      <xdr:row>38</xdr:row>
      <xdr:rowOff>55003</xdr:rowOff>
    </xdr:from>
    <xdr:to>
      <xdr:col>6</xdr:col>
      <xdr:colOff>174625</xdr:colOff>
      <xdr:row>54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19A23-8BDF-44B6-BF09-A35A33C8F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863600</xdr:colOff>
      <xdr:row>37</xdr:row>
      <xdr:rowOff>45508</xdr:rowOff>
    </xdr:from>
    <xdr:to>
      <xdr:col>16</xdr:col>
      <xdr:colOff>1535518</xdr:colOff>
      <xdr:row>51</xdr:row>
      <xdr:rowOff>121708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41BDFC-DCB5-4B3E-87D0-695743170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1090083</xdr:colOff>
      <xdr:row>38</xdr:row>
      <xdr:rowOff>42333</xdr:rowOff>
    </xdr:from>
    <xdr:to>
      <xdr:col>10</xdr:col>
      <xdr:colOff>690175</xdr:colOff>
      <xdr:row>54</xdr:row>
      <xdr:rowOff>151870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D6175E-AA51-4521-A23F-C1AEE8BDF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39</xdr:row>
      <xdr:rowOff>133919</xdr:rowOff>
    </xdr:from>
    <xdr:to>
      <xdr:col>6</xdr:col>
      <xdr:colOff>161738</xdr:colOff>
      <xdr:row>55</xdr:row>
      <xdr:rowOff>94791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3F2F8-E03C-4E0C-9671-78AF0EB71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39</xdr:row>
      <xdr:rowOff>172378</xdr:rowOff>
    </xdr:from>
    <xdr:to>
      <xdr:col>16</xdr:col>
      <xdr:colOff>1546724</xdr:colOff>
      <xdr:row>54</xdr:row>
      <xdr:rowOff>58078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94DFA1-E2DB-4D01-A46E-999E0C44D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39</xdr:row>
      <xdr:rowOff>154706</xdr:rowOff>
    </xdr:from>
    <xdr:to>
      <xdr:col>10</xdr:col>
      <xdr:colOff>761893</xdr:colOff>
      <xdr:row>56</xdr:row>
      <xdr:rowOff>73743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6EC03E-CFD6-404D-BE7F-0FC23934C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38</xdr:row>
      <xdr:rowOff>133919</xdr:rowOff>
    </xdr:from>
    <xdr:to>
      <xdr:col>6</xdr:col>
      <xdr:colOff>161738</xdr:colOff>
      <xdr:row>54</xdr:row>
      <xdr:rowOff>94791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64076A-8AD4-4C90-B0E6-65CE121DB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59</xdr:row>
      <xdr:rowOff>172378</xdr:rowOff>
    </xdr:from>
    <xdr:to>
      <xdr:col>16</xdr:col>
      <xdr:colOff>1546724</xdr:colOff>
      <xdr:row>74</xdr:row>
      <xdr:rowOff>58078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874A7-AC88-4646-8179-940B9EC91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38</xdr:row>
      <xdr:rowOff>154706</xdr:rowOff>
    </xdr:from>
    <xdr:to>
      <xdr:col>10</xdr:col>
      <xdr:colOff>761893</xdr:colOff>
      <xdr:row>55</xdr:row>
      <xdr:rowOff>73743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FAA328-AB93-47B1-93A1-1D11AD495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39</xdr:row>
      <xdr:rowOff>0</xdr:rowOff>
    </xdr:from>
    <xdr:to>
      <xdr:col>17</xdr:col>
      <xdr:colOff>505066</xdr:colOff>
      <xdr:row>53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5C21FD-3F3F-4374-A942-814C1E5A2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40</xdr:row>
      <xdr:rowOff>133919</xdr:rowOff>
    </xdr:from>
    <xdr:to>
      <xdr:col>6</xdr:col>
      <xdr:colOff>161738</xdr:colOff>
      <xdr:row>56</xdr:row>
      <xdr:rowOff>94791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B1EA8-BA0C-4D30-B167-35D669A86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76</xdr:row>
      <xdr:rowOff>172378</xdr:rowOff>
    </xdr:from>
    <xdr:to>
      <xdr:col>16</xdr:col>
      <xdr:colOff>1546724</xdr:colOff>
      <xdr:row>91</xdr:row>
      <xdr:rowOff>58078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6296DD-7022-4586-8355-035AF4E06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40</xdr:row>
      <xdr:rowOff>154706</xdr:rowOff>
    </xdr:from>
    <xdr:to>
      <xdr:col>10</xdr:col>
      <xdr:colOff>761893</xdr:colOff>
      <xdr:row>57</xdr:row>
      <xdr:rowOff>73743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170BBC-8B0E-47A1-9C14-2173FCE12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45</xdr:row>
      <xdr:rowOff>0</xdr:rowOff>
    </xdr:from>
    <xdr:to>
      <xdr:col>17</xdr:col>
      <xdr:colOff>505066</xdr:colOff>
      <xdr:row>59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0E3FE8-D174-440D-AE8E-A158CCC7B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41</xdr:row>
      <xdr:rowOff>133919</xdr:rowOff>
    </xdr:from>
    <xdr:to>
      <xdr:col>6</xdr:col>
      <xdr:colOff>161738</xdr:colOff>
      <xdr:row>57</xdr:row>
      <xdr:rowOff>94791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E0711-B9B1-4CB3-8428-B44703735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89</xdr:row>
      <xdr:rowOff>172378</xdr:rowOff>
    </xdr:from>
    <xdr:to>
      <xdr:col>16</xdr:col>
      <xdr:colOff>1546724</xdr:colOff>
      <xdr:row>104</xdr:row>
      <xdr:rowOff>58078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59A3DC-E222-4625-9DF9-39D509941D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41</xdr:row>
      <xdr:rowOff>168313</xdr:rowOff>
    </xdr:from>
    <xdr:to>
      <xdr:col>10</xdr:col>
      <xdr:colOff>761893</xdr:colOff>
      <xdr:row>58</xdr:row>
      <xdr:rowOff>87350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DC481B-6AA4-466F-8D95-57F4CC58D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46</xdr:row>
      <xdr:rowOff>0</xdr:rowOff>
    </xdr:from>
    <xdr:to>
      <xdr:col>17</xdr:col>
      <xdr:colOff>505066</xdr:colOff>
      <xdr:row>60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68E349-4798-4AE3-BB1A-BB953B34D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38</xdr:row>
      <xdr:rowOff>133919</xdr:rowOff>
    </xdr:from>
    <xdr:to>
      <xdr:col>6</xdr:col>
      <xdr:colOff>161738</xdr:colOff>
      <xdr:row>54</xdr:row>
      <xdr:rowOff>94791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44BBE5-C093-4AE8-83C5-06BFD2118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86</xdr:row>
      <xdr:rowOff>172378</xdr:rowOff>
    </xdr:from>
    <xdr:to>
      <xdr:col>16</xdr:col>
      <xdr:colOff>1546724</xdr:colOff>
      <xdr:row>101</xdr:row>
      <xdr:rowOff>58078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6C188B-27B2-44DE-87BA-B71E7C9E5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38</xdr:row>
      <xdr:rowOff>168313</xdr:rowOff>
    </xdr:from>
    <xdr:to>
      <xdr:col>10</xdr:col>
      <xdr:colOff>761893</xdr:colOff>
      <xdr:row>55</xdr:row>
      <xdr:rowOff>87350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1B110B-0030-4BF5-98A6-F805AA105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43</xdr:row>
      <xdr:rowOff>0</xdr:rowOff>
    </xdr:from>
    <xdr:to>
      <xdr:col>17</xdr:col>
      <xdr:colOff>505066</xdr:colOff>
      <xdr:row>57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AB58E8-D5B4-4F9C-9B74-F18146748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47</xdr:row>
      <xdr:rowOff>133919</xdr:rowOff>
    </xdr:from>
    <xdr:to>
      <xdr:col>6</xdr:col>
      <xdr:colOff>161738</xdr:colOff>
      <xdr:row>63</xdr:row>
      <xdr:rowOff>94791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B1086-40CA-4EA3-889A-7F3D8D563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89</xdr:row>
      <xdr:rowOff>172378</xdr:rowOff>
    </xdr:from>
    <xdr:to>
      <xdr:col>16</xdr:col>
      <xdr:colOff>1546724</xdr:colOff>
      <xdr:row>104</xdr:row>
      <xdr:rowOff>58078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C2BD64-F34A-4C08-A076-0C00F7533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47</xdr:row>
      <xdr:rowOff>168313</xdr:rowOff>
    </xdr:from>
    <xdr:to>
      <xdr:col>10</xdr:col>
      <xdr:colOff>761893</xdr:colOff>
      <xdr:row>64</xdr:row>
      <xdr:rowOff>87350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B9AF0D-17AA-48F8-9E0F-785967A03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179295</xdr:colOff>
      <xdr:row>47</xdr:row>
      <xdr:rowOff>123265</xdr:rowOff>
    </xdr:from>
    <xdr:to>
      <xdr:col>17</xdr:col>
      <xdr:colOff>684361</xdr:colOff>
      <xdr:row>70</xdr:row>
      <xdr:rowOff>8965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756390-90CE-4951-BC42-2E2B1B576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36</xdr:row>
      <xdr:rowOff>133919</xdr:rowOff>
    </xdr:from>
    <xdr:to>
      <xdr:col>6</xdr:col>
      <xdr:colOff>161738</xdr:colOff>
      <xdr:row>52</xdr:row>
      <xdr:rowOff>94791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93A50-5600-45BE-B653-A86F209D5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92</xdr:row>
      <xdr:rowOff>172378</xdr:rowOff>
    </xdr:from>
    <xdr:to>
      <xdr:col>16</xdr:col>
      <xdr:colOff>1546724</xdr:colOff>
      <xdr:row>107</xdr:row>
      <xdr:rowOff>58078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ABE49C-F33E-42B9-AD37-8A7C98603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36</xdr:row>
      <xdr:rowOff>168313</xdr:rowOff>
    </xdr:from>
    <xdr:to>
      <xdr:col>10</xdr:col>
      <xdr:colOff>761893</xdr:colOff>
      <xdr:row>53</xdr:row>
      <xdr:rowOff>87350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C66F3E-C513-4786-87DA-7BCFB01A4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179295</xdr:colOff>
      <xdr:row>33</xdr:row>
      <xdr:rowOff>123265</xdr:rowOff>
    </xdr:from>
    <xdr:to>
      <xdr:col>17</xdr:col>
      <xdr:colOff>684361</xdr:colOff>
      <xdr:row>56</xdr:row>
      <xdr:rowOff>8965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D8CAC4-6C28-4592-AFBD-B9A60EBF2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26</xdr:row>
      <xdr:rowOff>133919</xdr:rowOff>
    </xdr:from>
    <xdr:to>
      <xdr:col>6</xdr:col>
      <xdr:colOff>161738</xdr:colOff>
      <xdr:row>42</xdr:row>
      <xdr:rowOff>94791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1FDA2E-EBA3-4687-9511-362715EF4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82</xdr:row>
      <xdr:rowOff>172378</xdr:rowOff>
    </xdr:from>
    <xdr:to>
      <xdr:col>16</xdr:col>
      <xdr:colOff>1546724</xdr:colOff>
      <xdr:row>97</xdr:row>
      <xdr:rowOff>58078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F6EB56-F842-4D1D-9397-485491971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26</xdr:row>
      <xdr:rowOff>168313</xdr:rowOff>
    </xdr:from>
    <xdr:to>
      <xdr:col>10</xdr:col>
      <xdr:colOff>761893</xdr:colOff>
      <xdr:row>43</xdr:row>
      <xdr:rowOff>87350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5F7A75-51E3-44BC-8602-672470C48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179295</xdr:colOff>
      <xdr:row>28</xdr:row>
      <xdr:rowOff>0</xdr:rowOff>
    </xdr:from>
    <xdr:to>
      <xdr:col>17</xdr:col>
      <xdr:colOff>684361</xdr:colOff>
      <xdr:row>48</xdr:row>
      <xdr:rowOff>8965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A4301B-AE8D-4834-AA45-C39E85BAA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32</xdr:row>
      <xdr:rowOff>133919</xdr:rowOff>
    </xdr:from>
    <xdr:to>
      <xdr:col>6</xdr:col>
      <xdr:colOff>161738</xdr:colOff>
      <xdr:row>48</xdr:row>
      <xdr:rowOff>94791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C3E538-0F85-4B50-BD59-B841BE0EE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88</xdr:row>
      <xdr:rowOff>172378</xdr:rowOff>
    </xdr:from>
    <xdr:to>
      <xdr:col>16</xdr:col>
      <xdr:colOff>1546724</xdr:colOff>
      <xdr:row>103</xdr:row>
      <xdr:rowOff>58078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5B528E-1D63-4937-9D90-D5FD4D9E3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32</xdr:row>
      <xdr:rowOff>168313</xdr:rowOff>
    </xdr:from>
    <xdr:to>
      <xdr:col>10</xdr:col>
      <xdr:colOff>761893</xdr:colOff>
      <xdr:row>49</xdr:row>
      <xdr:rowOff>87350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25F223-4415-494E-8C21-C51B11614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179295</xdr:colOff>
      <xdr:row>34</xdr:row>
      <xdr:rowOff>0</xdr:rowOff>
    </xdr:from>
    <xdr:to>
      <xdr:col>17</xdr:col>
      <xdr:colOff>684361</xdr:colOff>
      <xdr:row>54</xdr:row>
      <xdr:rowOff>8965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10DF07-8424-461C-AE9D-E38EABB81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174872</xdr:colOff>
      <xdr:row>24</xdr:row>
      <xdr:rowOff>133919</xdr:rowOff>
    </xdr:from>
    <xdr:to>
      <xdr:col>6</xdr:col>
      <xdr:colOff>161738</xdr:colOff>
      <xdr:row>40</xdr:row>
      <xdr:rowOff>94791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F7F48-EC72-4380-A952-7C3E9BBB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874806</xdr:colOff>
      <xdr:row>88</xdr:row>
      <xdr:rowOff>172378</xdr:rowOff>
    </xdr:from>
    <xdr:to>
      <xdr:col>16</xdr:col>
      <xdr:colOff>1546724</xdr:colOff>
      <xdr:row>103</xdr:row>
      <xdr:rowOff>58078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234646-4F11-4398-A85B-75AC8F0E8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1161801</xdr:colOff>
      <xdr:row>24</xdr:row>
      <xdr:rowOff>168313</xdr:rowOff>
    </xdr:from>
    <xdr:to>
      <xdr:col>10</xdr:col>
      <xdr:colOff>761893</xdr:colOff>
      <xdr:row>41</xdr:row>
      <xdr:rowOff>87350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0FAE20-B26B-4497-BC3E-9D32D5F8C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179295</xdr:colOff>
      <xdr:row>26</xdr:row>
      <xdr:rowOff>0</xdr:rowOff>
    </xdr:from>
    <xdr:to>
      <xdr:col>17</xdr:col>
      <xdr:colOff>684361</xdr:colOff>
      <xdr:row>46</xdr:row>
      <xdr:rowOff>8965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8E4F68-273C-428D-95B1-E36E6DC68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ctricity_cost" displayName="electricity_cost" ref="B17:L66" totalsRowShown="0" headerRowDxfId="260">
  <autoFilter ref="B17:L66" xr:uid="{00000000-0009-0000-0100-000001000000}"/>
  <tableColumns count="11">
    <tableColumn id="1" xr3:uid="{00000000-0010-0000-0000-000001000000}" name="Original index _x000a_(KWh)"/>
    <tableColumn id="2" xr3:uid="{00000000-0010-0000-0000-000002000000}" name="Date of previous _x000a_reading (Elect)"/>
    <tableColumn id="3" xr3:uid="{00000000-0010-0000-0000-000003000000}" name="Date of next _x000a_reading (Elect)"/>
    <tableColumn id="4" xr3:uid="{00000000-0010-0000-0000-000004000000}" name=" Index (KWh)"/>
    <tableColumn id="10" xr3:uid="{00000000-0010-0000-0000-00000A000000}" name="Consumption to date (KWh)" dataDxfId="259">
      <calculatedColumnFormula>electricity_cost[[#This Row],[ Index (KWh)]]-electricity_cost[[#This Row],[Original index 
(KWh)]]</calculatedColumnFormula>
    </tableColumn>
    <tableColumn id="5" xr3:uid="{00000000-0010-0000-0000-000005000000}" name="Date of reading _x000a_(Elect)"/>
    <tableColumn id="7" xr3:uid="{00000000-0010-0000-0000-000007000000}" name="Level (Elect)" dataDxfId="258">
      <calculatedColumnFormula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calculatedColumnFormula>
    </tableColumn>
    <tableColumn id="8" xr3:uid="{00000000-0010-0000-0000-000008000000}" name="Elect. Net cost to date_x000a_(TND)" dataDxfId="257">
      <calculatedColumnFormula>_xlfn.IFS(electricity_cost[[#This Row],[Level (Elect)]]= 1, (electricity_cost[[#This Row],[Consumption to date (KWh)]] * L$3)/1000, electricity_cost[[#This Row],[Level (Elect)]] = 2, (K$3 * L$3 +((electricity_cost[[#This Row],[Consumption to date (KWh)]] - K$3) * L$4))/1000,electricity_cost[[#This Row],[Level (Elect)]] = 3, (K$3 * L$3 + (K$4-J$4) * L$4 + ((electricity_cost[[#This Row],[Consumption to date (KWh)]] - K$4) * L$5))/1000, electricity_cost[[#This Row],[Level (Elect)]] = 4, (K$3 * L$3 + (K$4-J$4) * L$4 + (K$5-J$5) * L$5 + ((electricity_cost[[#This Row],[Consumption to date (KWh)]] - K$5) * L$6))/1000)</calculatedColumnFormula>
    </tableColumn>
    <tableColumn id="9" xr3:uid="{00000000-0010-0000-0000-000009000000}" name="Elect. Cost  VAT included_x000a_(TND)_x000a_" dataDxfId="256">
      <calculatedColumnFormula xml:space="preserve"> (E$5 + electricity_cost[[#This Row],[Elect. Net cost to date
(TND)]]) * (1 + F$31)</calculatedColumnFormula>
    </tableColumn>
    <tableColumn id="11" xr3:uid="{00000000-0010-0000-0000-00000B000000}" name="Elect. Average cost (TND)_x000a_trend per day" dataDxfId="255">
      <calculatedColumnFormula>electricity_cost[[#This Row],[Elect. Cost  VAT included
(TND)
]]-J17/(electricity_cost[[#This Row],[Date of reading 
(Elect)]]-G17)</calculatedColumnFormula>
    </tableColumn>
    <tableColumn id="12" xr3:uid="{00000000-0010-0000-0000-00000C000000}" name="Average energy consumption (KWh) _x000a_trend per day" dataDxfId="254">
      <calculatedColumnFormula>(electricity_cost[[#This Row],[Consumption to date (KWh)]] - F17)/_xlfn.DAYS(electricity_cost[[#This Row],[Date of reading 
(Elect)]], G17)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gas_cost10" displayName="gas_cost10" ref="M17:W66" totalsRowShown="0" headerRowDxfId="253" headerRowCellStyle="Bad" dataCellStyle="Bad">
  <autoFilter ref="M17:W66" xr:uid="{00000000-0009-0000-0100-000009000000}"/>
  <tableColumns count="11">
    <tableColumn id="1" xr3:uid="{00000000-0010-0000-0100-000001000000}" name="Original index _x000a_(m3)"/>
    <tableColumn id="2" xr3:uid="{00000000-0010-0000-0100-000002000000}" name="Date of previous _x000a_reading (Gas)"/>
    <tableColumn id="3" xr3:uid="{00000000-0010-0000-0100-000003000000}" name="Date of next _x000a_reading (Gas)"/>
    <tableColumn id="4" xr3:uid="{00000000-0010-0000-0100-000004000000}" name=" Index (m3)"/>
    <tableColumn id="10" xr3:uid="{00000000-0010-0000-0100-00000A000000}" name="Consumption (m3)" dataDxfId="252">
      <calculatedColumnFormula>gas_cost10[[#This Row],[ Index (m3)]] - gas_cost10[[#This Row],[Original index 
(m3)]]</calculatedColumnFormula>
    </tableColumn>
    <tableColumn id="7" xr3:uid="{00000000-0010-0000-0100-000007000000}" name="Level (Gas)" dataDxfId="251">
      <calculatedColumnFormula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calculatedColumnFormula>
    </tableColumn>
    <tableColumn id="8" xr3:uid="{00000000-0010-0000-0100-000008000000}" name="Gas Net cost to date_x000a_(TND)" dataDxfId="250">
      <calculatedColumnFormula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calculatedColumnFormula>
    </tableColumn>
    <tableColumn id="9" xr3:uid="{00000000-0010-0000-0100-000009000000}" name="Gas Cost to date  VAT included_x000a_(TND)_x000a_" dataDxfId="249">
      <calculatedColumnFormula xml:space="preserve"> gas_cost10[[#This Row],[Gas Net cost to date
(TND)]]* (1 + E$5)</calculatedColumnFormula>
    </tableColumn>
    <tableColumn id="11" xr3:uid="{00000000-0010-0000-0100-00000B000000}" name="Gas Average cost _x000a_ trend per day (TND)" dataDxfId="248">
      <calculatedColumnFormula>(gas_cost10[[#This Row],[Gas Cost to date  VAT included
(TND)
]] - T17)/_xlfn.DAYS(electricity_cost[[#This Row],[Date of reading 
(Elect)]], G17)</calculatedColumnFormula>
    </tableColumn>
    <tableColumn id="12" xr3:uid="{00000000-0010-0000-0100-00000C000000}" name="Total to pay to date_x000a_(TND)_x000a_- Predicted -" dataDxfId="247" dataCellStyle="Bad">
      <calculatedColumnFormula xml:space="preserve"> E$8 + ((electricity_cost[[#This Row],[Elect. Net cost to date
(TND)]] + E$6 + gas_cost10[[#This Row],[Gas Net cost to date
(TND)]] + E$7) * (1 + E$5))</calculatedColumnFormula>
    </tableColumn>
    <tableColumn id="5" xr3:uid="{00000000-0010-0000-0100-000005000000}" name="Actual bill_x000a_Check Sept. 5th" dataDxfId="246" dataCellStyle="B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electricity_prices" displayName="electricity_prices" ref="I3:L7" totalsRowShown="0">
  <autoFilter ref="I3:L7" xr:uid="{00000000-0009-0000-0100-000005000000}"/>
  <tableColumns count="4">
    <tableColumn id="1" xr3:uid="{00000000-0010-0000-0200-000001000000}" name="Range level"/>
    <tableColumn id="2" xr3:uid="{00000000-0010-0000-0200-000002000000}" name="From (KWh)"/>
    <tableColumn id="3" xr3:uid="{00000000-0010-0000-0200-000003000000}" name="To (KWh)"/>
    <tableColumn id="4" xr3:uid="{00000000-0010-0000-0200-000004000000}" name="Unit Price_x000a_ (millimes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gas_prices12" displayName="gas_prices12" ref="P3:S7" totalsRowShown="0">
  <autoFilter ref="P3:S7" xr:uid="{00000000-0009-0000-0100-00000B000000}"/>
  <tableColumns count="4">
    <tableColumn id="1" xr3:uid="{00000000-0010-0000-0300-000001000000}" name="Range level"/>
    <tableColumn id="2" xr3:uid="{00000000-0010-0000-0300-000002000000}" name="From (m3)"/>
    <tableColumn id="3" xr3:uid="{00000000-0010-0000-0300-000003000000}" name="To (m3)"/>
    <tableColumn id="4" xr3:uid="{00000000-0010-0000-0300-000004000000}" name="Unit Price_x000a_ (millimes)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electricity_cost3" displayName="electricity_cost3" ref="B17:L80" totalsRowShown="0" headerRowDxfId="245">
  <autoFilter ref="B17:L80" xr:uid="{00000000-0009-0000-0100-000002000000}"/>
  <tableColumns count="11">
    <tableColumn id="1" xr3:uid="{00000000-0010-0000-0400-000001000000}" name="Original index _x000a_(KWh)"/>
    <tableColumn id="2" xr3:uid="{00000000-0010-0000-0400-000002000000}" name="Date of previous _x000a_reading (Elect)"/>
    <tableColumn id="3" xr3:uid="{00000000-0010-0000-0400-000003000000}" name="Date of next _x000a_reading (Elect)"/>
    <tableColumn id="4" xr3:uid="{00000000-0010-0000-0400-000004000000}" name=" Index (KWh)"/>
    <tableColumn id="10" xr3:uid="{00000000-0010-0000-0400-00000A000000}" name="Consumption to date (KWh)" dataDxfId="244">
      <calculatedColumnFormula>electricity_cost3[[#This Row],[ Index (KWh)]]-electricity_cost3[[#This Row],[Original index 
(KWh)]]</calculatedColumnFormula>
    </tableColumn>
    <tableColumn id="5" xr3:uid="{00000000-0010-0000-0400-000005000000}" name="Date of reading _x000a_(Elect)"/>
    <tableColumn id="7" xr3:uid="{00000000-0010-0000-0400-000007000000}" name="Level (Elect)" dataDxfId="243">
      <calculatedColumnFormula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calculatedColumnFormula>
    </tableColumn>
    <tableColumn id="8" xr3:uid="{00000000-0010-0000-0400-000008000000}" name="Elect. Net cost to date_x000a_(TND)" dataDxfId="242">
      <calculatedColumnFormula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calculatedColumnFormula>
    </tableColumn>
    <tableColumn id="9" xr3:uid="{00000000-0010-0000-0400-000009000000}" name="Elect. Cost  VAT included_x000a_(TND)_x000a_" dataDxfId="241">
      <calculatedColumnFormula xml:space="preserve"> (E$5 + electricity_cost3[[#This Row],[Elect. Net cost to date
(TND)]]) * (1 + F$34)</calculatedColumnFormula>
    </tableColumn>
    <tableColumn id="11" xr3:uid="{00000000-0010-0000-0400-00000B000000}" name="Elect. Average cost (TND)_x000a_trend per day" dataDxfId="240">
      <calculatedColumnFormula>electricity_cost3[[#This Row],[Elect. Cost  VAT included
(TND)
]]-J17/(electricity_cost3[[#This Row],[Date of reading 
(Elect)]]-G17)</calculatedColumnFormula>
    </tableColumn>
    <tableColumn id="12" xr3:uid="{00000000-0010-0000-0400-00000C000000}" name="Average energy consumption (KWh) _x000a_trend per day" dataDxfId="239">
      <calculatedColumnFormula>(electricity_cost3[[#This Row],[Consumption to date (KWh)]] - F17)/_xlfn.DAYS(electricity_cost3[[#This Row],[Date of reading 
(Elect)]], G17)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gas_cost107" displayName="gas_cost107" ref="M17:W80" totalsRowShown="0" headerRowDxfId="238" headerRowCellStyle="Bad" dataCellStyle="Bad">
  <autoFilter ref="M17:W80" xr:uid="{00000000-0009-0000-0100-000006000000}"/>
  <tableColumns count="11">
    <tableColumn id="1" xr3:uid="{00000000-0010-0000-0500-000001000000}" name="Original index _x000a_(m3)"/>
    <tableColumn id="2" xr3:uid="{00000000-0010-0000-0500-000002000000}" name="Date of previous _x000a_reading (Gas)"/>
    <tableColumn id="3" xr3:uid="{00000000-0010-0000-0500-000003000000}" name="Date of next _x000a_reading (Gas)"/>
    <tableColumn id="4" xr3:uid="{00000000-0010-0000-0500-000004000000}" name=" Index (m3)"/>
    <tableColumn id="10" xr3:uid="{00000000-0010-0000-0500-00000A000000}" name="Consumption (m3)" dataDxfId="237">
      <calculatedColumnFormula>gas_cost107[[#This Row],[ Index (m3)]] - gas_cost107[[#This Row],[Original index 
(m3)]]</calculatedColumnFormula>
    </tableColumn>
    <tableColumn id="7" xr3:uid="{00000000-0010-0000-0500-000007000000}" name="Level (Gas)" dataDxfId="236">
      <calculatedColumnFormula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calculatedColumnFormula>
    </tableColumn>
    <tableColumn id="8" xr3:uid="{00000000-0010-0000-0500-000008000000}" name="Gas Net cost to date_x000a_(TND)" dataDxfId="235">
      <calculatedColumnFormula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calculatedColumnFormula>
    </tableColumn>
    <tableColumn id="9" xr3:uid="{00000000-0010-0000-0500-000009000000}" name="Gas Cost to date  VAT included_x000a_(TND)_x000a_" dataDxfId="234">
      <calculatedColumnFormula xml:space="preserve"> gas_cost107[[#This Row],[Gas Net cost to date
(TND)]]* (1 + E$5)</calculatedColumnFormula>
    </tableColumn>
    <tableColumn id="11" xr3:uid="{00000000-0010-0000-0500-00000B000000}" name="Gas Average cost _x000a_ trend per day (TND)" dataDxfId="233">
      <calculatedColumnFormula>(gas_cost107[[#This Row],[Gas Cost to date  VAT included
(TND)
]] - T17)/_xlfn.DAYS(electricity_cost[[#This Row],[Date of reading 
(Elect)]], G17)</calculatedColumnFormula>
    </tableColumn>
    <tableColumn id="12" xr3:uid="{00000000-0010-0000-0500-00000C000000}" name="Total to pay to date_x000a_(TND)_x000a_- Predicted -" dataDxfId="232" dataCellStyle="Bad">
      <calculatedColumnFormula xml:space="preserve"> E$8 + ((electricity_cost3[[#This Row],[Elect. Net cost to date
(TND)]] + E$6 + gas_cost107[[#This Row],[Gas Net cost to date
(TND)]] + E$7) * (1 + E$5))</calculatedColumnFormula>
    </tableColumn>
    <tableColumn id="5" xr3:uid="{00000000-0010-0000-0500-000005000000}" name="Actual bill_x000a_Check Jan. 10th" dataDxfId="231" dataCellStyle="Bad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electricity_prices8" displayName="electricity_prices8" ref="I3:L7" totalsRowShown="0">
  <autoFilter ref="I3:L7" xr:uid="{00000000-0009-0000-0100-000007000000}"/>
  <tableColumns count="4">
    <tableColumn id="1" xr3:uid="{00000000-0010-0000-0600-000001000000}" name="Range level"/>
    <tableColumn id="2" xr3:uid="{00000000-0010-0000-0600-000002000000}" name="From (KWh)"/>
    <tableColumn id="3" xr3:uid="{00000000-0010-0000-0600-000003000000}" name="To (KWh)"/>
    <tableColumn id="4" xr3:uid="{00000000-0010-0000-0600-000004000000}" name="Unit Price_x000a_ (millimes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gas_prices129" displayName="gas_prices129" ref="P3:S7" totalsRowShown="0">
  <autoFilter ref="P3:S7" xr:uid="{00000000-0009-0000-0100-000008000000}"/>
  <tableColumns count="4">
    <tableColumn id="1" xr3:uid="{00000000-0010-0000-0700-000001000000}" name="Range level"/>
    <tableColumn id="2" xr3:uid="{00000000-0010-0000-0700-000002000000}" name="From (m3)"/>
    <tableColumn id="3" xr3:uid="{00000000-0010-0000-0700-000003000000}" name="To (m3)"/>
    <tableColumn id="4" xr3:uid="{00000000-0010-0000-0700-000004000000}" name="Unit Price_x000a_ (millimes)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electricity_cost311" displayName="electricity_cost311" ref="B17:L39" totalsRowShown="0" headerRowDxfId="230">
  <autoFilter ref="B17:L39" xr:uid="{00000000-0009-0000-0100-00000A000000}"/>
  <tableColumns count="11">
    <tableColumn id="1" xr3:uid="{00000000-0010-0000-0800-000001000000}" name="Original index _x000a_(KWh)"/>
    <tableColumn id="2" xr3:uid="{00000000-0010-0000-0800-000002000000}" name="Date of previous _x000a_reading (Elect)" dataDxfId="229"/>
    <tableColumn id="3" xr3:uid="{00000000-0010-0000-0800-000003000000}" name="Date of next _x000a_reading (Elect)"/>
    <tableColumn id="4" xr3:uid="{00000000-0010-0000-0800-000004000000}" name=" Index (KWh)"/>
    <tableColumn id="10" xr3:uid="{00000000-0010-0000-0800-00000A000000}" name="Consumption to date (KWh)" dataDxfId="228">
      <calculatedColumnFormula>electricity_cost311[[#This Row],[ Index (KWh)]]-electricity_cost311[[#This Row],[Original index 
(KWh)]]</calculatedColumnFormula>
    </tableColumn>
    <tableColumn id="5" xr3:uid="{00000000-0010-0000-0800-000005000000}" name="Date of reading _x000a_(Elect + Gas)"/>
    <tableColumn id="7" xr3:uid="{00000000-0010-0000-0800-000007000000}" name="Level (Elect)" dataDxfId="227">
      <calculatedColumnFormula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calculatedColumnFormula>
    </tableColumn>
    <tableColumn id="8" xr3:uid="{00000000-0010-0000-0800-000008000000}" name="Elect. Net cost to date_x000a_(TND)" dataDxfId="226">
      <calculatedColumnFormula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calculatedColumnFormula>
    </tableColumn>
    <tableColumn id="9" xr3:uid="{00000000-0010-0000-0800-000009000000}" name="Elect. Cost  VAT included_x000a_(TND)_x000a_" dataDxfId="225">
      <calculatedColumnFormula xml:space="preserve"> (E$6 + electricity_cost311[[#This Row],[Elect. Net cost to date
(TND)]]) * (1 + E$5)</calculatedColumnFormula>
    </tableColumn>
    <tableColumn id="11" xr3:uid="{00000000-0010-0000-0800-00000B000000}" name="Elect. Average cost (TND)_x000a_trend per day" dataDxfId="224">
      <calculatedColumnFormula>electricity_cost311[[#This Row],[Elect. Cost  VAT included
(TND)
]]-J17/(electricity_cost311[[#This Row],[Date of reading 
(Elect + Gas)]]-G17)</calculatedColumnFormula>
    </tableColumn>
    <tableColumn id="12" xr3:uid="{00000000-0010-0000-0800-00000C000000}" name="Average energy consumption (KWh) _x000a_trend per day" dataDxfId="223">
      <calculatedColumnFormula>(electricity_cost311[[#This Row],[Consumption to date (KWh)]] - F17)/_xlfn.DAYS(electricity_cost311[[#This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gas_cost10713" displayName="gas_cost10713" ref="M17:X39" totalsRowShown="0" headerRowDxfId="222" headerRowCellStyle="Bad" dataCellStyle="Bad">
  <autoFilter ref="M17:X39" xr:uid="{00000000-0009-0000-0100-00000C000000}"/>
  <tableColumns count="12">
    <tableColumn id="1" xr3:uid="{00000000-0010-0000-0900-000001000000}" name="Original index _x000a_(m3)"/>
    <tableColumn id="2" xr3:uid="{00000000-0010-0000-0900-000002000000}" name="Date of previous _x000a_reading (Gas)"/>
    <tableColumn id="3" xr3:uid="{00000000-0010-0000-0900-000003000000}" name="Date of next _x000a_reading (Gas)"/>
    <tableColumn id="4" xr3:uid="{00000000-0010-0000-0900-000004000000}" name=" Index (m3)"/>
    <tableColumn id="10" xr3:uid="{00000000-0010-0000-0900-00000A000000}" name="Consumption (m3)" dataDxfId="221">
      <calculatedColumnFormula>gas_cost10713[[#This Row],[ Index (m3)]] - gas_cost10713[[#This Row],[Original index 
(m3)]]</calculatedColumnFormula>
    </tableColumn>
    <tableColumn id="7" xr3:uid="{00000000-0010-0000-0900-000007000000}" name="Level (Gas)" dataDxfId="220">
      <calculatedColumnFormula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calculatedColumnFormula>
    </tableColumn>
    <tableColumn id="8" xr3:uid="{00000000-0010-0000-0900-000008000000}" name="Gas Net cost to date_x000a_(TND)" dataDxfId="219">
      <calculatedColumnFormula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calculatedColumnFormula>
    </tableColumn>
    <tableColumn id="9" xr3:uid="{00000000-0010-0000-0900-000009000000}" name="Gas Cost to date  VAT included_x000a_(TND)_x000a_" dataDxfId="218">
      <calculatedColumnFormula xml:space="preserve"> gas_cost10713[[#This Row],[Gas Net cost to date
(TND)]]* (1 + E$5)</calculatedColumnFormula>
    </tableColumn>
    <tableColumn id="11" xr3:uid="{00000000-0010-0000-0900-00000B000000}" name="Gas Average cost _x000a_ trend per day (TND)" dataDxfId="217">
      <calculatedColumnFormula>(gas_cost10713[[#This Row],[Gas Cost to date  VAT included
(TND)
]] - T17)/_xlfn.DAYS(electricity_cost[[#This Row],[Date of reading 
(Elect)]], G17)</calculatedColumnFormula>
    </tableColumn>
    <tableColumn id="6" xr3:uid="{00000000-0010-0000-0900-000006000000}" name="Average Gas consumption (m3) _x000a_trend per day" dataDxfId="216">
      <calculatedColumnFormula>(gas_cost10713[[#This Row],[Consumption (m3)]] - Q17)/_xlfn.DAYS(electricity_cost311[[#This Row],[Date of reading 
(Elect + Gas)]], G17)</calculatedColumnFormula>
    </tableColumn>
    <tableColumn id="12" xr3:uid="{00000000-0010-0000-0900-00000C000000}" name="Total to pay to date_x000a_(TND)_x000a_- Predicted -" dataDxfId="215" dataCellStyle="Bad">
      <calculatedColumnFormula xml:space="preserve"> E$8 + ((electricity_cost311[[#This Row],[Elect. Net cost to date
(TND)]] + E$6 + gas_cost10713[[#This Row],[Gas Net cost to date
(TND)]] + E$7) * (1 + E$5))</calculatedColumnFormula>
    </tableColumn>
    <tableColumn id="5" xr3:uid="{00000000-0010-0000-0900-000005000000}" name="Actual bill_x000a_Check May. 3rd" dataDxfId="214" dataCellStyle="Bad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electricity_prices814" displayName="electricity_prices814" ref="I3:L7" totalsRowShown="0">
  <autoFilter ref="I3:L7" xr:uid="{00000000-0009-0000-0100-00000D000000}"/>
  <tableColumns count="4">
    <tableColumn id="1" xr3:uid="{00000000-0010-0000-0A00-000001000000}" name="Range level"/>
    <tableColumn id="2" xr3:uid="{00000000-0010-0000-0A00-000002000000}" name="From (KWh)"/>
    <tableColumn id="3" xr3:uid="{00000000-0010-0000-0A00-000003000000}" name="To (KWh)"/>
    <tableColumn id="4" xr3:uid="{00000000-0010-0000-0A00-000004000000}" name="Unit Price_x000a_ (millimes)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gas_prices12915" displayName="gas_prices12915" ref="P3:S7" totalsRowShown="0">
  <autoFilter ref="P3:S7" xr:uid="{00000000-0009-0000-0100-00000E000000}"/>
  <tableColumns count="4">
    <tableColumn id="1" xr3:uid="{00000000-0010-0000-0B00-000001000000}" name="Range level"/>
    <tableColumn id="2" xr3:uid="{00000000-0010-0000-0B00-000002000000}" name="From (m3)"/>
    <tableColumn id="3" xr3:uid="{00000000-0010-0000-0B00-000003000000}" name="To (m3)"/>
    <tableColumn id="4" xr3:uid="{00000000-0010-0000-0B00-000004000000}" name="Unit Price_x000a_ (millimes)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C000000}" name="electricity_cost3114" displayName="electricity_cost3114" ref="B17:L32" totalsRowShown="0" headerRowDxfId="213">
  <autoFilter ref="B17:L32" xr:uid="{00000000-0009-0000-0100-000003000000}"/>
  <tableColumns count="11">
    <tableColumn id="1" xr3:uid="{00000000-0010-0000-0C00-000001000000}" name="Original index _x000a_(KWh)"/>
    <tableColumn id="2" xr3:uid="{00000000-0010-0000-0C00-000002000000}" name="Date of previous _x000a_reading (Elect)" dataDxfId="212"/>
    <tableColumn id="3" xr3:uid="{00000000-0010-0000-0C00-000003000000}" name="Date of next _x000a_reading (Elect)"/>
    <tableColumn id="4" xr3:uid="{00000000-0010-0000-0C00-000004000000}" name=" Index (KWh)"/>
    <tableColumn id="10" xr3:uid="{00000000-0010-0000-0C00-00000A000000}" name="Consumption to date (KWh)" dataDxfId="211">
      <calculatedColumnFormula>electricity_cost3114[[#This Row],[ Index (KWh)]]-electricity_cost3114[[#This Row],[Original index 
(KWh)]]</calculatedColumnFormula>
    </tableColumn>
    <tableColumn id="5" xr3:uid="{00000000-0010-0000-0C00-000005000000}" name="Date of reading _x000a_(Elect + Gas)"/>
    <tableColumn id="7" xr3:uid="{00000000-0010-0000-0C00-000007000000}" name="Level (Elect)" dataDxfId="210">
      <calculatedColumnFormula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calculatedColumnFormula>
    </tableColumn>
    <tableColumn id="8" xr3:uid="{00000000-0010-0000-0C00-000008000000}" name="Elect. Net cost to date_x000a_(TND)" dataDxfId="209">
      <calculatedColumnFormula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calculatedColumnFormula>
    </tableColumn>
    <tableColumn id="9" xr3:uid="{00000000-0010-0000-0C00-000009000000}" name="Elect. Cost  VAT included_x000a_(TND)_x000a_" dataDxfId="208">
      <calculatedColumnFormula xml:space="preserve"> (E$6 + electricity_cost3114[[#This Row],[Elect. Net cost to date
(TND)]]) * (1 + E$5)</calculatedColumnFormula>
    </tableColumn>
    <tableColumn id="11" xr3:uid="{00000000-0010-0000-0C00-00000B000000}" name="Elect. Average cost (TND)_x000a_trend per day" dataDxfId="207">
      <calculatedColumnFormula>electricity_cost3114[[#This Row],[Elect. Cost  VAT included
(TND)
]]-J17/(electricity_cost3114[[#This Row],[Date of reading 
(Elect + Gas)]]-G17)</calculatedColumnFormula>
    </tableColumn>
    <tableColumn id="12" xr3:uid="{00000000-0010-0000-0C00-00000C000000}" name="Average energy consumption (KWh) _x000a_trend per day" dataDxfId="206">
      <calculatedColumnFormula>(electricity_cost3114[[#This Row],[Consumption to date (KWh)]] - F17)/_xlfn.DAYS(electricity_cost3114[[#This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gas_cost107135" displayName="gas_cost107135" ref="M17:X32" totalsRowShown="0" headerRowDxfId="205" headerRowCellStyle="Bad" dataCellStyle="Bad">
  <autoFilter ref="M17:X32" xr:uid="{00000000-0009-0000-0100-000004000000}"/>
  <tableColumns count="12">
    <tableColumn id="1" xr3:uid="{00000000-0010-0000-0D00-000001000000}" name="Original index _x000a_(m3)"/>
    <tableColumn id="2" xr3:uid="{00000000-0010-0000-0D00-000002000000}" name="Date of previous _x000a_reading (Gas)"/>
    <tableColumn id="3" xr3:uid="{00000000-0010-0000-0D00-000003000000}" name="Date of next _x000a_reading (Gas)"/>
    <tableColumn id="4" xr3:uid="{00000000-0010-0000-0D00-000004000000}" name=" Index (m3)"/>
    <tableColumn id="10" xr3:uid="{00000000-0010-0000-0D00-00000A000000}" name="Consumption (m3)" dataDxfId="204">
      <calculatedColumnFormula>gas_cost107135[[#This Row],[ Index (m3)]] - gas_cost107135[[#This Row],[Original index 
(m3)]]</calculatedColumnFormula>
    </tableColumn>
    <tableColumn id="7" xr3:uid="{00000000-0010-0000-0D00-000007000000}" name="Level (Gas)" dataDxfId="203">
      <calculatedColumnFormula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calculatedColumnFormula>
    </tableColumn>
    <tableColumn id="8" xr3:uid="{00000000-0010-0000-0D00-000008000000}" name="Gas Net cost to date_x000a_(TND)" dataDxfId="202">
      <calculatedColumnFormula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calculatedColumnFormula>
    </tableColumn>
    <tableColumn id="9" xr3:uid="{00000000-0010-0000-0D00-000009000000}" name="Gas Cost to date  VAT included_x000a_(TND)_x000a_" dataDxfId="201">
      <calculatedColumnFormula xml:space="preserve"> gas_cost107135[[#This Row],[Gas Net cost to date
(TND)]]* (1 + E$5)</calculatedColumnFormula>
    </tableColumn>
    <tableColumn id="11" xr3:uid="{00000000-0010-0000-0D00-00000B000000}" name="Gas Average cost _x000a_ trend per day (TND)" dataDxfId="200">
      <calculatedColumnFormula>(gas_cost107135[[#This Row],[Gas Cost to date  VAT included
(TND)
]] - T17)/_xlfn.DAYS(electricity_cost[[#This Row],[Date of reading 
(Elect)]], G17)</calculatedColumnFormula>
    </tableColumn>
    <tableColumn id="6" xr3:uid="{00000000-0010-0000-0D00-000006000000}" name="Average Gas consumption (m3) _x000a_trend per day" dataDxfId="199">
      <calculatedColumnFormula>(gas_cost107135[[#This Row],[Consumption (m3)]] - Q17)/_xlfn.DAYS(electricity_cost311[[#This Row],[Date of reading 
(Elect + Gas)]], G17)</calculatedColumnFormula>
    </tableColumn>
    <tableColumn id="12" xr3:uid="{00000000-0010-0000-0D00-00000C000000}" name="Total to pay to date_x000a_(TND)_x000a_- Predicted -" dataDxfId="198" dataCellStyle="Bad">
      <calculatedColumnFormula xml:space="preserve"> E$8 + ((electricity_cost3114[[#This Row],[Elect. Net cost to date
(TND)]] + E$6 + gas_cost107135[[#This Row],[Gas Net cost to date
(TND)]] + E$7) * (1 + E$5))</calculatedColumnFormula>
    </tableColumn>
    <tableColumn id="5" xr3:uid="{00000000-0010-0000-0D00-000005000000}" name="Actual bill_x000a_Check Sep. 3rd" dataDxfId="197" dataCellStyle="Bad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electricity_prices81416" displayName="electricity_prices81416" ref="I3:L7" totalsRowShown="0">
  <autoFilter ref="I3:L7" xr:uid="{00000000-0009-0000-0100-00000F000000}"/>
  <tableColumns count="4">
    <tableColumn id="1" xr3:uid="{00000000-0010-0000-0E00-000001000000}" name="Range level"/>
    <tableColumn id="2" xr3:uid="{00000000-0010-0000-0E00-000002000000}" name="From (KWh)"/>
    <tableColumn id="3" xr3:uid="{00000000-0010-0000-0E00-000003000000}" name="To (KWh)"/>
    <tableColumn id="4" xr3:uid="{00000000-0010-0000-0E00-000004000000}" name="Unit Price_x000a_ (millimes)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gas_prices1291517" displayName="gas_prices1291517" ref="P3:S7" totalsRowShown="0">
  <autoFilter ref="P3:S7" xr:uid="{00000000-0009-0000-0100-000010000000}"/>
  <tableColumns count="4">
    <tableColumn id="1" xr3:uid="{00000000-0010-0000-0F00-000001000000}" name="Range level"/>
    <tableColumn id="2" xr3:uid="{00000000-0010-0000-0F00-000002000000}" name="From (m3)"/>
    <tableColumn id="3" xr3:uid="{00000000-0010-0000-0F00-000003000000}" name="To (m3)"/>
    <tableColumn id="4" xr3:uid="{00000000-0010-0000-0F00-000004000000}" name="Unit Price_x000a_ (millimes)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electricity_cost311418" displayName="electricity_cost311418" ref="B17:L36" totalsRowShown="0" headerRowDxfId="196">
  <autoFilter ref="B17:L36" xr:uid="{00000000-0009-0000-0100-000011000000}"/>
  <tableColumns count="11">
    <tableColumn id="1" xr3:uid="{00000000-0010-0000-1000-000001000000}" name="Original index _x000a_(KWh)"/>
    <tableColumn id="2" xr3:uid="{00000000-0010-0000-1000-000002000000}" name="Date of previous _x000a_reading (Elect)" dataDxfId="195"/>
    <tableColumn id="3" xr3:uid="{00000000-0010-0000-1000-000003000000}" name="Date of next _x000a_reading (Elect)"/>
    <tableColumn id="4" xr3:uid="{00000000-0010-0000-1000-000004000000}" name=" Index (KWh)"/>
    <tableColumn id="10" xr3:uid="{00000000-0010-0000-1000-00000A000000}" name="Consumption to date (KWh)" dataDxfId="194">
      <calculatedColumnFormula>electricity_cost311418[[#This Row],[ Index (KWh)]]-electricity_cost311418[[#This Row],[Original index 
(KWh)]]</calculatedColumnFormula>
    </tableColumn>
    <tableColumn id="5" xr3:uid="{00000000-0010-0000-1000-000005000000}" name="Date of reading _x000a_(Elect + Gas)"/>
    <tableColumn id="7" xr3:uid="{00000000-0010-0000-1000-000007000000}" name="Level (Elect)" dataDxfId="193">
      <calculatedColumnFormula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calculatedColumnFormula>
    </tableColumn>
    <tableColumn id="8" xr3:uid="{00000000-0010-0000-1000-000008000000}" name="Elect. Net cost to date_x000a_(TND)" dataDxfId="192">
      <calculatedColumnFormula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calculatedColumnFormula>
    </tableColumn>
    <tableColumn id="9" xr3:uid="{00000000-0010-0000-1000-000009000000}" name="Elect. Cost  VAT included_x000a_(TND)_x000a_" dataDxfId="191">
      <calculatedColumnFormula xml:space="preserve"> (E$6 + electricity_cost311418[[#This Row],[Elect. Net cost to date
(TND)]]) * (1 + E$5)</calculatedColumnFormula>
    </tableColumn>
    <tableColumn id="11" xr3:uid="{00000000-0010-0000-1000-00000B000000}" name="Elect. Average cost (TND)_x000a_trend per day" dataDxfId="190">
      <calculatedColumnFormula>electricity_cost311418[[#This Row],[Elect. Cost  VAT included
(TND)
]]-J17/(electricity_cost311418[[#This Row],[Date of reading 
(Elect + Gas)]]-G17)</calculatedColumnFormula>
    </tableColumn>
    <tableColumn id="12" xr3:uid="{00000000-0010-0000-1000-00000C000000}" name="Average energy consumption (KWh) _x000a_trend per day" dataDxfId="189">
      <calculatedColumnFormula>(electricity_cost311418[[#This Row],[Consumption to date (KWh)]] - F17)/_xlfn.DAYS(electricity_cost311418[[#This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gas_cost10713519" displayName="gas_cost10713519" ref="M17:X36" totalsRowShown="0" headerRowDxfId="188" headerRowCellStyle="Bad" dataCellStyle="Bad">
  <autoFilter ref="M17:X36" xr:uid="{00000000-0009-0000-0100-000012000000}"/>
  <tableColumns count="12">
    <tableColumn id="1" xr3:uid="{00000000-0010-0000-1100-000001000000}" name="Original index _x000a_(m3)"/>
    <tableColumn id="2" xr3:uid="{00000000-0010-0000-1100-000002000000}" name="Date of previous _x000a_reading (Gas)"/>
    <tableColumn id="3" xr3:uid="{00000000-0010-0000-1100-000003000000}" name="Date of next _x000a_reading (Gas)"/>
    <tableColumn id="4" xr3:uid="{00000000-0010-0000-1100-000004000000}" name=" Index (m3)"/>
    <tableColumn id="10" xr3:uid="{00000000-0010-0000-1100-00000A000000}" name="Consumption (m3)" dataDxfId="187">
      <calculatedColumnFormula>gas_cost10713519[[#This Row],[ Index (m3)]] - gas_cost10713519[[#This Row],[Original index 
(m3)]]</calculatedColumnFormula>
    </tableColumn>
    <tableColumn id="7" xr3:uid="{00000000-0010-0000-1100-000007000000}" name="Level (Gas)" dataDxfId="186">
      <calculatedColumnFormula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calculatedColumnFormula>
    </tableColumn>
    <tableColumn id="8" xr3:uid="{00000000-0010-0000-1100-000008000000}" name="Gas Net cost to date_x000a_(TND)" dataDxfId="185">
      <calculatedColumnFormula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calculatedColumnFormula>
    </tableColumn>
    <tableColumn id="9" xr3:uid="{00000000-0010-0000-1100-000009000000}" name="Gas Cost to date  VAT included_x000a_(TND)_x000a_" dataDxfId="184">
      <calculatedColumnFormula xml:space="preserve"> gas_cost10713519[[#This Row],[Gas Net cost to date
(TND)]]* (1 + E$5)</calculatedColumnFormula>
    </tableColumn>
    <tableColumn id="11" xr3:uid="{00000000-0010-0000-1100-00000B000000}" name="Gas Average cost _x000a_ trend per day (TND)" dataDxfId="183">
      <calculatedColumnFormula>(gas_cost10713519[[#This Row],[Gas Cost to date  VAT included
(TND)
]] - T17)/_xlfn.DAYS(electricity_cost[[#This Row],[Date of reading 
(Elect)]], G17)</calculatedColumnFormula>
    </tableColumn>
    <tableColumn id="6" xr3:uid="{00000000-0010-0000-1100-000006000000}" name="Average Gas consumption (m3) _x000a_trend per day" dataDxfId="182">
      <calculatedColumnFormula>(gas_cost10713519[[#This Row],[Consumption (m3)]] - Q17)/_xlfn.DAYS(electricity_cost311[[#This Row],[Date of reading 
(Elect + Gas)]], G17)</calculatedColumnFormula>
    </tableColumn>
    <tableColumn id="12" xr3:uid="{00000000-0010-0000-1100-00000C000000}" name="Total to pay to date_x000a_(TND)_x000a_- Predicted -" dataDxfId="181" dataCellStyle="Bad">
      <calculatedColumnFormula xml:space="preserve"> E$8 + ((electricity_cost311418[[#This Row],[Elect. Net cost to date
(TND)]] + E$6 + gas_cost10713519[[#This Row],[Gas Net cost to date
(TND)]] + E$7) * (1 + E$5))</calculatedColumnFormula>
    </tableColumn>
    <tableColumn id="5" xr3:uid="{00000000-0010-0000-1100-000005000000}" name="Actual bill_x000a_Check Jan. 11th" dataDxfId="180" dataCellStyle="Bad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electricity_prices8141620" displayName="electricity_prices8141620" ref="I3:L7" totalsRowShown="0">
  <autoFilter ref="I3:L7" xr:uid="{00000000-0009-0000-0100-000013000000}"/>
  <tableColumns count="4">
    <tableColumn id="1" xr3:uid="{00000000-0010-0000-1200-000001000000}" name="Range level"/>
    <tableColumn id="2" xr3:uid="{00000000-0010-0000-1200-000002000000}" name="From (KWh)"/>
    <tableColumn id="3" xr3:uid="{00000000-0010-0000-1200-000003000000}" name="To (KWh)"/>
    <tableColumn id="4" xr3:uid="{00000000-0010-0000-1200-000004000000}" name="Unit Price_x000a_ (millimes)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gas_prices129151721" displayName="gas_prices129151721" ref="P3:S7" totalsRowShown="0">
  <autoFilter ref="P3:S7" xr:uid="{00000000-0009-0000-0100-000014000000}"/>
  <tableColumns count="4">
    <tableColumn id="1" xr3:uid="{00000000-0010-0000-1300-000001000000}" name="Range level"/>
    <tableColumn id="2" xr3:uid="{00000000-0010-0000-1300-000002000000}" name="From (m3)"/>
    <tableColumn id="3" xr3:uid="{00000000-0010-0000-1300-000003000000}" name="To (m3)"/>
    <tableColumn id="4" xr3:uid="{00000000-0010-0000-1300-000004000000}" name="Unit Price_x000a_ (millimes)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D34F5ED-066A-482D-A089-85938AF4798A}" name="electricity_cost31141822" displayName="electricity_cost31141822" ref="B17:L38" totalsRowShown="0" headerRowDxfId="179">
  <autoFilter ref="B17:L38" xr:uid="{00000000-0009-0000-0100-000011000000}"/>
  <tableColumns count="11">
    <tableColumn id="1" xr3:uid="{45151570-AEE1-4472-9E69-A9CEB25D4574}" name="Original index _x000a_(KWh)"/>
    <tableColumn id="2" xr3:uid="{E0242EB6-9ACD-4984-9B43-1242D81C83E3}" name="Date of previous _x000a_reading (Elect)" dataDxfId="178"/>
    <tableColumn id="3" xr3:uid="{9FC3B94B-4127-4608-B731-4F7E7AA5F4FC}" name="Date of next _x000a_reading (Elect)"/>
    <tableColumn id="4" xr3:uid="{042B098A-F39E-4951-8CE0-2267CCB75D57}" name=" Index (KWh)"/>
    <tableColumn id="10" xr3:uid="{2CB79968-D88D-40DA-8A27-A60601C683C4}" name="Consumption to date (KWh)" dataDxfId="177">
      <calculatedColumnFormula>electricity_cost31141822[[#This Row],[ Index (KWh)]]-electricity_cost31141822[[#This Row],[Original index 
(KWh)]]</calculatedColumnFormula>
    </tableColumn>
    <tableColumn id="5" xr3:uid="{3A00C61C-4A9E-48AE-8419-799AC4E18FF9}" name="Date of reading _x000a_(Elect + Gas)"/>
    <tableColumn id="7" xr3:uid="{9738E779-9B28-4D96-AF1B-EF681362F27A}" name="Level (Elect)" dataDxfId="176">
      <calculatedColumnFormula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calculatedColumnFormula>
    </tableColumn>
    <tableColumn id="8" xr3:uid="{92C1BC59-B38A-4BF1-8A75-384FDF5F1F44}" name="Elect. Net cost to date_x000a_(TND)" dataDxfId="175">
      <calculatedColumnFormula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calculatedColumnFormula>
    </tableColumn>
    <tableColumn id="9" xr3:uid="{516AB6FA-4B90-43D0-BF5E-F35576121B24}" name="Elect. Cost  VAT included_x000a_(TND)_x000a_" dataDxfId="174">
      <calculatedColumnFormula xml:space="preserve"> (E$6 + electricity_cost31141822[[#This Row],[Elect. Net cost to date
(TND)]]) * (1 + E$5)</calculatedColumnFormula>
    </tableColumn>
    <tableColumn id="11" xr3:uid="{43CEFC4A-8652-4680-81ED-1219F3D4720B}" name="Elect. Average cost (TND)_x000a_trend per day" dataDxfId="173">
      <calculatedColumnFormula>electricity_cost31141822[[#This Row],[Elect. Cost  VAT included
(TND)
]]-J17/(electricity_cost31141822[[#This Row],[Date of reading 
(Elect + Gas)]]-G17)</calculatedColumnFormula>
    </tableColumn>
    <tableColumn id="12" xr3:uid="{14CF3086-CBDC-4EFE-BAF1-9522B93DF6F4}" name="Average energy consumption (KWh) _x000a_trend per day" dataDxfId="172">
      <calculatedColumnFormula>(electricity_cost31141822[[#This Row],[Consumption to date (KWh)]] - F17)/_xlfn.DAYS(electricity_cost31141822[[#This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0CEB75A-C695-47DB-9342-04247167EBC5}" name="gas_cost1071351923" displayName="gas_cost1071351923" ref="M17:X38" totalsRowShown="0" headerRowDxfId="171" headerRowCellStyle="Bad" dataCellStyle="Bad">
  <autoFilter ref="M17:X38" xr:uid="{00000000-0009-0000-0100-000012000000}"/>
  <tableColumns count="12">
    <tableColumn id="1" xr3:uid="{89947BDE-4ADA-44F9-84D5-134CB3C933B7}" name="Original index _x000a_(m3)"/>
    <tableColumn id="2" xr3:uid="{759E73CE-5C74-4BBC-AE74-8E67374BB39A}" name="Date of previous _x000a_reading (Gas)"/>
    <tableColumn id="3" xr3:uid="{E48B342F-E26A-4244-BF99-3FF26869428A}" name="Date of next _x000a_reading (Gas)"/>
    <tableColumn id="4" xr3:uid="{5F27C3F5-7DB2-47C3-BA1D-A88B17924369}" name=" Index (m3)"/>
    <tableColumn id="10" xr3:uid="{A168917E-5904-445E-99C4-E36CFD7F4835}" name="Consumption (m3)" dataDxfId="170">
      <calculatedColumnFormula>gas_cost1071351923[[#This Row],[ Index (m3)]] - gas_cost1071351923[[#This Row],[Original index 
(m3)]]</calculatedColumnFormula>
    </tableColumn>
    <tableColumn id="7" xr3:uid="{4001D7A2-E3E6-4F3B-8EE7-B48224880BC3}" name="Level (Gas)" dataDxfId="169">
      <calculatedColumnFormula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calculatedColumnFormula>
    </tableColumn>
    <tableColumn id="8" xr3:uid="{7CE3FD3D-094F-4BDC-AA01-770C4BE7DE0B}" name="Gas Net cost to date_x000a_(TND)" dataDxfId="168">
      <calculatedColumnFormula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calculatedColumnFormula>
    </tableColumn>
    <tableColumn id="9" xr3:uid="{0170A6C8-E6C3-4C0E-B92A-710642E25815}" name="Gas Cost to date  VAT included_x000a_(TND)_x000a_" dataDxfId="167">
      <calculatedColumnFormula xml:space="preserve"> gas_cost1071351923[[#This Row],[Gas Net cost to date
(TND)]]* (1 + E$5)</calculatedColumnFormula>
    </tableColumn>
    <tableColumn id="11" xr3:uid="{93A06AC7-60AC-45FE-BDC2-FFDC8C04C645}" name="Gas Average cost _x000a_ trend per day (TND)" dataDxfId="166">
      <calculatedColumnFormula>(gas_cost1071351923[[#This Row],[Gas Cost to date  VAT included
(TND)
]] - T17)/_xlfn.DAYS(electricity_cost[[#This Row],[Date of reading 
(Elect)]], G17)</calculatedColumnFormula>
    </tableColumn>
    <tableColumn id="6" xr3:uid="{6568F1FC-6F03-49DF-8903-3EC9EACAB641}" name="Average Gas consumption (m3) _x000a_trend per day" dataDxfId="165">
      <calculatedColumnFormula>(gas_cost1071351923[[#This Row],[Consumption (m3)]] - Q17)/_xlfn.DAYS(electricity_cost311[[#This Row],[Date of reading 
(Elect + Gas)]], G17)</calculatedColumnFormula>
    </tableColumn>
    <tableColumn id="12" xr3:uid="{664F2663-3965-4C30-B6D1-BA34CE1F9341}" name="Total to pay to date_x000a_(TND)_x000a_- Predicted -" dataDxfId="164" dataCellStyle="Bad">
      <calculatedColumnFormula xml:space="preserve"> E$8 + ((electricity_cost31141822[[#This Row],[Elect. Net cost to date
(TND)]] + E$6 + gas_cost1071351923[[#This Row],[Gas Net cost to date
(TND)]] + E$7) * (1 + E$5))</calculatedColumnFormula>
    </tableColumn>
    <tableColumn id="5" xr3:uid="{760A8E0B-77AF-4270-B432-37D28C2AEECE}" name="Actual bill_x000a_Check Sep. 3rd" dataDxfId="163" dataCellStyle="Bad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EA6CB24-3AFE-4D7E-94B3-86243E6567C7}" name="electricity_prices814162024" displayName="electricity_prices814162024" ref="I3:L7" totalsRowShown="0">
  <autoFilter ref="I3:L7" xr:uid="{00000000-0009-0000-0100-000013000000}"/>
  <tableColumns count="4">
    <tableColumn id="1" xr3:uid="{6F0B6109-21C9-480D-94BB-3ED9EE718C22}" name="Range level"/>
    <tableColumn id="2" xr3:uid="{250062ED-5DEB-4982-A5CA-CBA787FEB482}" name="From (KWh)"/>
    <tableColumn id="3" xr3:uid="{2865E4C2-2162-4666-BB15-B4BFFFE5AA5B}" name="To (KWh)"/>
    <tableColumn id="4" xr3:uid="{A8E5AA89-3725-4A00-9332-F16F33C7D4FC}" name="Unit Price_x000a_ (millimes)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C0A82FB-A0FA-4119-9878-6D23F1F1AC0E}" name="gas_prices12915172125" displayName="gas_prices12915172125" ref="P3:S7" totalsRowShown="0">
  <autoFilter ref="P3:S7" xr:uid="{00000000-0009-0000-0100-000014000000}"/>
  <tableColumns count="4">
    <tableColumn id="1" xr3:uid="{448C3E84-C524-4269-9D4B-CE2455401356}" name="Range level"/>
    <tableColumn id="2" xr3:uid="{CAB7AD50-4B7F-4F3D-93D6-39B656C0E18F}" name="From (m3)"/>
    <tableColumn id="3" xr3:uid="{624A9B59-4ADB-4F6D-8FE2-A3EAEC7A5ABB}" name="To (m3)"/>
    <tableColumn id="4" xr3:uid="{1CF92BF2-E5E0-46BE-B7D6-CC71CB4207F6}" name="Unit Price_x000a_ (millimes)"/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E6E197B-16E2-4E55-9A94-B2A4B30DD911}" name="electricity_cost3114182226" displayName="electricity_cost3114182226" ref="B17:L35" totalsRowShown="0" headerRowDxfId="162">
  <autoFilter ref="B17:L35" xr:uid="{00000000-0009-0000-0100-000011000000}"/>
  <tableColumns count="11">
    <tableColumn id="1" xr3:uid="{D6457B23-F2AC-407B-803B-F5FDCD3A2EA9}" name="Original index _x000a_(KWh)"/>
    <tableColumn id="2" xr3:uid="{E1EBBDD8-C881-4CAC-9F7F-FA6FA254801E}" name="Date of previous _x000a_reading (Elect)" dataDxfId="161"/>
    <tableColumn id="3" xr3:uid="{9DFFDF5F-A98D-42A6-AE1A-5173A1AB62D4}" name="Date of next _x000a_reading (Elect)"/>
    <tableColumn id="4" xr3:uid="{EE907041-60D9-4028-AC20-D83ED760436C}" name=" Index (KWh)"/>
    <tableColumn id="10" xr3:uid="{45D4D1DB-5CDF-4F28-97EE-CF6D652D4EF3}" name="Consumption to date (KWh)" dataDxfId="160">
      <calculatedColumnFormula>electricity_cost3114182226[[#This Row],[ Index (KWh)]]-electricity_cost3114182226[[#This Row],[Original index 
(KWh)]]</calculatedColumnFormula>
    </tableColumn>
    <tableColumn id="5" xr3:uid="{63F8985E-6882-493E-87EF-FD8B3CDBB82B}" name="Date of reading _x000a_(Elect + Gas)"/>
    <tableColumn id="7" xr3:uid="{4A81DB26-0225-4408-92F0-07EBBDB1EE45}" name="Level (Elect)" dataDxfId="159">
      <calculatedColumnFormula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calculatedColumnFormula>
    </tableColumn>
    <tableColumn id="8" xr3:uid="{FC83FAE5-3C75-4FBF-8866-96B4C42CD07E}" name="Elect. Net cost to date_x000a_(TND)" dataDxfId="158">
      <calculatedColumnFormula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calculatedColumnFormula>
    </tableColumn>
    <tableColumn id="9" xr3:uid="{F562DC2A-03A7-47C6-8393-0452CCCE0AEB}" name="Elect. Cost  VAT included_x000a_(TND)_x000a_" dataDxfId="157">
      <calculatedColumnFormula xml:space="preserve"> (E$6 + electricity_cost3114182226[[#This Row],[Elect. Net cost to date
(TND)]]) * (1 + E$5)</calculatedColumnFormula>
    </tableColumn>
    <tableColumn id="11" xr3:uid="{12E63670-220C-40BE-85B6-A861639622F5}" name="Elect. Average cost (TND)_x000a_trend per day" dataDxfId="156">
      <calculatedColumnFormula>electricity_cost3114182226[[#This Row],[Elect. Cost  VAT included
(TND)
]]-J17/(electricity_cost3114182226[[#This Row],[Date of reading 
(Elect + Gas)]]-G17)</calculatedColumnFormula>
    </tableColumn>
    <tableColumn id="12" xr3:uid="{90DF8AC6-0B8F-4B1C-9FD1-5BE869B9FA88}" name="Average energy consumption (KWh) _x000a_trend per day" dataDxfId="155">
      <calculatedColumnFormula>(electricity_cost3114182226[[#This Row],[Consumption to date (KWh)]] - F17)/_xlfn.DAYS(electricity_cost3114182226[[#This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842C236-359C-4C07-9441-6C6181E9C646}" name="gas_cost107135192327" displayName="gas_cost107135192327" ref="M17:X35" totalsRowShown="0" headerRowDxfId="154" headerRowCellStyle="Bad" dataCellStyle="Bad">
  <autoFilter ref="M17:X35" xr:uid="{00000000-0009-0000-0100-000012000000}"/>
  <tableColumns count="12">
    <tableColumn id="1" xr3:uid="{638FFECA-7326-4FFA-BBB5-807BE7CB4F2E}" name="Original index _x000a_(m3)"/>
    <tableColumn id="2" xr3:uid="{9F9C6DEC-107F-4749-8934-8957356B0E91}" name="Date of previous _x000a_reading (Gas)"/>
    <tableColumn id="3" xr3:uid="{2E0AD1FC-D0F9-40EB-8C91-E1213D1F04E3}" name="Date of next _x000a_reading (Gas)"/>
    <tableColumn id="4" xr3:uid="{6DE744CB-84CF-4557-9DE7-FAF6593E7F35}" name=" Index (m3)"/>
    <tableColumn id="10" xr3:uid="{F01595C1-7F56-42CD-A21A-E2303764ED4B}" name="Consumption (m3)" dataDxfId="153">
      <calculatedColumnFormula>gas_cost107135192327[[#This Row],[ Index (m3)]] - gas_cost107135192327[[#This Row],[Original index 
(m3)]]</calculatedColumnFormula>
    </tableColumn>
    <tableColumn id="7" xr3:uid="{7E21334E-50A9-457C-9C1C-22E233C6A584}" name="Level (Gas)" dataDxfId="152">
      <calculatedColumnFormula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calculatedColumnFormula>
    </tableColumn>
    <tableColumn id="8" xr3:uid="{DCA715E8-B5EB-4925-8DA9-17FCDC44B885}" name="Gas Net cost to date_x000a_(TND)" dataDxfId="151">
      <calculatedColumnFormula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calculatedColumnFormula>
    </tableColumn>
    <tableColumn id="9" xr3:uid="{18DACDC7-E2B8-48E4-BC57-1295CE3C4924}" name="Gas Cost to date  VAT included_x000a_(TND)_x000a_" dataDxfId="150">
      <calculatedColumnFormula xml:space="preserve"> gas_cost107135192327[[#This Row],[Gas Net cost to date
(TND)]]* (1 + E$5)</calculatedColumnFormula>
    </tableColumn>
    <tableColumn id="11" xr3:uid="{957BCD05-5B98-424D-8FBD-8F5B581E6072}" name="Gas Average cost _x000a_ trend per day (TND)" dataDxfId="149">
      <calculatedColumnFormula>(gas_cost107135192327[[#This Row],[Gas Cost to date  VAT included
(TND)
]] - T17)/_xlfn.DAYS(electricity_cost[[#This Row],[Date of reading 
(Elect)]], G17)</calculatedColumnFormula>
    </tableColumn>
    <tableColumn id="6" xr3:uid="{C66E4A4E-6E13-46B7-BE57-8A95FEAC54EE}" name="Average Gas consumption (m3) _x000a_trend per day" dataDxfId="148">
      <calculatedColumnFormula>(gas_cost107135192327[[#This Row],[Consumption (m3)]] - Q17)/_xlfn.DAYS(electricity_cost311[[#This Row],[Date of reading 
(Elect + Gas)]], G17)</calculatedColumnFormula>
    </tableColumn>
    <tableColumn id="12" xr3:uid="{933BDF20-EA5A-4B05-B85E-7590230A472B}" name="Total to pay to date_x000a_(TND)_x000a_- Predicted -" dataDxfId="147" dataCellStyle="Bad">
      <calculatedColumnFormula xml:space="preserve"> E$8 + ((electricity_cost3114182226[[#This Row],[Elect. Net cost to date
(TND)]] + E$6 + gas_cost107135192327[[#This Row],[Gas Net cost to date
(TND)]] + E$7) * (1 + E$5))</calculatedColumnFormula>
    </tableColumn>
    <tableColumn id="5" xr3:uid="{BF3DD18A-2955-4253-BBEA-59F1D1A07871}" name="Actual bill_x000a_Check Sep. 12th" dataDxfId="146" dataCellStyle="Bad"/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97DFF1D-24C6-4055-B428-396EE268AA93}" name="electricity_prices81416202428" displayName="electricity_prices81416202428" ref="I3:L7" totalsRowShown="0">
  <autoFilter ref="I3:L7" xr:uid="{00000000-0009-0000-0100-000013000000}"/>
  <tableColumns count="4">
    <tableColumn id="1" xr3:uid="{E07A0859-DBA0-4C5F-9C49-6A3E86539F09}" name="Range level"/>
    <tableColumn id="2" xr3:uid="{E663B2C3-ABF0-4390-8973-03EC2BA23DCF}" name="From (KWh)"/>
    <tableColumn id="3" xr3:uid="{F18C8131-BD8B-4139-B566-DC48A000FF70}" name="To (KWh)"/>
    <tableColumn id="4" xr3:uid="{8905BE1E-0749-40D8-B428-1315FF2CDB87}" name="Unit Price_x000a_ (millimes)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36825E7-4355-46B7-8A91-CAA2714FFBDF}" name="gas_prices1291517212529" displayName="gas_prices1291517212529" ref="P3:S7" totalsRowShown="0">
  <autoFilter ref="P3:S7" xr:uid="{00000000-0009-0000-0100-000014000000}"/>
  <tableColumns count="4">
    <tableColumn id="1" xr3:uid="{8F8AA674-6205-4B4E-BD61-CEA852497B72}" name="Range level"/>
    <tableColumn id="2" xr3:uid="{AF76D353-1841-4BBE-98DD-7FE04C10807E}" name="From (m3)"/>
    <tableColumn id="3" xr3:uid="{340CF417-EF20-48D9-9229-00CA546E1ABB}" name="To (m3)"/>
    <tableColumn id="4" xr3:uid="{BBE3239F-5E0E-439D-97C7-9DB3972F93E3}" name="Unit Price_x000a_ (millimes)"/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7C2D826-ED33-4974-A5B5-BFBB3A68D1CA}" name="electricity_cost311418222630" displayName="electricity_cost311418222630" ref="B17:L38" totalsRowShown="0" headerRowDxfId="145">
  <autoFilter ref="B17:L38" xr:uid="{00000000-0009-0000-0100-000011000000}"/>
  <tableColumns count="11">
    <tableColumn id="1" xr3:uid="{C43CD048-ABF9-4072-8ECF-06A84A454610}" name="Original index _x000a_(KWh)"/>
    <tableColumn id="2" xr3:uid="{91531868-2C02-4576-AC40-34184AF297FF}" name="Date of previous _x000a_reading (Elect)" dataDxfId="144"/>
    <tableColumn id="3" xr3:uid="{978C501E-2247-43D9-97CB-A8E5A75A5201}" name="Date of next _x000a_reading (Elect)" dataDxfId="143"/>
    <tableColumn id="4" xr3:uid="{9B7C091F-D044-41E3-8BC6-AF36D6D3BD45}" name=" Index (KWh)"/>
    <tableColumn id="10" xr3:uid="{3930B51C-79C9-4D72-A5A5-04A039668FCC}" name="Consumption to date (KWh)" dataDxfId="142">
      <calculatedColumnFormula>electricity_cost311418222630[[#This Row],[ Index (KWh)]]-electricity_cost311418222630[[#This Row],[Original index 
(KWh)]]</calculatedColumnFormula>
    </tableColumn>
    <tableColumn id="5" xr3:uid="{CE071EF3-8D78-4FAE-BF27-2BCB411DFE71}" name="Date of reading _x000a_(Elect + Gas)"/>
    <tableColumn id="7" xr3:uid="{292957E8-DB38-4E65-B3FD-6CE8EBFA0D61}" name="Level (Elect)" dataDxfId="141">
      <calculatedColumnFormula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calculatedColumnFormula>
    </tableColumn>
    <tableColumn id="8" xr3:uid="{674A0048-066A-4658-9EEB-D00DF6DFA9F4}" name="Elect. Net cost to date_x000a_(TND)" dataDxfId="140">
      <calculatedColumnFormula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calculatedColumnFormula>
    </tableColumn>
    <tableColumn id="9" xr3:uid="{DF738D40-3A00-4946-ABA2-BEFEE8119E74}" name="Elect. Cost  VAT included_x000a_(TND)_x000a_" dataDxfId="139">
      <calculatedColumnFormula xml:space="preserve"> (E$6 + electricity_cost311418222630[[#This Row],[Elect. Net cost to date
(TND)]]) * (1 + E$5)</calculatedColumnFormula>
    </tableColumn>
    <tableColumn id="11" xr3:uid="{8403EECF-A721-4ED4-9CCF-F989EA6F7DA7}" name="Elect. Average cost (TND)_x000a_trend per day" dataDxfId="138">
      <calculatedColumnFormula>electricity_cost311418222630[[#This Row],[Elect. Cost  VAT included
(TND)
]]-J17/(electricity_cost311418222630[[#This Row],[Date of reading 
(Elect + Gas)]]-G17)</calculatedColumnFormula>
    </tableColumn>
    <tableColumn id="12" xr3:uid="{2A8335C4-1987-4ECF-8AA8-AE89B97B0B2C}" name="Average energy consumption (KWh) _x000a_trend per day" dataDxfId="137">
      <calculatedColumnFormula>(electricity_cost311418222630[[#This Row],[Consumption to date (KWh)]] - F17)/_xlfn.DAYS(electricity_cost311418222630[[#This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279EE19-75A6-4DBD-A0CA-427D2A974B5E}" name="gas_cost10713519232731" displayName="gas_cost10713519232731" ref="M17:X38" totalsRowShown="0" headerRowDxfId="136" headerRowCellStyle="Bad" dataCellStyle="Bad">
  <autoFilter ref="M17:X38" xr:uid="{00000000-0009-0000-0100-000012000000}"/>
  <tableColumns count="12">
    <tableColumn id="1" xr3:uid="{3BA58EFA-505F-4354-B3A8-FF81096A6E8C}" name="Original index _x000a_(m3)"/>
    <tableColumn id="2" xr3:uid="{9087712D-A08B-486C-A9BE-AD9CF7AC56C6}" name="Date of previous _x000a_reading (Gas)"/>
    <tableColumn id="3" xr3:uid="{861DAF80-7590-4B99-AEED-24F73D49500A}" name="Date of next _x000a_reading (Gas)"/>
    <tableColumn id="4" xr3:uid="{10A9D4AD-C49A-414D-874F-3573C8231AAB}" name=" Index (m3)"/>
    <tableColumn id="10" xr3:uid="{D0063D1C-D81E-47DF-9EF8-9F8D6A292F81}" name="Consumption (m3)" dataDxfId="135">
      <calculatedColumnFormula>gas_cost10713519232731[[#This Row],[ Index (m3)]] - gas_cost10713519232731[[#This Row],[Original index 
(m3)]]</calculatedColumnFormula>
    </tableColumn>
    <tableColumn id="7" xr3:uid="{97786A74-DBE3-430C-9DDC-1D6C28E2C0F4}" name="Level (Gas)" dataDxfId="134">
      <calculatedColumnFormula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calculatedColumnFormula>
    </tableColumn>
    <tableColumn id="8" xr3:uid="{896F45C5-80A3-4461-BE63-70A4EC57B110}" name="Gas Net cost to date_x000a_(TND)" dataDxfId="133">
      <calculatedColumnFormula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calculatedColumnFormula>
    </tableColumn>
    <tableColumn id="9" xr3:uid="{8E38A2F8-55EF-4EE6-AC59-329D6F69F93E}" name="Gas Cost to date  VAT included_x000a_(TND)_x000a_" dataDxfId="132">
      <calculatedColumnFormula xml:space="preserve"> gas_cost10713519232731[[#This Row],[Gas Net cost to date
(TND)]]* (1 + E$5)</calculatedColumnFormula>
    </tableColumn>
    <tableColumn id="11" xr3:uid="{1179B093-D02F-44DF-802B-8A0538A38E72}" name="Gas Average cost _x000a_ trend per day (TND)" dataDxfId="131">
      <calculatedColumnFormula>(gas_cost10713519232731[[#This Row],[Gas Cost to date  VAT included
(TND)
]] - T17)/_xlfn.DAYS(electricity_cost[[#This Row],[Date of reading 
(Elect)]], G17)</calculatedColumnFormula>
    </tableColumn>
    <tableColumn id="6" xr3:uid="{C6B60F8F-5A75-4F4E-B480-CF402B508805}" name="Average Gas consumption (m3) _x000a_trend per day" dataDxfId="130">
      <calculatedColumnFormula>(gas_cost10713519232731[[#This Row],[Consumption (m3)]] - Q17)/_xlfn.DAYS(electricity_cost311[[#This Row],[Date of reading 
(Elect + Gas)]], G17)</calculatedColumnFormula>
    </tableColumn>
    <tableColumn id="12" xr3:uid="{6E1A82B4-E851-4E18-AD32-7BAFDE78AA4A}" name="Total to pay to date_x000a_(TND)_x000a_- Predicted -" dataDxfId="129" dataCellStyle="Bad">
      <calculatedColumnFormula xml:space="preserve"> E$8 + ((electricity_cost311418222630[[#This Row],[Elect. Net cost to date
(TND)]] + E$6 + gas_cost10713519232731[[#This Row],[Gas Net cost to date
(TND)]] + E$7) * (1 + E$5))</calculatedColumnFormula>
    </tableColumn>
    <tableColumn id="5" xr3:uid="{3057B745-FE98-475E-B237-94F98DD90EA8}" name="Actual bill_x000a_Check Sep. 3rd" dataDxfId="128" dataCellStyle="Bad"/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CC899DF-1228-427A-80E5-F13749E96653}" name="electricity_prices8141620242832" displayName="electricity_prices8141620242832" ref="I3:L7" totalsRowShown="0">
  <autoFilter ref="I3:L7" xr:uid="{00000000-0009-0000-0100-000013000000}"/>
  <tableColumns count="4">
    <tableColumn id="1" xr3:uid="{ECCD79C5-B028-4C2B-9C7B-8D164755D075}" name="Range level"/>
    <tableColumn id="2" xr3:uid="{C2228EAB-5B75-4994-B8FA-9ECC6D3AB867}" name="From (KWh)"/>
    <tableColumn id="3" xr3:uid="{9440E3E8-F3AA-41DD-8EA6-5C43115AFB61}" name="To (KWh)"/>
    <tableColumn id="4" xr3:uid="{1D4B1675-41E9-4A25-B4C2-897FFF8F0522}" name="Unit Price_x000a_ (millimes)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FB778FD-B325-43CB-8474-35C439069C68}" name="gas_prices129151721252933" displayName="gas_prices129151721252933" ref="P3:S7" totalsRowShown="0">
  <autoFilter ref="P3:S7" xr:uid="{00000000-0009-0000-0100-000014000000}"/>
  <tableColumns count="4">
    <tableColumn id="1" xr3:uid="{A2ED5737-88A3-4751-A6B3-921C13698EAE}" name="Range level"/>
    <tableColumn id="2" xr3:uid="{9BBDD365-43B6-46FB-B728-47AAA129ABAD}" name="From (m3)"/>
    <tableColumn id="3" xr3:uid="{C8C54D15-5DC0-4ED8-B468-B028AE9C56FE}" name="To (m3)"/>
    <tableColumn id="4" xr3:uid="{3A4370EA-6748-44F2-A9C1-7B076E01AED7}" name="Unit Price_x000a_ (millimes)"/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E70AE56-235B-4EAD-8A8E-2B6C2FD8CA5B}" name="electricity_cost31141822263034" displayName="electricity_cost31141822263034" ref="B17:L38" totalsRowShown="0" headerRowDxfId="127">
  <autoFilter ref="B17:L38" xr:uid="{00000000-0009-0000-0100-000011000000}"/>
  <tableColumns count="11">
    <tableColumn id="1" xr3:uid="{6F39A144-358D-45AF-A199-6BC5411A5ED1}" name="Original index _x000a_(KWh)"/>
    <tableColumn id="2" xr3:uid="{0D3D4745-76B2-49FB-91CB-CB56356A0DFA}" name="Date of previous _x000a_reading (Elect)" dataDxfId="126"/>
    <tableColumn id="3" xr3:uid="{0177DF9E-3E1F-4A82-BED7-540D5CB6F016}" name="Date of next _x000a_reading (Elect)" dataDxfId="125"/>
    <tableColumn id="4" xr3:uid="{A0027BB4-AF3B-459E-9156-E1613D57C539}" name=" Index (KWh)"/>
    <tableColumn id="10" xr3:uid="{BC2F0E86-13FF-4CEA-B2C3-E0757E03011A}" name="Consumption to date (KWh)" dataDxfId="124">
      <calculatedColumnFormula>electricity_cost31141822263034[[#This Row],[ Index (KWh)]]-electricity_cost31141822263034[[#This Row],[Original index 
(KWh)]]</calculatedColumnFormula>
    </tableColumn>
    <tableColumn id="5" xr3:uid="{8599362F-B6EB-469E-A7B2-8DCAEEEF3628}" name="Date of reading _x000a_(Elect + Gas)"/>
    <tableColumn id="7" xr3:uid="{9F778930-144B-4D9C-9BE5-44259F5B4E4E}" name="Level (Elect)" dataDxfId="123">
      <calculatedColumnFormula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calculatedColumnFormula>
    </tableColumn>
    <tableColumn id="8" xr3:uid="{620982E5-76A1-46DC-B25B-1DEFB0853CF6}" name="Elect. Net cost to date_x000a_(TND)" dataDxfId="122">
      <calculatedColumnFormula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calculatedColumnFormula>
    </tableColumn>
    <tableColumn id="9" xr3:uid="{62FB5E4E-E386-44F9-8E4A-0AA3B8A21469}" name="Elect. Cost  VAT included_x000a_(TND)_x000a_" dataDxfId="121">
      <calculatedColumnFormula xml:space="preserve"> (E$6 + electricity_cost31141822263034[[#This Row],[Elect. Net cost to date
(TND)]]) * (1 + E$5)</calculatedColumnFormula>
    </tableColumn>
    <tableColumn id="11" xr3:uid="{94939F4E-5510-4994-931C-BF642E5F4891}" name="Elect. Average cost (TND)_x000a_trend per day" dataDxfId="120">
      <calculatedColumnFormula>electricity_cost31141822263034[[#This Row],[Elect. Cost  VAT included
(TND)
]]-J17/(electricity_cost31141822263034[[#This Row],[Date of reading 
(Elect + Gas)]]-G17)</calculatedColumnFormula>
    </tableColumn>
    <tableColumn id="12" xr3:uid="{2801ACB4-877B-45EF-A51D-401C6C1D136F}" name="Average energy consumption (KWh) _x000a_trend per day" dataDxfId="119">
      <calculatedColumnFormula>(electricity_cost31141822263034[[#This Row],[Consumption to date (KWh)]] - F17)/_xlfn.DAYS(electricity_cost31141822263034[[#This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97EA743-B851-40A1-A400-85D292227023}" name="gas_cost1071351923273135" displayName="gas_cost1071351923273135" ref="M17:X38" totalsRowShown="0" headerRowDxfId="118" headerRowCellStyle="Bad" dataCellStyle="Bad">
  <autoFilter ref="M17:X38" xr:uid="{00000000-0009-0000-0100-000012000000}"/>
  <tableColumns count="12">
    <tableColumn id="1" xr3:uid="{6A6EB1F1-CFC2-4D09-BB87-C6793495A4D6}" name="Original index _x000a_(m3)"/>
    <tableColumn id="2" xr3:uid="{6E2D0DB1-E87C-4E19-BF01-9C8EC6A450D7}" name="Date of previous _x000a_reading (Gas)"/>
    <tableColumn id="3" xr3:uid="{AB11D1B6-0150-45F4-B73E-2BB7331CF217}" name="Date of next _x000a_reading (Gas)"/>
    <tableColumn id="4" xr3:uid="{96921A2C-D283-4DEF-93B4-0A1A8FFC77E2}" name=" Index (m3)"/>
    <tableColumn id="10" xr3:uid="{12524CC1-6AC1-42D1-ADF2-BDD1C66B9890}" name="Consumption (m3)" dataDxfId="117">
      <calculatedColumnFormula>gas_cost1071351923273135[[#This Row],[ Index (m3)]] - gas_cost1071351923273135[[#This Row],[Original index 
(m3)]]</calculatedColumnFormula>
    </tableColumn>
    <tableColumn id="7" xr3:uid="{3E368431-9101-4109-B982-A7239FA3B4C9}" name="Level (Gas)" dataDxfId="116">
      <calculatedColumnFormula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calculatedColumnFormula>
    </tableColumn>
    <tableColumn id="8" xr3:uid="{9581AD56-E346-49A2-B9F1-6B8599E7A940}" name="Gas Net cost to date_x000a_(TND)" dataDxfId="115">
      <calculatedColumnFormula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calculatedColumnFormula>
    </tableColumn>
    <tableColumn id="9" xr3:uid="{77BF24B3-8F58-45FC-A142-110DE509B4E6}" name="Gas Cost to date  VAT included_x000a_(TND)_x000a_" dataDxfId="114">
      <calculatedColumnFormula xml:space="preserve"> gas_cost1071351923273135[[#This Row],[Gas Net cost to date
(TND)]]* (1 + E$5)</calculatedColumnFormula>
    </tableColumn>
    <tableColumn id="11" xr3:uid="{4341AC04-2A66-4DB7-A49E-1A193877D171}" name="Gas Average cost _x000a_ trend per day (TND)" dataDxfId="113">
      <calculatedColumnFormula>(gas_cost1071351923273135[[#This Row],[Gas Cost to date  VAT included
(TND)
]] - T17)/_xlfn.DAYS(electricity_cost[[#This Row],[Date of reading 
(Elect)]], G17)</calculatedColumnFormula>
    </tableColumn>
    <tableColumn id="6" xr3:uid="{CC8101D8-88C8-48E6-B433-9CC09A1A092D}" name="Average Gas consumption (m3) _x000a_trend per day" dataDxfId="112">
      <calculatedColumnFormula>(gas_cost1071351923273135[[#This Row],[Consumption (m3)]] - Q17)/_xlfn.DAYS(electricity_cost311[[#This Row],[Date of reading 
(Elect + Gas)]], G17)</calculatedColumnFormula>
    </tableColumn>
    <tableColumn id="12" xr3:uid="{7874BC52-EF0C-4955-84CD-09FD104C1506}" name="Total to pay to date_x000a_(TND)_x000a_- Predicted -" dataDxfId="111" dataCellStyle="Bad">
      <calculatedColumnFormula xml:space="preserve"> E$8 + ((electricity_cost31141822263034[[#This Row],[Elect. Net cost to date
(TND)]] + E$6 + gas_cost1071351923273135[[#This Row],[Gas Net cost to date
(TND)]] + E$7) * (1 + E$5))</calculatedColumnFormula>
    </tableColumn>
    <tableColumn id="5" xr3:uid="{BCBC5841-3377-4FE8-9B66-4B2C61B47268}" name="Actual bill_x000a_Check Sep. 3rd" dataDxfId="110" dataCellStyle="Bad"/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10CE25B-006B-400B-8541-628FC118B9A1}" name="electricity_prices814162024283236" displayName="electricity_prices814162024283236" ref="I3:L7" totalsRowShown="0">
  <autoFilter ref="I3:L7" xr:uid="{00000000-0009-0000-0100-000013000000}"/>
  <tableColumns count="4">
    <tableColumn id="1" xr3:uid="{0B7FD97B-5760-4A3E-84AD-4AEE5DECB4E3}" name="Range level"/>
    <tableColumn id="2" xr3:uid="{33EE7875-3041-480C-8BE2-40C27C62F554}" name="From (KWh)"/>
    <tableColumn id="3" xr3:uid="{E658BAD3-E5CB-4101-B3B3-D5990044179E}" name="To (KWh)"/>
    <tableColumn id="4" xr3:uid="{61B44249-A490-4794-A4F0-4734CB01C75F}" name="Unit Price_x000a_ (millimes)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74D422E-58EF-4935-821E-F97E948D77F6}" name="gas_prices12915172125293337" displayName="gas_prices12915172125293337" ref="P3:S7" totalsRowShown="0">
  <autoFilter ref="P3:S7" xr:uid="{00000000-0009-0000-0100-000014000000}"/>
  <tableColumns count="4">
    <tableColumn id="1" xr3:uid="{A7233E68-9518-4305-8D8F-820036C73D0E}" name="Range level"/>
    <tableColumn id="2" xr3:uid="{E04CA3C0-A477-4136-AA53-C241DD168279}" name="From (m3)"/>
    <tableColumn id="3" xr3:uid="{2A29864A-94C4-4F19-AFA6-A39FB7EF1577}" name="To (m3)"/>
    <tableColumn id="4" xr3:uid="{1ADF1CD2-DF5C-42BD-8AA2-8D2164334DE8}" name="Unit Price_x000a_ (millimes)"/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18792C2-E37B-427A-A0BE-C170136588EF}" name="electricity_cost3114182226303438" displayName="electricity_cost3114182226303438" ref="B17:L37" totalsRowShown="0" headerRowDxfId="109">
  <autoFilter ref="B17:L37" xr:uid="{00000000-0009-0000-0100-000011000000}"/>
  <tableColumns count="11">
    <tableColumn id="1" xr3:uid="{81DBE856-383F-4DF9-980D-1EF0783D1EF8}" name="Original index _x000a_(KWh)"/>
    <tableColumn id="2" xr3:uid="{2B45F751-B286-4DCD-B7C6-719735E1014B}" name="Date of previous _x000a_reading (Elect)" dataDxfId="108"/>
    <tableColumn id="3" xr3:uid="{F95E1C5E-2245-409E-87DE-E3BB424D4E63}" name="Date of next _x000a_reading (Elect)" dataDxfId="107"/>
    <tableColumn id="4" xr3:uid="{E3AE2B16-1171-4BCD-BBB5-08B88D6D62C1}" name=" Index (KWh)"/>
    <tableColumn id="10" xr3:uid="{CEFC18FA-CF79-416A-9FF7-57589267AAB6}" name="Consumption to date (KWh)" dataDxfId="106">
      <calculatedColumnFormula>electricity_cost3114182226303438[[#This Row],[ Index (KWh)]]-electricity_cost3114182226303438[[#This Row],[Original index 
(KWh)]]</calculatedColumnFormula>
    </tableColumn>
    <tableColumn id="5" xr3:uid="{DC2860A2-1ACB-49DE-844A-E0B061AFED79}" name="Date of reading _x000a_(Elect + Gas)"/>
    <tableColumn id="7" xr3:uid="{76D4BE26-5191-4D81-B31B-7A5C8C9F9E4E}" name="Level (Elect)" dataDxfId="105">
      <calculatedColumnFormula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calculatedColumnFormula>
    </tableColumn>
    <tableColumn id="8" xr3:uid="{7956845F-B73A-40DC-82BF-6326A9CD7F58}" name="Elect. Net cost to date_x000a_(TND)" dataDxfId="104">
      <calculatedColumnFormula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calculatedColumnFormula>
    </tableColumn>
    <tableColumn id="9" xr3:uid="{2EF95411-86ED-41B9-8600-E9209E20B795}" name="Elect. Cost  VAT included_x000a_(TND)_x000a_" dataDxfId="103">
      <calculatedColumnFormula xml:space="preserve"> (E$6 + electricity_cost3114182226303438[[#This Row],[Elect. Net cost to date
(TND)]]) * (1 + E$5)</calculatedColumnFormula>
    </tableColumn>
    <tableColumn id="11" xr3:uid="{0C25F9CC-BB43-4B86-844B-FE3A31CC4F58}" name="Elect. Average cost (TND)_x000a_trend per day" dataDxfId="102">
      <calculatedColumnFormula>electricity_cost3114182226303438[[#This Row],[Elect. Cost  VAT included
(TND)
]]-J17/(electricity_cost3114182226303438[[#This Row],[Date of reading 
(Elect + Gas)]]-G17)</calculatedColumnFormula>
    </tableColumn>
    <tableColumn id="12" xr3:uid="{85CD443B-9FB1-440E-9EBC-3602D638C7D4}" name="Average energy consumption (KWh) _x000a_trend per day" dataDxfId="101">
      <calculatedColumnFormula>(electricity_cost3114182226303438[[#This Row],[Consumption to date (KWh)]] - F17)/_xlfn.DAYS(electricity_cost3114182226303438[[#This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47CB0E7-FFB8-4C1A-AD48-D6407EE1ABD5}" name="gas_cost107135192327313539" displayName="gas_cost107135192327313539" ref="M17:X37" totalsRowShown="0" headerRowDxfId="100" headerRowCellStyle="Bad" dataCellStyle="Bad">
  <autoFilter ref="M17:X37" xr:uid="{00000000-0009-0000-0100-000012000000}"/>
  <tableColumns count="12">
    <tableColumn id="1" xr3:uid="{F348E8F5-71A2-4EE9-B4C4-DA661D9141D6}" name="Original index _x000a_(m3)"/>
    <tableColumn id="2" xr3:uid="{2369AA99-969B-4706-B28A-BD5D1D6742C1}" name="Date of previous _x000a_reading (Gas)"/>
    <tableColumn id="3" xr3:uid="{8A9994B2-FCA2-4BD2-B125-BE1A2DA12891}" name="Date of next _x000a_reading (Gas)"/>
    <tableColumn id="4" xr3:uid="{3AB31F73-E463-4AB5-96B4-1BA2EBC6709A}" name=" Index (m3)"/>
    <tableColumn id="10" xr3:uid="{90F23B3A-8576-4654-A72B-416678D3FD89}" name="Consumption (m3)" dataDxfId="99">
      <calculatedColumnFormula>gas_cost107135192327313539[[#This Row],[ Index (m3)]] - gas_cost107135192327313539[[#This Row],[Original index 
(m3)]]</calculatedColumnFormula>
    </tableColumn>
    <tableColumn id="7" xr3:uid="{8C5A9775-33AF-4DCB-9899-1252B065254F}" name="Level (Gas)" dataDxfId="98">
      <calculatedColumnFormula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calculatedColumnFormula>
    </tableColumn>
    <tableColumn id="8" xr3:uid="{EA9C148E-6DF1-46A0-BB92-99C33C50848E}" name="Gas Net cost to date_x000a_(TND)" dataDxfId="97">
      <calculatedColumnFormula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calculatedColumnFormula>
    </tableColumn>
    <tableColumn id="9" xr3:uid="{AF8F2146-7C97-497F-9319-95D1E7D36E70}" name="Gas Cost to date  VAT included_x000a_(TND)_x000a_" dataDxfId="96">
      <calculatedColumnFormula xml:space="preserve"> gas_cost107135192327313539[[#This Row],[Gas Net cost to date
(TND)]]* (1 + E$5)</calculatedColumnFormula>
    </tableColumn>
    <tableColumn id="11" xr3:uid="{9D023732-E338-4D14-93D4-04ADA7A32521}" name="Gas Average cost _x000a_ trend per day (TND)" dataDxfId="95">
      <calculatedColumnFormula>(gas_cost107135192327313539[[#This Row],[Gas Cost to date  VAT included
(TND)
]] - T17)/_xlfn.DAYS(electricity_cost[[#This Row],[Date of reading 
(Elect)]], G17)</calculatedColumnFormula>
    </tableColumn>
    <tableColumn id="6" xr3:uid="{94742068-B465-4581-8931-0B4B04CA77C8}" name="Average Gas consumption (m3) _x000a_trend per day" dataDxfId="94">
      <calculatedColumnFormula>(gas_cost107135192327313539[[#This Row],[Consumption (m3)]] - Q17)/_xlfn.DAYS(electricity_cost311[[#This Row],[Date of reading 
(Elect + Gas)]], G17)</calculatedColumnFormula>
    </tableColumn>
    <tableColumn id="12" xr3:uid="{E17CFF8D-ED52-4FCB-85D0-D8722839AB5B}" name="Total to pay to date_x000a_(TND)_x000a_- Predicted -" dataDxfId="93" dataCellStyle="Bad">
      <calculatedColumnFormula xml:space="preserve"> E$8 + ((electricity_cost3114182226303438[[#This Row],[Elect. Net cost to date
(TND)]] + E$6 + gas_cost107135192327313539[[#This Row],[Gas Net cost to date
(TND)]] + E$7) * (1 + E$5))</calculatedColumnFormula>
    </tableColumn>
    <tableColumn id="5" xr3:uid="{355F0637-5D62-46A4-93B6-50B9AEF571B9}" name="Actual bill_x000a_Check Sep. 3rd" dataDxfId="92" dataCellStyle="Bad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25F3F8E-8D76-4FFB-A705-E9C57620AA10}" name="electricity_prices81416202428323640" displayName="electricity_prices81416202428323640" ref="I3:L7" totalsRowShown="0">
  <autoFilter ref="I3:L7" xr:uid="{00000000-0009-0000-0100-000013000000}"/>
  <tableColumns count="4">
    <tableColumn id="1" xr3:uid="{6C12CC43-395D-4F17-98C9-991EFF33AAA1}" name="Range level"/>
    <tableColumn id="2" xr3:uid="{17300BAD-AC8B-44E2-B9D3-B010A05D7296}" name="From (KWh)"/>
    <tableColumn id="3" xr3:uid="{53629C8F-6430-45F6-B15B-B6B2F1EFE415}" name="To (KWh)"/>
    <tableColumn id="4" xr3:uid="{DCE9A85B-5C7D-404C-8E06-F1BC118FB903}" name="Unit Price_x000a_ (millimes)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98C2C49-8360-4960-BCAD-6BB0F0DF41BD}" name="gas_prices1291517212529333741" displayName="gas_prices1291517212529333741" ref="P3:S7" totalsRowShown="0">
  <autoFilter ref="P3:S7" xr:uid="{00000000-0009-0000-0100-000014000000}"/>
  <tableColumns count="4">
    <tableColumn id="1" xr3:uid="{8B1E01B0-A7CD-41B6-968F-C55A6F50B6AA}" name="Range level"/>
    <tableColumn id="2" xr3:uid="{1BC369F1-6040-4E2A-BDA9-A10B96AA1F62}" name="From (m3)"/>
    <tableColumn id="3" xr3:uid="{BE157BDB-E439-499E-8F40-32538955E783}" name="To (m3)"/>
    <tableColumn id="4" xr3:uid="{E4E2E3FD-855D-4160-A59A-61A51528DA70}" name="Unit Price_x000a_ (millimes)"/>
  </tableColumns>
  <tableStyleInfo name="TableStyleMedium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F19B25E-FC21-45A8-9F52-F0998D55A193}" name="electricity_cost311418222630343842" displayName="electricity_cost311418222630343842" ref="B17:L44" totalsRowShown="0" headerRowDxfId="91">
  <autoFilter ref="B17:L44" xr:uid="{00000000-0009-0000-0100-000011000000}"/>
  <tableColumns count="11">
    <tableColumn id="1" xr3:uid="{37BCE0A2-B3FB-47D1-B773-C033BD5F8C9F}" name="Original index _x000a_(KWh)"/>
    <tableColumn id="2" xr3:uid="{3B26B54C-691B-433B-A92E-907DCEF3101A}" name="Date of previous _x000a_reading (Elect)" dataDxfId="90"/>
    <tableColumn id="3" xr3:uid="{0D231ACB-CAEC-434F-9F2F-D0BA990142CE}" name="Date of next _x000a_reading (Elect)" dataDxfId="89"/>
    <tableColumn id="4" xr3:uid="{29F6F1D9-9AD6-4F41-9F96-DE33DAFD9E52}" name=" Index (KWh)"/>
    <tableColumn id="10" xr3:uid="{94D42F37-7371-433A-8F3D-CAB2660779B6}" name="Consumption to date (KWh)" dataDxfId="88">
      <calculatedColumnFormula>electricity_cost311418222630343842[[#This Row],[ Index (KWh)]]-electricity_cost311418222630343842[[#This Row],[Original index 
(KWh)]]</calculatedColumnFormula>
    </tableColumn>
    <tableColumn id="5" xr3:uid="{5501A484-70B3-4A54-9A91-200232EB95B8}" name="Date of reading _x000a_(Elect + Gas)"/>
    <tableColumn id="7" xr3:uid="{5736BAC7-052A-4AF0-AD6D-C6957E9C164B}" name="Level (Elect)" dataDxfId="87">
      <calculatedColumnFormula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calculatedColumnFormula>
    </tableColumn>
    <tableColumn id="8" xr3:uid="{EECAF3D1-58E8-499D-8E37-D1D535D87F39}" name="Elect. Net cost to date_x000a_(TND)" dataDxfId="86">
      <calculatedColumnFormula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calculatedColumnFormula>
    </tableColumn>
    <tableColumn id="9" xr3:uid="{CDE5D8B3-3E14-4E1F-A451-5096041412D8}" name="Elect. Cost  VAT included_x000a_(TND)_x000a_" dataDxfId="85">
      <calculatedColumnFormula xml:space="preserve"> (E$6 + electricity_cost311418222630343842[[#This Row],[Elect. Net cost to date
(TND)]]) * (1 + E$5)</calculatedColumnFormula>
    </tableColumn>
    <tableColumn id="11" xr3:uid="{7E40F15A-23AB-48F2-8F3E-03EC66AAAA50}" name="Elect. Average cost (TND)_x000a_trend per day" dataDxfId="84">
      <calculatedColumnFormula>electricity_cost311418222630343842[[#This Row],[Elect. Cost  VAT included
(TND)
]]-J17/(electricity_cost311418222630343842[[#This Row],[Date of reading 
(Elect + Gas)]]-G17)</calculatedColumnFormula>
    </tableColumn>
    <tableColumn id="12" xr3:uid="{3FEA0AA2-534B-4558-9A78-64D5ED81F673}" name="Average energy consumption (KWh) _x000a_trend per day" dataDxfId="83">
      <calculatedColumnFormula>(electricity_cost311418222630343842[[#This Row],[Consumption to date (KWh)]] - F17)/_xlfn.DAYS(electricity_cost311418222630343842[[#This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52114B-FCDF-47CC-A2DC-0329720661C6}" name="gas_cost10713519232731353943" displayName="gas_cost10713519232731353943" ref="M17:X44" totalsRowShown="0" headerRowDxfId="82" headerRowCellStyle="Bad" dataCellStyle="Bad">
  <autoFilter ref="M17:X44" xr:uid="{00000000-0009-0000-0100-000012000000}"/>
  <tableColumns count="12">
    <tableColumn id="1" xr3:uid="{7A99F5BD-A564-425D-B452-1038366736D8}" name="Original index _x000a_(m3)"/>
    <tableColumn id="2" xr3:uid="{E9493DC2-71CD-4BC9-815A-BD2559A7CB8D}" name="Date of previous _x000a_reading (Gas)"/>
    <tableColumn id="3" xr3:uid="{CDD12070-C33F-4695-BDD6-FBF4B281C872}" name="Date of next _x000a_reading (Gas)"/>
    <tableColumn id="4" xr3:uid="{271AE2A6-AA94-4D28-9170-04AC5D221701}" name=" Index (m3)"/>
    <tableColumn id="10" xr3:uid="{1E1C7457-FDA3-4D4B-BD4A-00B26770A68A}" name="Consumption (m3)" dataDxfId="81">
      <calculatedColumnFormula>gas_cost10713519232731353943[[#This Row],[ Index (m3)]] - gas_cost10713519232731353943[[#This Row],[Original index 
(m3)]]</calculatedColumnFormula>
    </tableColumn>
    <tableColumn id="7" xr3:uid="{1AA6032F-0449-4AD6-BF17-70CF94757F29}" name="Level (Gas)" dataDxfId="80">
      <calculatedColumnFormula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calculatedColumnFormula>
    </tableColumn>
    <tableColumn id="8" xr3:uid="{D057F308-DC60-4B33-9B17-EDE37A850AC0}" name="Gas Net cost to date_x000a_(TND)" dataDxfId="79">
      <calculatedColumnFormula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calculatedColumnFormula>
    </tableColumn>
    <tableColumn id="9" xr3:uid="{5199D01D-AFFF-4A56-A1A7-F69417F64EFD}" name="Gas Cost to date  VAT included_x000a_(TND)_x000a_" dataDxfId="78">
      <calculatedColumnFormula xml:space="preserve"> gas_cost10713519232731353943[[#This Row],[Gas Net cost to date
(TND)]]* (1 + E$5)</calculatedColumnFormula>
    </tableColumn>
    <tableColumn id="11" xr3:uid="{00D4BC9E-5874-4B62-ADF2-CB5C832A2272}" name="Gas Average cost _x000a_ trend per day (TND)" dataDxfId="77">
      <calculatedColumnFormula>(gas_cost10713519232731353943[[#This Row],[Gas Cost to date  VAT included
(TND)
]] - T17)/_xlfn.DAYS(electricity_cost[[#This Row],[Date of reading 
(Elect)]], G17)</calculatedColumnFormula>
    </tableColumn>
    <tableColumn id="6" xr3:uid="{62071821-498B-4BB6-BC75-0E122601F084}" name="Average Gas consumption (m3) _x000a_trend per day" dataDxfId="76">
      <calculatedColumnFormula>(gas_cost10713519232731353943[[#This Row],[Consumption (m3)]] - Q17)/_xlfn.DAYS(electricity_cost311[[#This Row],[Date of reading 
(Elect + Gas)]], G17)</calculatedColumnFormula>
    </tableColumn>
    <tableColumn id="12" xr3:uid="{4CB9AC08-375C-4BBF-9386-9B5ADF7496F0}" name="Total to pay to date_x000a_(TND)_x000a_- Predicted -" dataDxfId="75" dataCellStyle="Bad">
      <calculatedColumnFormula xml:space="preserve"> E$8 + ((electricity_cost311418222630343842[[#This Row],[Elect. Net cost to date
(TND)]] + E$6 + gas_cost10713519232731353943[[#This Row],[Gas Net cost to date
(TND)]] + E$7) * (1 + E$5))</calculatedColumnFormula>
    </tableColumn>
    <tableColumn id="5" xr3:uid="{1E9BC1BC-EA2F-4EB1-AAE1-97A55DD9B18A}" name="Actual bill_x000a_Check Sep. 3rd" dataDxfId="74" dataCellStyle="Bad"/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810A443-80FD-4866-9A24-BA25F9AB47BA}" name="electricity_prices8141620242832364044" displayName="electricity_prices8141620242832364044" ref="I3:L7" totalsRowShown="0">
  <autoFilter ref="I3:L7" xr:uid="{00000000-0009-0000-0100-000013000000}"/>
  <tableColumns count="4">
    <tableColumn id="1" xr3:uid="{39583BFB-D7ED-46E8-986D-C61E28756D5C}" name="Range level"/>
    <tableColumn id="2" xr3:uid="{1DFA9BF6-FFB3-4BD4-9257-EF47EB4C740B}" name="From (KWh)"/>
    <tableColumn id="3" xr3:uid="{B5031FBE-8B25-429D-B759-A0D961DE4011}" name="To (KWh)"/>
    <tableColumn id="4" xr3:uid="{299E6258-79B1-434A-A174-2A6FAB966EFB}" name="Unit Price_x000a_ (millimes)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BA0FC1D-5A96-4F69-B463-A55341166A42}" name="gas_prices129151721252933374145" displayName="gas_prices129151721252933374145" ref="P3:S7" totalsRowShown="0">
  <autoFilter ref="P3:S7" xr:uid="{00000000-0009-0000-0100-000014000000}"/>
  <tableColumns count="4">
    <tableColumn id="1" xr3:uid="{66969E71-A18B-4336-B1B6-7AAD377F9929}" name="Range level"/>
    <tableColumn id="2" xr3:uid="{64051430-21E9-4732-9659-950AF4857360}" name="From (m3)"/>
    <tableColumn id="3" xr3:uid="{65428C9A-105B-48E9-84D9-31DFC55E8024}" name="To (m3)"/>
    <tableColumn id="4" xr3:uid="{BE20C50C-AD36-4E56-931B-2A8326A48088}" name="Unit Price_x000a_ (millimes)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E01C0AE-F2C9-4C00-9FCD-5619A8B01ECE}" name="electricity_cost31141822263034384246" displayName="electricity_cost31141822263034384246" ref="B17:L31" totalsRowShown="0" headerRowDxfId="73">
  <autoFilter ref="B17:L31" xr:uid="{00000000-0009-0000-0100-000011000000}"/>
  <tableColumns count="11">
    <tableColumn id="1" xr3:uid="{19F2E6ED-6C1C-486E-B33C-29F0770281A7}" name="Original index _x000a_(KWh)"/>
    <tableColumn id="2" xr3:uid="{46936F47-0AB5-4F08-BB58-6A7AC8D5FE41}" name="Date of previous _x000a_reading (Elect)" dataDxfId="72"/>
    <tableColumn id="3" xr3:uid="{B67D8C19-9832-4A46-9CD8-BE4A16D0BE85}" name="Date of next _x000a_reading (Elect)" dataDxfId="71"/>
    <tableColumn id="4" xr3:uid="{E0E7818F-442B-4415-9B9D-DE59580530F8}" name=" Index (KWh)"/>
    <tableColumn id="10" xr3:uid="{1BEBCEDE-CB34-47D3-8551-AFE554854BF0}" name="Consumption to date (KWh)" dataDxfId="70">
      <calculatedColumnFormula>electricity_cost31141822263034384246[[#This Row],[ Index (KWh)]]-electricity_cost31141822263034384246[[#This Row],[Original index 
(KWh)]]</calculatedColumnFormula>
    </tableColumn>
    <tableColumn id="5" xr3:uid="{EF8B3812-B9D0-45EB-BB22-E9DF46BBC101}" name="Date of reading _x000a_(Elect + Gas)"/>
    <tableColumn id="7" xr3:uid="{1D6105C3-3DA0-4865-A2B6-32621EC10028}" name="Level (Elect)" dataDxfId="69">
      <calculatedColumnFormula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calculatedColumnFormula>
    </tableColumn>
    <tableColumn id="8" xr3:uid="{85CADEF7-EAF6-4BCA-99AE-746397A772BB}" name="Elect. Net cost to date_x000a_(TND)" dataDxfId="68">
      <calculatedColumnFormula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calculatedColumnFormula>
    </tableColumn>
    <tableColumn id="9" xr3:uid="{EDA8D8A8-F5A5-47A1-8C87-2F2F900765EF}" name="Elect. Cost  VAT included_x000a_(TND)_x000a_" dataDxfId="67">
      <calculatedColumnFormula xml:space="preserve"> (E$6 + electricity_cost31141822263034384246[[#This Row],[Elect. Net cost to date
(TND)]]) * (1 + E$5)</calculatedColumnFormula>
    </tableColumn>
    <tableColumn id="11" xr3:uid="{A532F102-260F-4986-865B-912F43F9EFB5}" name="Elect. Average cost (TND)_x000a_trend per day" dataDxfId="66">
      <calculatedColumnFormula>electricity_cost31141822263034384246[[#This Row],[Elect. Cost  VAT included
(TND)
]]-J17/(electricity_cost31141822263034384246[[#This Row],[Date of reading 
(Elect + Gas)]]-G17)</calculatedColumnFormula>
    </tableColumn>
    <tableColumn id="12" xr3:uid="{AFB1CEC5-5160-4059-AB43-DB62FC879E0C}" name="Average energy consumption (KWh) _x000a_trend per day" dataDxfId="65">
      <calculatedColumnFormula>(electricity_cost31141822263034384246[[#This Row],[Consumption to date (KWh)]] - F17)/_xlfn.DAYS(electricity_cost31141822263034384246[[#This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1FB7845-8507-4C05-8160-990376055C9E}" name="gas_cost1071351923273135394347" displayName="gas_cost1071351923273135394347" ref="M17:X31" totalsRowShown="0" headerRowDxfId="64" headerRowCellStyle="Bad" dataCellStyle="Bad">
  <autoFilter ref="M17:X31" xr:uid="{00000000-0009-0000-0100-000012000000}"/>
  <tableColumns count="12">
    <tableColumn id="1" xr3:uid="{AF284B82-E6A3-4169-A2CE-A15C8102FC4C}" name="Original index _x000a_(m3)"/>
    <tableColumn id="2" xr3:uid="{DFBEE5DA-EF72-4767-8DB4-D4370B468374}" name="Date of previous _x000a_reading (Gas)"/>
    <tableColumn id="3" xr3:uid="{1F5A4F0E-BE18-4A91-84AB-D1053CB97181}" name="Date of next _x000a_reading (Gas)"/>
    <tableColumn id="4" xr3:uid="{B6FFACB9-C72D-442A-A921-DD7AEDD65E28}" name=" Index (m3)"/>
    <tableColumn id="10" xr3:uid="{814AD351-9B2E-42B6-9126-6C500BA5C107}" name="Consumption (m3)" dataDxfId="63">
      <calculatedColumnFormula>gas_cost1071351923273135394347[[#This Row],[ Index (m3)]] - gas_cost1071351923273135394347[[#This Row],[Original index 
(m3)]]</calculatedColumnFormula>
    </tableColumn>
    <tableColumn id="7" xr3:uid="{9C3A3E09-1E37-4C9E-9872-BCFF30ED2A27}" name="Level (Gas)" dataDxfId="62">
      <calculatedColumnFormula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calculatedColumnFormula>
    </tableColumn>
    <tableColumn id="8" xr3:uid="{7AA60556-BE25-4672-892D-158AEDB81090}" name="Gas Net cost to date_x000a_(TND)" dataDxfId="61">
      <calculatedColumnFormula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calculatedColumnFormula>
    </tableColumn>
    <tableColumn id="9" xr3:uid="{EA25E50C-0127-4AB5-A039-D70ABFBBF26D}" name="Gas Cost to date  VAT included_x000a_(TND)_x000a_" dataDxfId="60">
      <calculatedColumnFormula xml:space="preserve"> gas_cost1071351923273135394347[[#This Row],[Gas Net cost to date
(TND)]]* (1 + E$5)</calculatedColumnFormula>
    </tableColumn>
    <tableColumn id="11" xr3:uid="{4F4EF534-17D0-473F-AE28-8E3E18048A13}" name="Gas Average cost _x000a_ trend per day (TND)" dataDxfId="59">
      <calculatedColumnFormula>(gas_cost1071351923273135394347[[#This Row],[Gas Cost to date  VAT included
(TND)
]] - T17)/_xlfn.DAYS(electricity_cost[[#This Row],[Date of reading 
(Elect)]], G17)</calculatedColumnFormula>
    </tableColumn>
    <tableColumn id="6" xr3:uid="{7F12A510-88EB-4CA7-9AD0-C0308793D1B7}" name="Average Gas consumption (m3) _x000a_trend per day" dataDxfId="58">
      <calculatedColumnFormula>(gas_cost1071351923273135394347[[#This Row],[Consumption (m3)]] - Q17)/_xlfn.DAYS(electricity_cost311[[#This Row],[Date of reading 
(Elect + Gas)]], G17)</calculatedColumnFormula>
    </tableColumn>
    <tableColumn id="12" xr3:uid="{60D99F96-0671-460E-B8FA-F9184AC64C41}" name="Total to pay to date_x000a_(TND)_x000a_- Predicted -" dataDxfId="57" dataCellStyle="Bad">
      <calculatedColumnFormula xml:space="preserve"> E$8 + ((electricity_cost31141822263034384246[[#This Row],[Elect. Net cost to date
(TND)]] + E$6 + gas_cost1071351923273135394347[[#This Row],[Gas Net cost to date
(TND)]] + E$7) * (1 + E$5))</calculatedColumnFormula>
    </tableColumn>
    <tableColumn id="5" xr3:uid="{8AA85A39-3B3F-45B1-A324-926121E6E7B3}" name="Actual bill_x000a_Check Sep. 3rd" dataDxfId="56" dataCellStyle="Bad"/>
  </tableColumns>
  <tableStyleInfo name="TableStyleMedium3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0F8DA99-DD2C-458E-BCAE-4C4D05B0DAAB}" name="electricity_prices814162024283236404448" displayName="electricity_prices814162024283236404448" ref="I3:L7" totalsRowShown="0">
  <autoFilter ref="I3:L7" xr:uid="{00000000-0009-0000-0100-000013000000}"/>
  <tableColumns count="4">
    <tableColumn id="1" xr3:uid="{6FD49C37-B677-45FA-843C-37736297D00B}" name="Range level"/>
    <tableColumn id="2" xr3:uid="{3EC303B6-53D0-4F30-8FC0-8B4BC255C973}" name="From (KWh)"/>
    <tableColumn id="3" xr3:uid="{509158D6-8542-4B4D-86CD-7FEA04C6A0D6}" name="To (KWh)"/>
    <tableColumn id="4" xr3:uid="{7509DE09-23BD-4FE1-B65F-9A1A1AA7FCD8}" name="Unit Price_x000a_ (millimes)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1124E8C-5492-4886-A30D-CDB5456BACFC}" name="gas_prices12915172125293337414549" displayName="gas_prices12915172125293337414549" ref="P3:S7" totalsRowShown="0">
  <autoFilter ref="P3:S7" xr:uid="{00000000-0009-0000-0100-000014000000}"/>
  <tableColumns count="4">
    <tableColumn id="1" xr3:uid="{C0AAB8F4-4F2E-412D-B4C3-708E289F0817}" name="Range level"/>
    <tableColumn id="2" xr3:uid="{C514E32F-2C43-4F69-A389-380A5359CC90}" name="From (m3)"/>
    <tableColumn id="3" xr3:uid="{92C62149-05F6-4907-BCED-0A911F0A8941}" name="To (m3)"/>
    <tableColumn id="4" xr3:uid="{A3982366-766B-4804-B1F0-F9BDB1FFC7C3}" name="Unit Price_x000a_ (millimes)"/>
  </tableColumns>
  <tableStyleInfo name="TableStyleMedium3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F0173F5-6059-4E7F-A87A-90C55DD853ED}" name="electricity_cost3114182226303438424654" displayName="electricity_cost3114182226303438424654" ref="B17:L25" totalsRowShown="0" headerRowDxfId="55">
  <autoFilter ref="B17:L25" xr:uid="{E718A71B-190B-4D89-A63E-1E995D9556B1}"/>
  <tableColumns count="11">
    <tableColumn id="1" xr3:uid="{B7C3B0D4-9D15-4FBC-BF7F-666736334F15}" name="Original index _x000a_(KWh)"/>
    <tableColumn id="2" xr3:uid="{78B5CD8D-44BB-43DA-B512-D8B7A846B49F}" name="Date of previous _x000a_reading (Elect)" dataDxfId="54"/>
    <tableColumn id="3" xr3:uid="{D857CC4C-9B97-48B2-BA84-14BF82EC96EB}" name="Date of next _x000a_reading (Elect)" dataDxfId="53"/>
    <tableColumn id="4" xr3:uid="{DE11B419-249D-45BF-BBB4-C84F69FC28A1}" name=" Index (KWh)"/>
    <tableColumn id="10" xr3:uid="{84D4DB7B-3536-41EE-918C-A7A4CFA950FB}" name="Consumption to date (KWh)" dataDxfId="52">
      <calculatedColumnFormula>electricity_cost3114182226303438424654[[#This Row],[ Index (KWh)]]-electricity_cost3114182226303438424654[[#This Row],[Original index 
(KWh)]]</calculatedColumnFormula>
    </tableColumn>
    <tableColumn id="5" xr3:uid="{0E2C41E6-8EAC-4071-A708-258E04F9BDD6}" name="Date of reading _x000a_(Elect + Gas)"/>
    <tableColumn id="7" xr3:uid="{0170FE49-24AA-4648-8E10-BE522E57F2EF}" name="Level (Elect)" dataDxfId="51">
      <calculatedColumnFormula xml:space="preserve"> _xlfn.IFS(electricity_cost3114182226303438424654[[#This Row],[Consumption to date (KWh)]] &lt;= K$4, 1, AND(K$4 &lt; electricity_cost3114182226303438424654[[#This Row],[Consumption to date (KWh)]],  electricity_cost3114182226303438424654[[#This Row],[Consumption to date (KWh)]]&lt;= K$5), 2, AND(K$5 &lt; electricity_cost3114182226303438424654[[#This Row],[Consumption to date (KWh)]],  electricity_cost3114182226303438424654[[#This Row],[Consumption to date (KWh)]]&lt;= K$6), 3, electricity_cost3114182226303438424654[[#This Row],[Consumption to date (KWh)]] &gt; K$6, 4)</calculatedColumnFormula>
    </tableColumn>
    <tableColumn id="8" xr3:uid="{5C0E6D45-FF08-460C-9DE7-7E1BAA09FC9A}" name="Elect. Net cost to date_x000a_(TND)" dataDxfId="50">
      <calculatedColumnFormula>_xlfn.IFS(electricity_cost3114182226303438424654[[#This Row],[Level (Elect)]]= 1, (electricity_cost3114182226303438424654[[#This Row],[Consumption to date (KWh)]] * L$4)/1000, electricity_cost3114182226303438424654[[#This Row],[Level (Elect)]] = 2, (K$4 * L$4 +((electricity_cost3114182226303438424654[[#This Row],[Consumption to date (KWh)]] - K$4) * L$5))/1000,electricity_cost3114182226303438424654[[#This Row],[Level (Elect)]] = 3, (K$4 * L$4 + (K$5-J$5) * L$5 + ((electricity_cost3114182226303438424654[[#This Row],[Consumption to date (KWh)]] - K$5) * L$6))/1000, electricity_cost3114182226303438424654[[#This Row],[Level (Elect)]] = 4, (K$4 * L$4 + (K$5-J$5) * L$5 + (K$6-J$6) * L$6 + ((electricity_cost3114182226303438424654[[#This Row],[Consumption to date (KWh)]] - K$6) * L$7))/1000)</calculatedColumnFormula>
    </tableColumn>
    <tableColumn id="9" xr3:uid="{E7722A0A-F96C-4E0A-AC21-536DB70F60AC}" name="Elect. Cost  VAT included_x000a_(TND)_x000a_" dataDxfId="49">
      <calculatedColumnFormula xml:space="preserve"> (E$6 + electricity_cost3114182226303438424654[[#This Row],[Elect. Net cost to date
(TND)]]) * (1 + E$5)</calculatedColumnFormula>
    </tableColumn>
    <tableColumn id="11" xr3:uid="{1FA7B421-420C-468F-9245-D2BD8D33EEEA}" name="Elect. Average cost (TND)_x000a_trend per day" dataDxfId="48">
      <calculatedColumnFormula>electricity_cost3114182226303438424654[[#This Row],[Elect. Cost  VAT included
(TND)
]]-J17/(electricity_cost3114182226303438424654[[#This Row],[Date of reading 
(Elect + Gas)]]-G17)</calculatedColumnFormula>
    </tableColumn>
    <tableColumn id="12" xr3:uid="{B2134429-4254-4149-9FCF-869DF13676D0}" name="Average energy consumption (KWh) _x000a_trend per day" dataDxfId="47">
      <calculatedColumnFormula>(electricity_cost3114182226303438424654[[#This Row],[Consumption to date (KWh)]] - F17)/_xlfn.DAYS(electricity_cost3114182226303438424654[[#This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C9AE9963-0B93-495F-8653-29BBEEBCD939}" name="gas_cost107135192327313539434755" displayName="gas_cost107135192327313539434755" ref="M17:X25" totalsRowShown="0" headerRowDxfId="46" headerRowCellStyle="Bad" dataCellStyle="Bad">
  <autoFilter ref="M17:X25" xr:uid="{E29A6456-D2E1-4D39-BD9F-803C539EB91A}"/>
  <tableColumns count="12">
    <tableColumn id="1" xr3:uid="{2DE23D97-53D1-4CC3-9D1B-FD6CD5C047AD}" name="Original index _x000a_(m3)"/>
    <tableColumn id="2" xr3:uid="{50E01E33-698E-4B18-AFC9-E6B040101338}" name="Date of previous _x000a_reading (Gas)"/>
    <tableColumn id="3" xr3:uid="{7AE3BB84-4BB7-4BD8-8DFC-F250F8D5B5FF}" name="Date of next _x000a_reading (Gas)"/>
    <tableColumn id="4" xr3:uid="{D91A2A14-0876-4582-803B-956D8434F810}" name=" Index (m3)"/>
    <tableColumn id="10" xr3:uid="{642B021F-B58F-4689-A058-F61D5C94CEFF}" name="Consumption (m3)" dataDxfId="45">
      <calculatedColumnFormula>gas_cost107135192327313539434755[[#This Row],[ Index (m3)]] - gas_cost107135192327313539434755[[#This Row],[Original index 
(m3)]]</calculatedColumnFormula>
    </tableColumn>
    <tableColumn id="7" xr3:uid="{AC45B408-0291-4643-A9F1-163E8FB14173}" name="Level (Gas)" dataDxfId="44">
      <calculatedColumnFormula xml:space="preserve"> _xlfn.IFS(gas_cost107135192327313539434755[[#This Row],[Consumption (m3)]] &lt;= R$4, 1, AND(R$4 &lt; gas_cost107135192327313539434755[[#This Row],[Consumption (m3)]], gas_cost107135192327313539434755[[#This Row],[Consumption (m3)]] &lt;= R$5), 2, AND(R$5 &lt; gas_cost107135192327313539434755[[#This Row],[Consumption (m3)]], gas_cost107135192327313539434755[[#This Row],[Consumption (m3)]] &lt;= R$6), 3, gas_cost107135192327313539434755[[#This Row],[Consumption (m3)]] &gt; R$6, 4)</calculatedColumnFormula>
    </tableColumn>
    <tableColumn id="8" xr3:uid="{A1042025-EC96-4416-B575-E999DD7EA26A}" name="Gas Net cost to date_x000a_(TND)" dataDxfId="43">
      <calculatedColumnFormula>_xlfn.IFS(gas_cost107135192327313539434755[[#This Row],[Level (Gas)]]= 1, (gas_cost107135192327313539434755[[#This Row],[Consumption (m3)]] * S$4)/1000, gas_cost107135192327313539434755[[#This Row],[Level (Gas)]] = 2, (gas_cost107135192327313539434755[[#This Row],[Consumption (m3)]] * S$5)/1000,gas_cost107135192327313539434755[[#This Row],[Level (Gas)]] = 3, (gas_cost107135192327313539434755[[#This Row],[Consumption (m3)]] * S$6)/1000, gas_cost107135192327313539434755[[#This Row],[Level (Gas)]] = 4, (gas_cost107135192327313539434755[[#This Row],[Consumption (m3)]] * S$7)/1000)</calculatedColumnFormula>
    </tableColumn>
    <tableColumn id="9" xr3:uid="{72A28EE4-14A8-490E-815F-A71AC8C6EEAE}" name="Gas Cost to date  VAT included_x000a_(TND)_x000a_" dataDxfId="42">
      <calculatedColumnFormula xml:space="preserve"> gas_cost107135192327313539434755[[#This Row],[Gas Net cost to date
(TND)]]* (1 + E$5)</calculatedColumnFormula>
    </tableColumn>
    <tableColumn id="11" xr3:uid="{D6E9BA32-4470-4D0C-98CF-7E9A32A15593}" name="Gas Average cost _x000a_ trend per day (TND)" dataDxfId="41">
      <calculatedColumnFormula>(gas_cost107135192327313539434755[[#This Row],[Gas Cost to date  VAT included
(TND)
]] - T17)/_xlfn.DAYS(electricity_cost[[#This Row],[Date of reading 
(Elect)]], G17)</calculatedColumnFormula>
    </tableColumn>
    <tableColumn id="6" xr3:uid="{23931059-D243-4F8D-A525-54A7A97D0ABE}" name="Average Gas consumption (m3) _x000a_trend per day" dataDxfId="40">
      <calculatedColumnFormula>(gas_cost107135192327313539434755[[#This Row],[Consumption (m3)]] - Q17)/_xlfn.DAYS(electricity_cost311[[#This Row],[Date of reading 
(Elect + Gas)]], G17)</calculatedColumnFormula>
    </tableColumn>
    <tableColumn id="12" xr3:uid="{05E37BD1-61B2-4037-92D3-967927DB7BBA}" name="Total to pay to date_x000a_(TND)_x000a_- Predicted -" dataDxfId="39" dataCellStyle="Bad">
      <calculatedColumnFormula xml:space="preserve"> E$8 + ((electricity_cost3114182226303438424654[[#This Row],[Elect. Net cost to date
(TND)]] + E$6 + gas_cost107135192327313539434755[[#This Row],[Gas Net cost to date
(TND)]] + E$7) * (1 + E$5))</calculatedColumnFormula>
    </tableColumn>
    <tableColumn id="5" xr3:uid="{C7D95ECE-778B-46EB-909C-CFD9A0E1187B}" name="Actual bill_x000a_Check Sep. 3rd" dataDxfId="38" dataCellStyle="Bad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52ED011-0987-41A6-AE4A-77442B813D4F}" name="electricity_prices81416202428323640444856" displayName="electricity_prices81416202428323640444856" ref="I3:L7" totalsRowShown="0">
  <autoFilter ref="I3:L7" xr:uid="{5AB888DB-02CC-4F14-B19D-3AB27D4F2D4A}"/>
  <tableColumns count="4">
    <tableColumn id="1" xr3:uid="{5C8A293F-385F-4ADF-BA1B-57AA6A429705}" name="Range level"/>
    <tableColumn id="2" xr3:uid="{2DD3B87C-F4AF-490C-A454-1B23D0B96F50}" name="From (KWh)"/>
    <tableColumn id="3" xr3:uid="{5480E414-F6BE-4B65-BD19-2F9392D08344}" name="To (KWh)"/>
    <tableColumn id="4" xr3:uid="{6484DB3F-B8AC-4A89-B2E6-007A2F6CC451}" name="Unit Price_x000a_ (millimes)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2BEB2463-8F38-4A2B-947A-8853F4222ABE}" name="gas_prices1291517212529333741454957" displayName="gas_prices1291517212529333741454957" ref="P3:S7" totalsRowShown="0">
  <autoFilter ref="P3:S7" xr:uid="{33191397-2B22-4E7F-A8D7-60F57B49864B}"/>
  <tableColumns count="4">
    <tableColumn id="1" xr3:uid="{3792F174-96E0-4F1D-BD8A-57E17E8265D3}" name="Range level"/>
    <tableColumn id="2" xr3:uid="{A8FD214B-CFE9-4AA9-AD37-F0ADC742378B}" name="From (m3)"/>
    <tableColumn id="3" xr3:uid="{D3EA78C1-81F6-4FF8-B041-76372C23D341}" name="To (m3)"/>
    <tableColumn id="4" xr3:uid="{014D2FCA-39D1-4D02-BAFD-614110CCE7EE}" name="Unit Price_x000a_ (millimes)"/>
  </tableColumns>
  <tableStyleInfo name="TableStyleMedium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927F7601-E4C7-4F04-A84E-9BFA9B4A7292}" name="electricity_cost311418222630343842465450" displayName="electricity_cost311418222630343842465450" ref="B17:L28" totalsRowShown="0" headerRowDxfId="37">
  <autoFilter ref="B17:L28" xr:uid="{E718A71B-190B-4D89-A63E-1E995D9556B1}"/>
  <tableColumns count="11">
    <tableColumn id="1" xr3:uid="{CF70B26F-DD50-4B51-9ADF-048F8BCF4681}" name="Original index _x000a_(KWh)" dataDxfId="19"/>
    <tableColumn id="2" xr3:uid="{B3852805-D398-43BB-A652-7877DCBA383F}" name="Date of previous _x000a_reading (Elect)" dataDxfId="36"/>
    <tableColumn id="3" xr3:uid="{68E64C5A-0D8A-4AA3-ABCB-D417FBF9DDCA}" name="Date of next _x000a_reading (Elect)" dataDxfId="35"/>
    <tableColumn id="4" xr3:uid="{DF6CF37C-B146-4035-AF39-6CEEDB62BA3A}" name=" Index (KWh)"/>
    <tableColumn id="10" xr3:uid="{F718C33C-C17E-4CF3-950C-0E1DEC8F5DE7}" name="Consumption to date (KWh)" dataDxfId="34">
      <calculatedColumnFormula>electricity_cost311418222630343842465450[[#This Row],[ Index (KWh)]]-electricity_cost311418222630343842465450[[#This Row],[Original index 
(KWh)]]</calculatedColumnFormula>
    </tableColumn>
    <tableColumn id="5" xr3:uid="{F24EB6FE-FEBF-43EA-94C5-4175DE343ADD}" name="Date of reading _x000a_(Elect + Gas)"/>
    <tableColumn id="7" xr3:uid="{FD18F4DF-DF2B-4740-A16B-45D4A126EEF0}" name="Level (Elect)" dataDxfId="33">
      <calculatedColumnFormula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calculatedColumnFormula>
    </tableColumn>
    <tableColumn id="8" xr3:uid="{E8A78FA7-A1BF-4F0C-968C-73BB3E1DC8D8}" name="Elect. Net cost to date_x000a_(TND)" dataDxfId="32">
      <calculatedColumnFormula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calculatedColumnFormula>
    </tableColumn>
    <tableColumn id="9" xr3:uid="{C731D694-7F6C-4606-B09D-342174B95921}" name="Elect. Cost  VAT included_x000a_(TND)_x000a_" dataDxfId="31">
      <calculatedColumnFormula xml:space="preserve"> (E$6 + electricity_cost311418222630343842465450[[#This Row],[Elect. Net cost to date
(TND)]]) * (1 + E$5)</calculatedColumnFormula>
    </tableColumn>
    <tableColumn id="11" xr3:uid="{6ECC3815-C92A-4CEF-971B-3CA336D532CA}" name="Elect. Average cost (TND)_x000a_trend per day" dataDxfId="30">
      <calculatedColumnFormula>electricity_cost311418222630343842465450[[#This Row],[Elect. Cost  VAT included
(TND)
]]-J17/(electricity_cost311418222630343842465450[[#This Row],[Date of reading 
(Elect + Gas)]]-G17)</calculatedColumnFormula>
    </tableColumn>
    <tableColumn id="12" xr3:uid="{C7FD5634-59D4-476C-A0CE-080E72AA6DEC}" name="Average energy consumption (KWh) _x000a_trend per day" dataDxfId="29">
      <calculatedColumnFormula>(electricity_cost311418222630343842465450[[#This Row],[Consumption to date (KWh)]] - F17)/_xlfn.DAYS(electricity_cost311418222630343842465450[[#This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8C9D99F1-22E0-4C25-825B-C58832CF4166}" name="gas_cost10713519232731353943475551" displayName="gas_cost10713519232731353943475551" ref="M17:X28" totalsRowShown="0" headerRowDxfId="28" headerRowCellStyle="Bad" dataCellStyle="Bad">
  <autoFilter ref="M17:X28" xr:uid="{E29A6456-D2E1-4D39-BD9F-803C539EB91A}"/>
  <tableColumns count="12">
    <tableColumn id="1" xr3:uid="{D3104D46-CF8D-40D8-8CBB-86234E659E44}" name="Original index _x000a_(m3)"/>
    <tableColumn id="2" xr3:uid="{1DFE1FA4-4F99-4146-B6B2-A89FEA7A4F63}" name="Date of previous _x000a_reading (Gas)"/>
    <tableColumn id="3" xr3:uid="{85E0FE44-4741-4474-84A0-54BCE620E5A1}" name="Date of next _x000a_reading (Gas)"/>
    <tableColumn id="4" xr3:uid="{5E585C65-6A25-4EC3-B32F-3DB37C2573E3}" name=" Index (m3)"/>
    <tableColumn id="10" xr3:uid="{57E59939-32CA-44CA-97A9-702B58D6F873}" name="Consumption (m3)" dataDxfId="27">
      <calculatedColumnFormula>gas_cost10713519232731353943475551[[#This Row],[ Index (m3)]] - gas_cost10713519232731353943475551[[#This Row],[Original index 
(m3)]]</calculatedColumnFormula>
    </tableColumn>
    <tableColumn id="7" xr3:uid="{435417B4-BB40-4A38-ACF2-3690C3787D0F}" name="Level (Gas)" dataDxfId="26">
      <calculatedColumnFormula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calculatedColumnFormula>
    </tableColumn>
    <tableColumn id="8" xr3:uid="{F85CCA04-D0CC-4656-8C4A-1122426D454C}" name="Gas Net cost to date_x000a_(TND)" dataDxfId="25">
      <calculatedColumnFormula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calculatedColumnFormula>
    </tableColumn>
    <tableColumn id="9" xr3:uid="{ECD658BF-1DD1-4CDA-9CEA-A76E106C9322}" name="Gas Cost to date  VAT included_x000a_(TND)_x000a_" dataDxfId="24">
      <calculatedColumnFormula xml:space="preserve"> gas_cost10713519232731353943475551[[#This Row],[Gas Net cost to date
(TND)]]* (1 + E$5)</calculatedColumnFormula>
    </tableColumn>
    <tableColumn id="11" xr3:uid="{1A5459F9-5B90-4DFB-BF70-87C5C4A0C6FA}" name="Gas Average cost _x000a_ trend per day (TND)" dataDxfId="23">
      <calculatedColumnFormula>(gas_cost10713519232731353943475551[[#This Row],[Gas Cost to date  VAT included
(TND)
]] - T17)/_xlfn.DAYS(electricity_cost[[#This Row],[Date of reading 
(Elect)]], G17)</calculatedColumnFormula>
    </tableColumn>
    <tableColumn id="6" xr3:uid="{052E08C7-A7AC-4FD5-AFAB-130F78CB3E74}" name="Average Gas consumption (m3) _x000a_trend per day" dataDxfId="22">
      <calculatedColumnFormula>(gas_cost10713519232731353943475551[[#This Row],[Consumption (m3)]] - Q17)/_xlfn.DAYS(electricity_cost311[[#This Row],[Date of reading 
(Elect + Gas)]], G17)</calculatedColumnFormula>
    </tableColumn>
    <tableColumn id="12" xr3:uid="{D46E3BD1-9888-42D1-AC8B-78526323A1E7}" name="Total to pay to date_x000a_(TND)_x000a_- Predicted -" dataDxfId="21" dataCellStyle="Bad">
      <calculatedColumnFormula xml:space="preserve"> E$8 + ((electricity_cost311418222630343842465450[[#This Row],[Elect. Net cost to date
(TND)]] + E$6 + gas_cost10713519232731353943475551[[#This Row],[Gas Net cost to date
(TND)]] + E$7) * (1 + E$5))</calculatedColumnFormula>
    </tableColumn>
    <tableColumn id="5" xr3:uid="{A7F07556-4F66-48A9-9123-F75CCD7096F7}" name="Actual bill_x000a_Check Sep. 3rd" dataDxfId="20" dataCellStyle="Bad"/>
  </tableColumns>
  <tableStyleInfo name="TableStyleMedium3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658A50B-F42B-4FEA-BB78-B9A82E0CB46B}" name="electricity_prices8141620242832364044485652" displayName="electricity_prices8141620242832364044485652" ref="I3:L7" totalsRowShown="0">
  <autoFilter ref="I3:L7" xr:uid="{5AB888DB-02CC-4F14-B19D-3AB27D4F2D4A}"/>
  <tableColumns count="4">
    <tableColumn id="1" xr3:uid="{C0118DAE-FCD4-4959-9E2B-6AC25BB2BC20}" name="Range level"/>
    <tableColumn id="2" xr3:uid="{F78507E7-67FE-4432-9BC0-46912CA92035}" name="From (KWh)"/>
    <tableColumn id="3" xr3:uid="{59E25F80-D11E-4BFD-BCAD-C8D0AB3B577C}" name="To (KWh)"/>
    <tableColumn id="4" xr3:uid="{5A96329C-BC06-4802-A7CF-5F00A7FEF509}" name="Unit Price_x000a_ (millimes)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A938DFE-ED19-4B22-8753-9376184F8FFD}" name="gas_prices129151721252933374145495753" displayName="gas_prices129151721252933374145495753" ref="P3:S7" totalsRowShown="0">
  <autoFilter ref="P3:S7" xr:uid="{33191397-2B22-4E7F-A8D7-60F57B49864B}"/>
  <tableColumns count="4">
    <tableColumn id="1" xr3:uid="{CA312CAB-B177-4CAA-B95E-C9F555666D60}" name="Range level"/>
    <tableColumn id="2" xr3:uid="{0A2FC190-333B-46EE-A45E-B96050BEF92F}" name="From (m3)"/>
    <tableColumn id="3" xr3:uid="{62DE3512-E446-4588-A96D-98BADEDC683B}" name="To (m3)"/>
    <tableColumn id="4" xr3:uid="{07106EF2-3ED1-4421-9B3D-9616237A41EC}" name="Unit Price_x000a_ (millimes)"/>
  </tableColumns>
  <tableStyleInfo name="TableStyleMedium3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8B9F618D-1C89-40ED-8CCC-60186962FAD9}" name="electricity_cost31141822263034384246545058" displayName="electricity_cost31141822263034384246545058" ref="B17:L20" totalsRowShown="0" headerRowDxfId="18">
  <autoFilter ref="B17:L20" xr:uid="{E718A71B-190B-4D89-A63E-1E995D9556B1}"/>
  <tableColumns count="11">
    <tableColumn id="1" xr3:uid="{BCABBAFF-6A53-42BE-AC04-9152396C6986}" name="Original index _x000a_(KWh)" dataDxfId="17"/>
    <tableColumn id="2" xr3:uid="{45D8F7D1-9F09-49C9-A482-574E2F824280}" name="Date of previous _x000a_reading (Elect)" dataDxfId="16"/>
    <tableColumn id="3" xr3:uid="{7DE468F7-6C54-42A6-8FE7-E623920DB563}" name="Date of next _x000a_reading (Elect)" dataDxfId="15"/>
    <tableColumn id="4" xr3:uid="{F87E1A88-50D6-4473-BEF9-41E6D47A942C}" name=" Index (KWh)"/>
    <tableColumn id="10" xr3:uid="{7DF41607-C992-4B87-9B2A-196BE896D669}" name="Consumption to date (KWh)" dataDxfId="14">
      <calculatedColumnFormula>electricity_cost31141822263034384246545058[[#This Row],[ Index (KWh)]]-electricity_cost31141822263034384246545058[[#This Row],[Original index 
(KWh)]]</calculatedColumnFormula>
    </tableColumn>
    <tableColumn id="5" xr3:uid="{49C8026D-579C-4BC3-A81E-598FCC271A3D}" name="Date of reading _x000a_(Elect + Gas)"/>
    <tableColumn id="7" xr3:uid="{1F460A33-6B73-4431-A9B8-9B19E906F105}" name="Level (Elect)" dataDxfId="13">
      <calculatedColumnFormula xml:space="preserve"> _xlfn.IFS(electricity_cost31141822263034384246545058[[#This Row],[Consumption to date (KWh)]] &lt;= K$4, 1, AND(K$4 &lt; electricity_cost31141822263034384246545058[[#This Row],[Consumption to date (KWh)]],  electricity_cost31141822263034384246545058[[#This Row],[Consumption to date (KWh)]]&lt;= K$5), 2, AND(K$5 &lt; electricity_cost31141822263034384246545058[[#This Row],[Consumption to date (KWh)]],  electricity_cost31141822263034384246545058[[#This Row],[Consumption to date (KWh)]]&lt;= K$6), 3, electricity_cost31141822263034384246545058[[#This Row],[Consumption to date (KWh)]] &gt; K$6, 4)</calculatedColumnFormula>
    </tableColumn>
    <tableColumn id="8" xr3:uid="{74198085-922B-4163-8E51-1EF96438084C}" name="Elect. Net cost to date_x000a_(TND)" dataDxfId="12">
      <calculatedColumnFormula>_xlfn.IFS(electricity_cost31141822263034384246545058[[#This Row],[Level (Elect)]]= 1, (electricity_cost31141822263034384246545058[[#This Row],[Consumption to date (KWh)]] * L$4)/1000, electricity_cost31141822263034384246545058[[#This Row],[Level (Elect)]] = 2, (K$4 * L$4 +((electricity_cost31141822263034384246545058[[#This Row],[Consumption to date (KWh)]] - K$4) * L$5))/1000,electricity_cost31141822263034384246545058[[#This Row],[Level (Elect)]] = 3, (K$4 * L$4 + (K$5-J$5) * L$5 + ((electricity_cost31141822263034384246545058[[#This Row],[Consumption to date (KWh)]] - K$5) * L$6))/1000, electricity_cost31141822263034384246545058[[#This Row],[Level (Elect)]] = 4, (K$4 * L$4 + (K$5-J$5) * L$5 + (K$6-J$6) * L$6 + ((electricity_cost31141822263034384246545058[[#This Row],[Consumption to date (KWh)]] - K$6) * L$7))/1000)</calculatedColumnFormula>
    </tableColumn>
    <tableColumn id="9" xr3:uid="{365EF3DB-A472-443D-9122-9C3CB02996D7}" name="Elect. Cost  VAT included_x000a_(TND)_x000a_" dataDxfId="11">
      <calculatedColumnFormula xml:space="preserve"> (E$6 + electricity_cost31141822263034384246545058[[#This Row],[Elect. Net cost to date
(TND)]]) * (1 + E$5)</calculatedColumnFormula>
    </tableColumn>
    <tableColumn id="11" xr3:uid="{64BC7A9E-F1FD-4313-BA5F-386BB55E623B}" name="Elect. Average cost (TND)_x000a_trend per day" dataDxfId="10">
      <calculatedColumnFormula>electricity_cost31141822263034384246545058[[#This Row],[Elect. Cost  VAT included
(TND)
]]-J17/(electricity_cost31141822263034384246545058[[#This Row],[Date of reading 
(Elect + Gas)]]-G17)</calculatedColumnFormula>
    </tableColumn>
    <tableColumn id="12" xr3:uid="{24EED50B-B5C8-407F-B047-F6159010490E}" name="Average energy consumption (KWh) _x000a_trend per day" dataDxfId="9">
      <calculatedColumnFormula>(electricity_cost31141822263034384246545058[[#This Row],[Consumption to date (KWh)]] - F17)/_xlfn.DAYS(electricity_cost31141822263034384246545058[[#This Row],[Date of reading 
(Elect + Gas)]], G17)</calculatedColumnFormula>
    </tableColumn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A35E9DC-7646-4BB2-B72E-ED2D8A8B188E}" name="gas_cost1071351923273135394347555159" displayName="gas_cost1071351923273135394347555159" ref="M17:X20" totalsRowShown="0" headerRowDxfId="8" headerRowCellStyle="Bad" dataCellStyle="Bad">
  <autoFilter ref="M17:X20" xr:uid="{E29A6456-D2E1-4D39-BD9F-803C539EB91A}"/>
  <tableColumns count="12">
    <tableColumn id="1" xr3:uid="{F24403B3-BECE-4A2F-9DA8-E0B8D2747809}" name="Original index _x000a_(m3)"/>
    <tableColumn id="2" xr3:uid="{719ED488-7948-4B55-80F2-7BFE48FC0424}" name="Date of previous _x000a_reading (Gas)"/>
    <tableColumn id="3" xr3:uid="{9464D99D-68F4-4C52-9CBA-A65DC2A480B9}" name="Date of next _x000a_reading (Gas)"/>
    <tableColumn id="4" xr3:uid="{ACC276D7-F3AC-48C8-B4CB-7E4141A31E28}" name=" Index (m3)"/>
    <tableColumn id="10" xr3:uid="{63D7DB06-93F0-40A9-9FB4-760FA744C3D0}" name="Consumption (m3)" dataDxfId="7">
      <calculatedColumnFormula>gas_cost1071351923273135394347555159[[#This Row],[ Index (m3)]] - gas_cost1071351923273135394347555159[[#This Row],[Original index 
(m3)]]</calculatedColumnFormula>
    </tableColumn>
    <tableColumn id="7" xr3:uid="{1BD983A6-1338-40B4-B7C8-7DBDC8BA5473}" name="Level (Gas)" dataDxfId="6">
      <calculatedColumnFormula xml:space="preserve"> _xlfn.IFS(gas_cost1071351923273135394347555159[[#This Row],[Consumption (m3)]] &lt;= R$4, 1, AND(R$4 &lt; gas_cost1071351923273135394347555159[[#This Row],[Consumption (m3)]], gas_cost1071351923273135394347555159[[#This Row],[Consumption (m3)]] &lt;= R$5), 2, AND(R$5 &lt; gas_cost1071351923273135394347555159[[#This Row],[Consumption (m3)]], gas_cost1071351923273135394347555159[[#This Row],[Consumption (m3)]] &lt;= R$6), 3, gas_cost1071351923273135394347555159[[#This Row],[Consumption (m3)]] &gt; R$6, 4)</calculatedColumnFormula>
    </tableColumn>
    <tableColumn id="8" xr3:uid="{D4D707A1-EEC2-4B4A-A7DC-D168D40503E2}" name="Gas Net cost to date_x000a_(TND)" dataDxfId="5">
      <calculatedColumnFormula>_xlfn.IFS(gas_cost1071351923273135394347555159[[#This Row],[Level (Gas)]]= 1, (gas_cost1071351923273135394347555159[[#This Row],[Consumption (m3)]] * S$4)/1000, gas_cost1071351923273135394347555159[[#This Row],[Level (Gas)]] = 2, (gas_cost1071351923273135394347555159[[#This Row],[Consumption (m3)]] * S$5)/1000,gas_cost1071351923273135394347555159[[#This Row],[Level (Gas)]] = 3, (gas_cost1071351923273135394347555159[[#This Row],[Consumption (m3)]] * S$6)/1000, gas_cost1071351923273135394347555159[[#This Row],[Level (Gas)]] = 4, (gas_cost1071351923273135394347555159[[#This Row],[Consumption (m3)]] * S$7)/1000)</calculatedColumnFormula>
    </tableColumn>
    <tableColumn id="9" xr3:uid="{2E97B2BF-9C1B-4F5C-9C9C-90B72FD8FFD8}" name="Gas Cost to date  VAT included_x000a_(TND)_x000a_" dataDxfId="4">
      <calculatedColumnFormula xml:space="preserve"> gas_cost1071351923273135394347555159[[#This Row],[Gas Net cost to date
(TND)]]* (1 + E$5)</calculatedColumnFormula>
    </tableColumn>
    <tableColumn id="11" xr3:uid="{4B9254AE-7853-41A0-AFB4-1E5CEEFF8363}" name="Gas Average cost _x000a_ trend per day (TND)" dataDxfId="3">
      <calculatedColumnFormula>(gas_cost1071351923273135394347555159[[#This Row],[Gas Cost to date  VAT included
(TND)
]] - T17)/_xlfn.DAYS(electricity_cost[[#This Row],[Date of reading 
(Elect)]], G17)</calculatedColumnFormula>
    </tableColumn>
    <tableColumn id="6" xr3:uid="{94C298F4-E6D0-4495-8E92-E11F530F65AE}" name="Average Gas consumption (m3) _x000a_trend per day" dataDxfId="2">
      <calculatedColumnFormula>(gas_cost1071351923273135394347555159[[#This Row],[Consumption (m3)]] - Q17)/_xlfn.DAYS(electricity_cost311[[#This Row],[Date of reading 
(Elect + Gas)]], G17)</calculatedColumnFormula>
    </tableColumn>
    <tableColumn id="12" xr3:uid="{B62F4317-91B5-4223-8B1D-DD311C442E7B}" name="Total to pay to date_x000a_(TND)_x000a_- Predicted -" dataDxfId="1" dataCellStyle="Bad">
      <calculatedColumnFormula xml:space="preserve"> E$8 + ((electricity_cost31141822263034384246545058[[#This Row],[Elect. Net cost to date
(TND)]] + E$6 + gas_cost1071351923273135394347555159[[#This Row],[Gas Net cost to date
(TND)]] + E$7) * (1 + E$5))</calculatedColumnFormula>
    </tableColumn>
    <tableColumn id="5" xr3:uid="{FB471873-81FE-4D75-9914-6B4E4C7FBF85}" name="Actual bill_x000a_Check Sep. 3rd" dataDxfId="0" dataCellStyle="Bad"/>
  </tableColumns>
  <tableStyleInfo name="TableStyleMedium3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9F1151C-17AF-4D17-BD5B-6683A4C91520}" name="electricity_prices814162024283236404448565260" displayName="electricity_prices814162024283236404448565260" ref="I3:L7" totalsRowShown="0">
  <autoFilter ref="I3:L7" xr:uid="{5AB888DB-02CC-4F14-B19D-3AB27D4F2D4A}"/>
  <tableColumns count="4">
    <tableColumn id="1" xr3:uid="{81ABE540-CB5B-48B9-A354-2409D885DB3E}" name="Range level"/>
    <tableColumn id="2" xr3:uid="{B6051CBC-D744-4E0A-9B6A-A95A40EBE7EA}" name="From (KWh)"/>
    <tableColumn id="3" xr3:uid="{63969548-AF07-492F-BFD9-2D8861C15DFF}" name="To (KWh)"/>
    <tableColumn id="4" xr3:uid="{876DB009-3631-4A2B-B32C-44007627FF99}" name="Unit Price_x000a_ (millimes)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CFF9003B-7940-47CC-8DC7-64F35CCB6EB6}" name="gas_prices12915172125293337414549575361" displayName="gas_prices12915172125293337414549575361" ref="P3:S7" totalsRowShown="0">
  <autoFilter ref="P3:S7" xr:uid="{33191397-2B22-4E7F-A8D7-60F57B49864B}"/>
  <tableColumns count="4">
    <tableColumn id="1" xr3:uid="{7631AE37-CA96-43A7-8C16-E6FCD1C19CD5}" name="Range level"/>
    <tableColumn id="2" xr3:uid="{E83D7A6A-33B9-46BB-8488-F04968C50374}" name="From (m3)"/>
    <tableColumn id="3" xr3:uid="{9684A5C0-CFDE-4D71-B74D-4FE0851BA424}" name="To (m3)"/>
    <tableColumn id="4" xr3:uid="{AA7B263F-86DB-41FC-9228-41810734294F}" name="Unit Price_x000a_ (millimes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drawing" Target="../drawings/drawing5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0.xml"/><Relationship Id="rId5" Type="http://schemas.openxmlformats.org/officeDocument/2006/relationships/table" Target="../tables/table39.xml"/><Relationship Id="rId4" Type="http://schemas.openxmlformats.org/officeDocument/2006/relationships/table" Target="../tables/table3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4.xml"/><Relationship Id="rId5" Type="http://schemas.openxmlformats.org/officeDocument/2006/relationships/table" Target="../tables/table43.xml"/><Relationship Id="rId4" Type="http://schemas.openxmlformats.org/officeDocument/2006/relationships/table" Target="../tables/table4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drawing" Target="../drawings/drawing13.xml"/><Relationship Id="rId5" Type="http://schemas.openxmlformats.org/officeDocument/2006/relationships/table" Target="../tables/table52.xml"/><Relationship Id="rId4" Type="http://schemas.openxmlformats.org/officeDocument/2006/relationships/table" Target="../tables/table5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0.xml"/><Relationship Id="rId5" Type="http://schemas.openxmlformats.org/officeDocument/2006/relationships/table" Target="../tables/table59.xml"/><Relationship Id="rId4" Type="http://schemas.openxmlformats.org/officeDocument/2006/relationships/table" Target="../tables/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W66"/>
  <sheetViews>
    <sheetView topLeftCell="F38" zoomScale="55" zoomScaleNormal="55" workbookViewId="0">
      <selection activeCell="V70" sqref="V70"/>
    </sheetView>
  </sheetViews>
  <sheetFormatPr defaultRowHeight="15" x14ac:dyDescent="0.25"/>
  <cols>
    <col min="2" max="2" width="23.140625" customWidth="1"/>
    <col min="3" max="3" width="20.28515625" bestFit="1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bestFit="1" customWidth="1"/>
    <col min="9" max="9" width="16.140625" bestFit="1" customWidth="1"/>
    <col min="10" max="10" width="19.28515625" bestFit="1" customWidth="1"/>
    <col min="11" max="11" width="15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2" customWidth="1"/>
    <col min="22" max="22" width="33.140625" customWidth="1"/>
    <col min="23" max="23" width="13.5703125" customWidth="1"/>
  </cols>
  <sheetData>
    <row r="2" spans="2:23" x14ac:dyDescent="0.25">
      <c r="H2" s="1"/>
      <c r="I2" s="9" t="s">
        <v>1</v>
      </c>
      <c r="P2" s="9" t="s">
        <v>46</v>
      </c>
    </row>
    <row r="3" spans="2:23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V3" t="s">
        <v>29</v>
      </c>
      <c r="W3" t="s">
        <v>35</v>
      </c>
    </row>
    <row r="4" spans="2:23" x14ac:dyDescent="0.25">
      <c r="G4" s="3"/>
      <c r="I4">
        <v>1</v>
      </c>
      <c r="J4">
        <v>1</v>
      </c>
      <c r="K4">
        <v>800</v>
      </c>
      <c r="L4">
        <v>172</v>
      </c>
      <c r="P4">
        <v>1</v>
      </c>
      <c r="Q4">
        <v>1</v>
      </c>
      <c r="R4">
        <v>120</v>
      </c>
      <c r="S4">
        <v>230</v>
      </c>
      <c r="U4" s="19">
        <v>42983</v>
      </c>
      <c r="V4" s="11">
        <v>0</v>
      </c>
      <c r="W4">
        <v>0</v>
      </c>
    </row>
    <row r="5" spans="2:23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203</v>
      </c>
      <c r="P5">
        <v>2</v>
      </c>
      <c r="Q5">
        <v>121</v>
      </c>
      <c r="R5">
        <v>240</v>
      </c>
      <c r="S5">
        <v>290</v>
      </c>
      <c r="U5" s="19">
        <v>42983</v>
      </c>
      <c r="V5">
        <v>400</v>
      </c>
      <c r="W5">
        <v>3000</v>
      </c>
    </row>
    <row r="6" spans="2:23" x14ac:dyDescent="0.25">
      <c r="D6" s="16" t="s">
        <v>14</v>
      </c>
      <c r="E6" s="14">
        <v>14</v>
      </c>
      <c r="I6">
        <v>3</v>
      </c>
      <c r="J6">
        <v>1201</v>
      </c>
      <c r="K6">
        <v>2000</v>
      </c>
      <c r="L6">
        <v>290</v>
      </c>
      <c r="P6">
        <v>3</v>
      </c>
      <c r="Q6">
        <v>381</v>
      </c>
      <c r="R6">
        <v>600</v>
      </c>
      <c r="S6">
        <v>375</v>
      </c>
    </row>
    <row r="7" spans="2:23" x14ac:dyDescent="0.25">
      <c r="D7" s="16" t="s">
        <v>15</v>
      </c>
      <c r="E7" s="14">
        <v>2</v>
      </c>
      <c r="I7">
        <v>4</v>
      </c>
      <c r="J7">
        <v>2001</v>
      </c>
      <c r="L7">
        <v>355</v>
      </c>
      <c r="P7">
        <v>4</v>
      </c>
      <c r="Q7">
        <v>601</v>
      </c>
      <c r="S7">
        <v>439</v>
      </c>
    </row>
    <row r="8" spans="2:23" x14ac:dyDescent="0.25">
      <c r="D8" s="16" t="s">
        <v>12</v>
      </c>
      <c r="E8" s="14">
        <v>7.8760000000000003</v>
      </c>
    </row>
    <row r="9" spans="2:23" ht="15.75" thickBot="1" x14ac:dyDescent="0.3">
      <c r="D9" s="15"/>
      <c r="E9" s="15"/>
    </row>
    <row r="10" spans="2:23" ht="18.75" x14ac:dyDescent="0.3">
      <c r="B10" s="23"/>
      <c r="C10" s="24"/>
      <c r="D10" s="25" t="s">
        <v>32</v>
      </c>
      <c r="E10" s="36">
        <f xml:space="preserve"> INDEX(electricity_cost[Elect. Net cost to date
(TND)], COUNTA(I18:I66), 1) + E6</f>
        <v>241.58699999999999</v>
      </c>
      <c r="G10" s="67" t="s">
        <v>38</v>
      </c>
      <c r="H10" s="67"/>
    </row>
    <row r="11" spans="2:23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36</v>
      </c>
      <c r="I11" s="33" t="s">
        <v>37</v>
      </c>
    </row>
    <row r="12" spans="2:23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1200</v>
      </c>
      <c r="I12" s="34">
        <v>302.27999999999997</v>
      </c>
    </row>
    <row r="13" spans="2:23" ht="15.75" x14ac:dyDescent="0.25">
      <c r="B13" s="68" t="s">
        <v>43</v>
      </c>
      <c r="C13" s="68"/>
      <c r="D13" s="68"/>
      <c r="E13" s="40">
        <v>312</v>
      </c>
      <c r="G13" s="3" t="s">
        <v>40</v>
      </c>
      <c r="H13" s="35">
        <v>1500</v>
      </c>
      <c r="I13" s="35">
        <v>404.7</v>
      </c>
    </row>
    <row r="14" spans="2:23" x14ac:dyDescent="0.25">
      <c r="G14" s="31"/>
    </row>
    <row r="17" spans="2:23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30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48" t="s">
        <v>45</v>
      </c>
      <c r="W17" s="39" t="s">
        <v>41</v>
      </c>
    </row>
    <row r="18" spans="2:23" x14ac:dyDescent="0.25">
      <c r="B18">
        <v>15546</v>
      </c>
      <c r="C18" s="6">
        <v>42859</v>
      </c>
      <c r="D18" s="6">
        <v>42983</v>
      </c>
      <c r="E18">
        <v>15546</v>
      </c>
      <c r="F18">
        <f>electricity_cost[[#This Row],[ Index (KWh)]]-electricity_cost[[#This Row],[Original index 
(KWh)]]</f>
        <v>0</v>
      </c>
      <c r="G18" s="6">
        <v>42859</v>
      </c>
      <c r="H18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18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0</v>
      </c>
      <c r="J18" s="10">
        <f xml:space="preserve"> (E$5 + electricity_cost[[#This Row],[Elect. Net cost to date
(TND)]]) * (1 + F$31)</f>
        <v>106.92</v>
      </c>
      <c r="K18" s="12"/>
      <c r="L18" s="12"/>
      <c r="M18" s="7">
        <v>7978</v>
      </c>
      <c r="N18" s="6"/>
      <c r="O18" s="6"/>
      <c r="P18">
        <v>7978</v>
      </c>
      <c r="Q18" s="11">
        <f>gas_cost10[[#This Row],[ Index (m3)]] - gas_cost10[[#This Row],[Original index 
(m3)]]</f>
        <v>0</v>
      </c>
      <c r="R18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18" s="10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0</v>
      </c>
      <c r="T18" s="10">
        <f xml:space="preserve"> gas_cost10[[#This Row],[Gas Net cost to date
(TND)]]* (1 + E$5)</f>
        <v>0</v>
      </c>
      <c r="U18" s="12"/>
      <c r="V18" s="20">
        <f xml:space="preserve"> E$8 + ((electricity_cost[[#This Row],[Elect. Net cost to date
(TND)]] + E$6 + gas_cost10[[#This Row],[Gas Net cost to date
(TND)]] + E$7) * (1 + E$5))</f>
        <v>26.756</v>
      </c>
      <c r="W18" s="38"/>
    </row>
    <row r="19" spans="2:23" x14ac:dyDescent="0.25">
      <c r="B19" s="7">
        <v>15546</v>
      </c>
      <c r="C19" s="8">
        <v>42859</v>
      </c>
      <c r="D19" s="8">
        <v>42983</v>
      </c>
      <c r="E19" s="7">
        <v>15829</v>
      </c>
      <c r="F19" s="7">
        <f>electricity_cost[[#This Row],[ Index (KWh)]]-electricity_cost[[#This Row],[Original index 
(KWh)]]</f>
        <v>283</v>
      </c>
      <c r="G19" s="8">
        <v>42903</v>
      </c>
      <c r="H19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19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48.676000000000002</v>
      </c>
      <c r="J19" s="10">
        <f xml:space="preserve"> (E$6 + electricity_cost[[#This Row],[Elect. Net cost to date
(TND)]]) * (1 + E$5)</f>
        <v>73.957679999999996</v>
      </c>
      <c r="K19" s="12">
        <f>(electricity_cost[[#This Row],[Elect. Cost  VAT included
(TND)
]]-J18)/_xlfn.DAYS(electricity_cost[[#This Row],[Date of reading 
(Elect)]], G18)</f>
        <v>-0.74914363636363646</v>
      </c>
      <c r="L19" s="12">
        <f>(electricity_cost[[#This Row],[Consumption to date (KWh)]] - F18)/_xlfn.DAYS(electricity_cost[[#This Row],[Date of reading 
(Elect)]], G18)</f>
        <v>6.4318181818181817</v>
      </c>
      <c r="M19" s="7">
        <v>7978</v>
      </c>
      <c r="N19" s="8">
        <v>42859</v>
      </c>
      <c r="O19" s="8">
        <v>42983</v>
      </c>
      <c r="P19" s="7">
        <v>8041</v>
      </c>
      <c r="Q19" s="7">
        <f>gas_cost10[[#This Row],[ Index (m3)]] - gas_cost10[[#This Row],[Original index 
(m3)]]</f>
        <v>63</v>
      </c>
      <c r="R19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19" s="10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14.49</v>
      </c>
      <c r="T19" s="10">
        <f xml:space="preserve"> gas_cost10[[#This Row],[Gas Net cost to date
(TND)]]* (1 + E$5)</f>
        <v>17.098199999999999</v>
      </c>
      <c r="U19" s="12">
        <f>(gas_cost10[[#This Row],[Gas Cost to date  VAT included
(TND)
]] - T18)/_xlfn.DAYS(electricity_cost[[#This Row],[Date of reading 
(Elect)]], G18)</f>
        <v>0.38859545454545452</v>
      </c>
      <c r="V19" s="20">
        <f xml:space="preserve"> E$8 + ((electricity_cost[[#This Row],[Elect. Net cost to date
(TND)]] + E$6 + gas_cost10[[#This Row],[Gas Net cost to date
(TND)]] + E$7) * (1 + E$5))</f>
        <v>101.29187999999999</v>
      </c>
      <c r="W19" s="38"/>
    </row>
    <row r="20" spans="2:23" x14ac:dyDescent="0.25">
      <c r="B20" s="7">
        <v>15546</v>
      </c>
      <c r="C20" s="8">
        <v>42859</v>
      </c>
      <c r="D20" s="8">
        <v>42983</v>
      </c>
      <c r="E20" s="7">
        <v>15877</v>
      </c>
      <c r="F20" s="7">
        <f>electricity_cost[[#This Row],[ Index (KWh)]]-electricity_cost[[#This Row],[Original index 
(KWh)]]</f>
        <v>331</v>
      </c>
      <c r="G20" s="8">
        <v>42905</v>
      </c>
      <c r="H20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0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56.932000000000002</v>
      </c>
      <c r="J20" s="10">
        <f xml:space="preserve"> (E$6 + electricity_cost[[#This Row],[Elect. Net cost to date
(TND)]]) * (1 + E$5)</f>
        <v>83.699759999999998</v>
      </c>
      <c r="K20" s="12">
        <f>(electricity_cost[[#This Row],[Elect. Cost  VAT included
(TND)
]]-J19)/_xlfn.DAYS(electricity_cost[[#This Row],[Date of reading 
(Elect)]], G19)</f>
        <v>4.8710400000000007</v>
      </c>
      <c r="L20" s="12">
        <f>(electricity_cost[[#This Row],[Consumption to date (KWh)]] - F19)/_xlfn.DAYS(electricity_cost[[#This Row],[Date of reading 
(Elect)]], G19)</f>
        <v>24</v>
      </c>
      <c r="M20" s="7">
        <v>7978</v>
      </c>
      <c r="N20" s="8">
        <v>42859</v>
      </c>
      <c r="O20" s="8">
        <v>42983</v>
      </c>
      <c r="P20" s="7">
        <v>8042</v>
      </c>
      <c r="Q20" s="7">
        <f>gas_cost10[[#This Row],[ Index (m3)]] - gas_cost10[[#This Row],[Original index 
(m3)]]</f>
        <v>64</v>
      </c>
      <c r="R20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0" s="10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14.72</v>
      </c>
      <c r="T20" s="10">
        <f xml:space="preserve"> gas_cost10[[#This Row],[Gas Net cost to date
(TND)]]* (1 + E$5)</f>
        <v>17.369599999999998</v>
      </c>
      <c r="U20" s="12">
        <f>(gas_cost10[[#This Row],[Gas Cost to date  VAT included
(TND)
]] - T19)/_xlfn.DAYS(electricity_cost[[#This Row],[Date of reading 
(Elect)]], G19)</f>
        <v>0.13569999999999993</v>
      </c>
      <c r="V20" s="20">
        <f xml:space="preserve"> E$8 + ((electricity_cost[[#This Row],[Elect. Net cost to date
(TND)]] + E$6 + gas_cost10[[#This Row],[Gas Net cost to date
(TND)]] + E$7) * (1 + E$5))</f>
        <v>111.30536000000001</v>
      </c>
      <c r="W20" s="38"/>
    </row>
    <row r="21" spans="2:23" x14ac:dyDescent="0.25">
      <c r="B21">
        <v>15546</v>
      </c>
      <c r="C21" s="6">
        <v>42859</v>
      </c>
      <c r="D21" s="6">
        <v>42983</v>
      </c>
      <c r="E21">
        <v>15955</v>
      </c>
      <c r="F21">
        <f>electricity_cost[[#This Row],[ Index (KWh)]]-electricity_cost[[#This Row],[Original index 
(KWh)]]</f>
        <v>409</v>
      </c>
      <c r="G21" s="6">
        <v>42909</v>
      </c>
      <c r="H21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1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70.347999999999999</v>
      </c>
      <c r="J21" s="10">
        <f xml:space="preserve"> (E$6 + electricity_cost[[#This Row],[Elect. Net cost to date
(TND)]]) * (1 + E$5)</f>
        <v>99.530639999999991</v>
      </c>
      <c r="K21" s="12">
        <f>(electricity_cost[[#This Row],[Elect. Cost  VAT included
(TND)
]]-J20)/_xlfn.DAYS(electricity_cost[[#This Row],[Date of reading 
(Elect)]], G20)</f>
        <v>3.9577199999999984</v>
      </c>
      <c r="L21" s="12">
        <f>(electricity_cost[[#This Row],[Consumption to date (KWh)]] - F20)/_xlfn.DAYS(electricity_cost[[#This Row],[Date of reading 
(Elect)]], G20)</f>
        <v>19.5</v>
      </c>
      <c r="M21" s="7">
        <v>7978</v>
      </c>
      <c r="N21" s="6">
        <v>42859</v>
      </c>
      <c r="O21" s="6">
        <v>42983</v>
      </c>
      <c r="P21">
        <v>8047</v>
      </c>
      <c r="Q21" s="11">
        <f>gas_cost10[[#This Row],[ Index (m3)]] - gas_cost10[[#This Row],[Original index 
(m3)]]</f>
        <v>69</v>
      </c>
      <c r="R2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1" s="10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15.87</v>
      </c>
      <c r="T21" s="10">
        <f xml:space="preserve"> gas_cost10[[#This Row],[Gas Net cost to date
(TND)]]* (1 + E$5)</f>
        <v>18.726599999999998</v>
      </c>
      <c r="U21" s="12">
        <f>(gas_cost10[[#This Row],[Gas Cost to date  VAT included
(TND)
]] - T20)/_xlfn.DAYS(electricity_cost[[#This Row],[Date of reading 
(Elect)]], G20)</f>
        <v>0.33924999999999983</v>
      </c>
      <c r="V21" s="20">
        <f xml:space="preserve"> E$8 + ((electricity_cost[[#This Row],[Elect. Net cost to date
(TND)]] + E$6 + gas_cost10[[#This Row],[Gas Net cost to date
(TND)]] + E$7) * (1 + E$5))</f>
        <v>128.49323999999999</v>
      </c>
      <c r="W21" s="38"/>
    </row>
    <row r="22" spans="2:23" x14ac:dyDescent="0.25">
      <c r="B22">
        <v>15546</v>
      </c>
      <c r="C22" s="6">
        <v>42860</v>
      </c>
      <c r="D22" s="6">
        <v>42983</v>
      </c>
      <c r="E22">
        <v>15977</v>
      </c>
      <c r="F22">
        <f>electricity_cost[[#This Row],[ Index (KWh)]]-electricity_cost[[#This Row],[Original index 
(KWh)]]</f>
        <v>431</v>
      </c>
      <c r="G22" s="6">
        <v>42910</v>
      </c>
      <c r="H22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2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74.132000000000005</v>
      </c>
      <c r="J22" s="10">
        <f xml:space="preserve"> (E$6 + electricity_cost[[#This Row],[Elect. Net cost to date
(TND)]]) * (1 + E$5)</f>
        <v>103.99576</v>
      </c>
      <c r="K22" s="12">
        <f>(electricity_cost[[#This Row],[Elect. Cost  VAT included
(TND)
]]-J21)/_xlfn.DAYS(electricity_cost[[#This Row],[Date of reading 
(Elect)]], G21)</f>
        <v>4.4651200000000131</v>
      </c>
      <c r="L22" s="12">
        <f>(electricity_cost[[#This Row],[Consumption to date (KWh)]] - F21)/_xlfn.DAYS(electricity_cost[[#This Row],[Date of reading 
(Elect)]], G21)</f>
        <v>22</v>
      </c>
      <c r="M22" s="7">
        <v>7978</v>
      </c>
      <c r="N22" s="6"/>
      <c r="O22" s="6"/>
      <c r="P22">
        <v>8048</v>
      </c>
      <c r="Q22" s="11">
        <f>gas_cost10[[#This Row],[ Index (m3)]] - gas_cost10[[#This Row],[Original index 
(m3)]]</f>
        <v>70</v>
      </c>
      <c r="R22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2" s="10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16.100000000000001</v>
      </c>
      <c r="T22" s="10">
        <f xml:space="preserve"> gas_cost10[[#This Row],[Gas Net cost to date
(TND)]]* (1 + E$5)</f>
        <v>18.998000000000001</v>
      </c>
      <c r="U22" s="12">
        <f>(gas_cost10[[#This Row],[Gas Cost to date  VAT included
(TND)
]] - T21)/_xlfn.DAYS(electricity_cost[[#This Row],[Date of reading 
(Elect)]], G21)</f>
        <v>0.27140000000000342</v>
      </c>
      <c r="V22" s="20">
        <f xml:space="preserve"> E$8 + ((electricity_cost[[#This Row],[Elect. Net cost to date
(TND)]] + E$6 + gas_cost10[[#This Row],[Gas Net cost to date
(TND)]] + E$7) * (1 + E$5))</f>
        <v>133.22976</v>
      </c>
      <c r="W22" s="38"/>
    </row>
    <row r="23" spans="2:23" x14ac:dyDescent="0.25">
      <c r="B23">
        <v>15546</v>
      </c>
      <c r="C23" s="6">
        <v>42860</v>
      </c>
      <c r="D23" s="6">
        <v>42983</v>
      </c>
      <c r="E23">
        <v>16005</v>
      </c>
      <c r="F23" s="11">
        <f>electricity_cost[[#This Row],[ Index (KWh)]]-electricity_cost[[#This Row],[Original index 
(KWh)]]</f>
        <v>459</v>
      </c>
      <c r="G23" s="6">
        <v>42913</v>
      </c>
      <c r="H23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3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78.947999999999993</v>
      </c>
      <c r="J23" s="10">
        <f xml:space="preserve"> (E$6 + electricity_cost[[#This Row],[Elect. Net cost to date
(TND)]]) * (1 + E$5)</f>
        <v>109.67863999999999</v>
      </c>
      <c r="K23" s="12">
        <f>(electricity_cost[[#This Row],[Elect. Cost  VAT included
(TND)
]]-J22)/_xlfn.DAYS(electricity_cost[[#This Row],[Date of reading 
(Elect)]], G22)</f>
        <v>1.8942933333333276</v>
      </c>
      <c r="L23" s="12">
        <f>(electricity_cost[[#This Row],[Consumption to date (KWh)]] - F22)/_xlfn.DAYS(electricity_cost[[#This Row],[Date of reading 
(Elect)]], G22)</f>
        <v>9.3333333333333339</v>
      </c>
      <c r="M23" s="7">
        <v>7978</v>
      </c>
      <c r="N23" s="6"/>
      <c r="O23" s="6"/>
      <c r="P23">
        <v>8049</v>
      </c>
      <c r="Q23" s="11">
        <f>gas_cost10[[#This Row],[ Index (m3)]] - gas_cost10[[#This Row],[Original index 
(m3)]]</f>
        <v>71</v>
      </c>
      <c r="R23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3" s="10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16.329999999999998</v>
      </c>
      <c r="T23" s="10">
        <f xml:space="preserve"> gas_cost10[[#This Row],[Gas Net cost to date
(TND)]]* (1 + E$5)</f>
        <v>19.269399999999997</v>
      </c>
      <c r="U23" s="12">
        <f>(gas_cost10[[#This Row],[Gas Cost to date  VAT included
(TND)
]] - T22)/_xlfn.DAYS(electricity_cost[[#This Row],[Date of reading 
(Elect)]], G22)</f>
        <v>9.0466666666665432E-2</v>
      </c>
      <c r="V23" s="20">
        <f xml:space="preserve"> E$8 + ((electricity_cost[[#This Row],[Elect. Net cost to date
(TND)]] + E$6 + gas_cost10[[#This Row],[Gas Net cost to date
(TND)]] + E$7) * (1 + E$5))</f>
        <v>139.18403999999998</v>
      </c>
      <c r="W23" s="38"/>
    </row>
    <row r="24" spans="2:23" x14ac:dyDescent="0.25">
      <c r="B24">
        <v>15546</v>
      </c>
      <c r="C24" s="6">
        <v>42860</v>
      </c>
      <c r="D24" s="6">
        <v>42983</v>
      </c>
      <c r="E24">
        <v>16027</v>
      </c>
      <c r="F24" s="11">
        <f>electricity_cost[[#This Row],[ Index (KWh)]]-electricity_cost[[#This Row],[Original index 
(KWh)]]</f>
        <v>481</v>
      </c>
      <c r="G24" s="6">
        <v>42914</v>
      </c>
      <c r="H24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4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82.731999999999999</v>
      </c>
      <c r="J24" s="10">
        <f xml:space="preserve"> (E$6 + electricity_cost[[#This Row],[Elect. Net cost to date
(TND)]]) * (1 + E$5)</f>
        <v>114.14375999999999</v>
      </c>
      <c r="K24" s="12">
        <f>(electricity_cost[[#This Row],[Elect. Cost  VAT included
(TND)
]]-J23)/_xlfn.DAYS(electricity_cost[[#This Row],[Date of reading 
(Elect)]], G23)</f>
        <v>4.4651199999999989</v>
      </c>
      <c r="L24" s="12">
        <f>(electricity_cost[[#This Row],[Consumption to date (KWh)]] - F23)/_xlfn.DAYS(electricity_cost[[#This Row],[Date of reading 
(Elect)]], G23)</f>
        <v>22</v>
      </c>
      <c r="M24" s="7">
        <v>7978</v>
      </c>
      <c r="P24">
        <v>8049.8829999999998</v>
      </c>
      <c r="Q24" s="11">
        <f>gas_cost10[[#This Row],[ Index (m3)]] - gas_cost10[[#This Row],[Original index 
(m3)]]</f>
        <v>71.882999999999811</v>
      </c>
      <c r="R24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4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16.533089999999955</v>
      </c>
      <c r="T24" s="12">
        <f xml:space="preserve"> gas_cost10[[#This Row],[Gas Net cost to date
(TND)]]* (1 + E$5)</f>
        <v>19.509046199999947</v>
      </c>
      <c r="U24" s="12">
        <f>(gas_cost10[[#This Row],[Gas Cost to date  VAT included
(TND)
]] - T23)/_xlfn.DAYS(electricity_cost[[#This Row],[Date of reading 
(Elect)]], G23)</f>
        <v>0.23964619999994952</v>
      </c>
      <c r="V24" s="20">
        <f xml:space="preserve"> E$8 + ((electricity_cost[[#This Row],[Elect. Net cost to date
(TND)]] + E$6 + gas_cost10[[#This Row],[Gas Net cost to date
(TND)]] + E$7) * (1 + E$5))</f>
        <v>143.88880619999995</v>
      </c>
      <c r="W24" s="38"/>
    </row>
    <row r="25" spans="2:23" ht="15" customHeight="1" x14ac:dyDescent="0.25">
      <c r="B25">
        <v>15546</v>
      </c>
      <c r="C25" s="6">
        <v>42860</v>
      </c>
      <c r="D25" s="6">
        <v>42983</v>
      </c>
      <c r="E25">
        <v>16059</v>
      </c>
      <c r="F25" s="11">
        <f>electricity_cost[[#This Row],[ Index (KWh)]]-electricity_cost[[#This Row],[Original index 
(KWh)]]</f>
        <v>513</v>
      </c>
      <c r="G25" s="6">
        <v>42915</v>
      </c>
      <c r="H25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5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88.236000000000004</v>
      </c>
      <c r="J25" s="10">
        <f xml:space="preserve"> (E$6 + electricity_cost[[#This Row],[Elect. Net cost to date
(TND)]]) * (1 + E$5)</f>
        <v>120.63848</v>
      </c>
      <c r="K25" s="12">
        <f>(electricity_cost[[#This Row],[Elect. Cost  VAT included
(TND)
]]-J24)/_xlfn.DAYS(electricity_cost[[#This Row],[Date of reading 
(Elect)]], G24)</f>
        <v>6.4947200000000151</v>
      </c>
      <c r="L25" s="12">
        <f>(electricity_cost[[#This Row],[Consumption to date (KWh)]] - F24)/_xlfn.DAYS(electricity_cost[[#This Row],[Date of reading 
(Elect)]], G24)</f>
        <v>32</v>
      </c>
      <c r="M25" s="7">
        <v>7978</v>
      </c>
      <c r="P25">
        <v>8050.93</v>
      </c>
      <c r="Q25" s="11">
        <f>gas_cost10[[#This Row],[ Index (m3)]] - gas_cost10[[#This Row],[Original index 
(m3)]]</f>
        <v>72.930000000000291</v>
      </c>
      <c r="R25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5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16.773900000000069</v>
      </c>
      <c r="T25" s="12">
        <f xml:space="preserve"> gas_cost10[[#This Row],[Gas Net cost to date
(TND)]]* (1 + E$5)</f>
        <v>19.793202000000079</v>
      </c>
      <c r="U25" s="12">
        <f>(gas_cost10[[#This Row],[Gas Cost to date  VAT included
(TND)
]] - T24)/_xlfn.DAYS(electricity_cost[[#This Row],[Date of reading 
(Elect)]], G24)</f>
        <v>0.28415580000013207</v>
      </c>
      <c r="V25" s="20">
        <f xml:space="preserve"> E$8 + ((electricity_cost[[#This Row],[Elect. Net cost to date
(TND)]] + E$6 + gas_cost10[[#This Row],[Gas Net cost to date
(TND)]] + E$7) * (1 + E$5))</f>
        <v>150.66768200000007</v>
      </c>
      <c r="W25" s="38"/>
    </row>
    <row r="26" spans="2:23" ht="15.75" customHeight="1" x14ac:dyDescent="0.25">
      <c r="B26">
        <v>15546</v>
      </c>
      <c r="C26" s="6">
        <v>42860</v>
      </c>
      <c r="D26" s="6">
        <v>42983</v>
      </c>
      <c r="E26">
        <v>16081</v>
      </c>
      <c r="F26" s="11">
        <f>electricity_cost[[#This Row],[ Index (KWh)]]-electricity_cost[[#This Row],[Original index 
(KWh)]]</f>
        <v>535</v>
      </c>
      <c r="G26" s="6">
        <v>42916</v>
      </c>
      <c r="H26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6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92.02</v>
      </c>
      <c r="J26" s="10">
        <f xml:space="preserve"> (E$6 + electricity_cost[[#This Row],[Elect. Net cost to date
(TND)]]) * (1 + E$5)</f>
        <v>125.10359999999999</v>
      </c>
      <c r="K26" s="12">
        <f>(electricity_cost[[#This Row],[Elect. Cost  VAT included
(TND)
]]-J25)/_xlfn.DAYS(electricity_cost[[#This Row],[Date of reading 
(Elect)]], G25)</f>
        <v>4.4651199999999847</v>
      </c>
      <c r="L26" s="12">
        <f>(electricity_cost[[#This Row],[Consumption to date (KWh)]] - F25)/_xlfn.DAYS(electricity_cost[[#This Row],[Date of reading 
(Elect)]], G25)</f>
        <v>22</v>
      </c>
      <c r="M26" s="7">
        <v>7978</v>
      </c>
      <c r="P26">
        <v>8052</v>
      </c>
      <c r="Q26" s="11">
        <f>gas_cost10[[#This Row],[ Index (m3)]] - gas_cost10[[#This Row],[Original index 
(m3)]]</f>
        <v>74</v>
      </c>
      <c r="R26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6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17.02</v>
      </c>
      <c r="T26" s="12">
        <f xml:space="preserve"> gas_cost10[[#This Row],[Gas Net cost to date
(TND)]]* (1 + E$5)</f>
        <v>20.083599999999997</v>
      </c>
      <c r="U26" s="12">
        <f>(gas_cost10[[#This Row],[Gas Cost to date  VAT included
(TND)
]] - T25)/_xlfn.DAYS(electricity_cost[[#This Row],[Date of reading 
(Elect)]], G25)</f>
        <v>0.290397999999918</v>
      </c>
      <c r="V26" s="20">
        <f xml:space="preserve"> E$8 + ((electricity_cost[[#This Row],[Elect. Net cost to date
(TND)]] + E$6 + gas_cost10[[#This Row],[Gas Net cost to date
(TND)]] + E$7) * (1 + E$5))</f>
        <v>155.42319999999998</v>
      </c>
      <c r="W26" s="38"/>
    </row>
    <row r="27" spans="2:23" ht="15" customHeight="1" x14ac:dyDescent="0.25">
      <c r="B27">
        <v>15546</v>
      </c>
      <c r="C27" s="6">
        <v>42860</v>
      </c>
      <c r="D27" s="6">
        <v>42983</v>
      </c>
      <c r="E27">
        <v>16097</v>
      </c>
      <c r="F27" s="11">
        <f>electricity_cost[[#This Row],[ Index (KWh)]]-electricity_cost[[#This Row],[Original index 
(KWh)]]</f>
        <v>551</v>
      </c>
      <c r="G27" s="6">
        <v>42917</v>
      </c>
      <c r="H27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7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94.772000000000006</v>
      </c>
      <c r="J27" s="10">
        <f xml:space="preserve"> (E$6 + electricity_cost[[#This Row],[Elect. Net cost to date
(TND)]]) * (1 + E$5)</f>
        <v>128.35095999999999</v>
      </c>
      <c r="K27" s="12">
        <f>(electricity_cost[[#This Row],[Elect. Cost  VAT included
(TND)
]]-J26)/_xlfn.DAYS(electricity_cost[[#This Row],[Date of reading 
(Elect)]], G26)</f>
        <v>3.2473600000000005</v>
      </c>
      <c r="L27" s="12">
        <f>(electricity_cost[[#This Row],[Consumption to date (KWh)]] - F26)/_xlfn.DAYS(electricity_cost[[#This Row],[Date of reading 
(Elect)]], G26)</f>
        <v>16</v>
      </c>
      <c r="M27" s="7">
        <v>7978</v>
      </c>
      <c r="P27">
        <v>8053</v>
      </c>
      <c r="Q27" s="11">
        <f>gas_cost10[[#This Row],[ Index (m3)]] - gas_cost10[[#This Row],[Original index 
(m3)]]</f>
        <v>75</v>
      </c>
      <c r="R27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7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17.25</v>
      </c>
      <c r="T27" s="12">
        <f xml:space="preserve"> gas_cost10[[#This Row],[Gas Net cost to date
(TND)]]* (1 + E$5)</f>
        <v>20.355</v>
      </c>
      <c r="U27" s="12">
        <f>(gas_cost10[[#This Row],[Gas Cost to date  VAT included
(TND)
]] - T26)/_xlfn.DAYS(electricity_cost[[#This Row],[Date of reading 
(Elect)]], G26)</f>
        <v>0.27140000000000342</v>
      </c>
      <c r="V27" s="20">
        <f xml:space="preserve"> E$8 + ((electricity_cost[[#This Row],[Elect. Net cost to date
(TND)]] + E$6 + gas_cost10[[#This Row],[Gas Net cost to date
(TND)]] + E$7) * (1 + E$5))</f>
        <v>158.94195999999999</v>
      </c>
      <c r="W27" s="38"/>
    </row>
    <row r="28" spans="2:23" x14ac:dyDescent="0.25">
      <c r="B28">
        <v>15546</v>
      </c>
      <c r="C28" s="6">
        <v>42860</v>
      </c>
      <c r="D28" s="6">
        <v>42983</v>
      </c>
      <c r="E28">
        <v>16100</v>
      </c>
      <c r="F28" s="11">
        <f>electricity_cost[[#This Row],[ Index (KWh)]]-electricity_cost[[#This Row],[Original index 
(KWh)]]</f>
        <v>554</v>
      </c>
      <c r="G28" s="6">
        <v>42918</v>
      </c>
      <c r="H28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8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95.287999999999997</v>
      </c>
      <c r="J28" s="10">
        <f xml:space="preserve"> (E$6 + electricity_cost[[#This Row],[Elect. Net cost to date
(TND)]]) * (1 + E$5)</f>
        <v>128.95983999999999</v>
      </c>
      <c r="K28" s="12">
        <f>(electricity_cost[[#This Row],[Elect. Cost  VAT included
(TND)
]]-J27)/_xlfn.DAYS(electricity_cost[[#This Row],[Date of reading 
(Elect)]], G27)</f>
        <v>0.6088799999999992</v>
      </c>
      <c r="L28" s="12">
        <f>(electricity_cost[[#This Row],[Consumption to date (KWh)]] - F27)/_xlfn.DAYS(electricity_cost[[#This Row],[Date of reading 
(Elect)]], G27)</f>
        <v>3</v>
      </c>
      <c r="M28" s="7">
        <v>7978</v>
      </c>
      <c r="P28">
        <v>8053.6</v>
      </c>
      <c r="Q28" s="11">
        <f>gas_cost10[[#This Row],[ Index (m3)]] - gas_cost10[[#This Row],[Original index 
(m3)]]</f>
        <v>75.600000000000364</v>
      </c>
      <c r="R28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8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17.388000000000083</v>
      </c>
      <c r="T28" s="12">
        <f xml:space="preserve"> gas_cost10[[#This Row],[Gas Net cost to date
(TND)]]* (1 + E$5)</f>
        <v>20.517840000000096</v>
      </c>
      <c r="U28" s="12">
        <f>(gas_cost10[[#This Row],[Gas Cost to date  VAT included
(TND)
]] - T27)/_xlfn.DAYS(electricity_cost[[#This Row],[Date of reading 
(Elect)]], G27)</f>
        <v>0.16284000000009513</v>
      </c>
      <c r="V28" s="20">
        <f xml:space="preserve"> E$8 + ((electricity_cost[[#This Row],[Elect. Net cost to date
(TND)]] + E$6 + gas_cost10[[#This Row],[Gas Net cost to date
(TND)]] + E$7) * (1 + E$5))</f>
        <v>159.7136800000001</v>
      </c>
      <c r="W28" s="38"/>
    </row>
    <row r="29" spans="2:23" x14ac:dyDescent="0.25">
      <c r="B29">
        <v>15546</v>
      </c>
      <c r="C29" s="6">
        <v>42860</v>
      </c>
      <c r="D29" s="6">
        <v>42983</v>
      </c>
      <c r="E29">
        <v>16111</v>
      </c>
      <c r="F29" s="11">
        <f>electricity_cost[[#This Row],[ Index (KWh)]]-electricity_cost[[#This Row],[Original index 
(KWh)]]</f>
        <v>565</v>
      </c>
      <c r="G29" s="6">
        <v>42920</v>
      </c>
      <c r="H29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29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97.18</v>
      </c>
      <c r="J29" s="10">
        <f xml:space="preserve"> (E$6 + electricity_cost[[#This Row],[Elect. Net cost to date
(TND)]]) * (1 + E$5)</f>
        <v>131.19239999999999</v>
      </c>
      <c r="K29" s="12">
        <f>(electricity_cost[[#This Row],[Elect. Cost  VAT included
(TND)
]]-J28)/_xlfn.DAYS(electricity_cost[[#This Row],[Date of reading 
(Elect)]], G28)</f>
        <v>1.1162800000000033</v>
      </c>
      <c r="L29" s="12">
        <f>(electricity_cost[[#This Row],[Consumption to date (KWh)]] - F28)/_xlfn.DAYS(electricity_cost[[#This Row],[Date of reading 
(Elect)]], G28)</f>
        <v>5.5</v>
      </c>
      <c r="M29" s="7">
        <v>7978</v>
      </c>
      <c r="P29">
        <v>8055.98</v>
      </c>
      <c r="Q29" s="11">
        <f>gas_cost10[[#This Row],[ Index (m3)]] - gas_cost10[[#This Row],[Original index 
(m3)]]</f>
        <v>77.979999999999563</v>
      </c>
      <c r="R29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29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17.935399999999898</v>
      </c>
      <c r="T29" s="12">
        <f xml:space="preserve"> gas_cost10[[#This Row],[Gas Net cost to date
(TND)]]* (1 + E$5)</f>
        <v>21.163771999999877</v>
      </c>
      <c r="U29" s="12">
        <f>(gas_cost10[[#This Row],[Gas Cost to date  VAT included
(TND)
]] - T28)/_xlfn.DAYS(electricity_cost[[#This Row],[Date of reading 
(Elect)]], G28)</f>
        <v>0.32296599999989084</v>
      </c>
      <c r="V29" s="20">
        <f xml:space="preserve"> E$8 + ((electricity_cost[[#This Row],[Elect. Net cost to date
(TND)]] + E$6 + gas_cost10[[#This Row],[Gas Net cost to date
(TND)]] + E$7) * (1 + E$5))</f>
        <v>162.59217199999989</v>
      </c>
      <c r="W29" s="38"/>
    </row>
    <row r="30" spans="2:23" x14ac:dyDescent="0.25">
      <c r="B30">
        <v>15546</v>
      </c>
      <c r="C30" s="6">
        <v>42860</v>
      </c>
      <c r="D30" s="6">
        <v>42983</v>
      </c>
      <c r="E30">
        <v>16128</v>
      </c>
      <c r="F30" s="11">
        <f>electricity_cost[[#This Row],[ Index (KWh)]]-electricity_cost[[#This Row],[Original index 
(KWh)]]</f>
        <v>582</v>
      </c>
      <c r="G30" s="6">
        <v>42922</v>
      </c>
      <c r="H30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30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100.104</v>
      </c>
      <c r="J30" s="10">
        <f xml:space="preserve"> (E$6 + electricity_cost[[#This Row],[Elect. Net cost to date
(TND)]]) * (1 + E$5)</f>
        <v>134.64272</v>
      </c>
      <c r="K30" s="12">
        <f>(electricity_cost[[#This Row],[Elect. Cost  VAT included
(TND)
]]-J29)/_xlfn.DAYS(electricity_cost[[#This Row],[Date of reading 
(Elect)]], G29)</f>
        <v>1.7251600000000025</v>
      </c>
      <c r="L30" s="12">
        <f>(electricity_cost[[#This Row],[Consumption to date (KWh)]] - F29)/_xlfn.DAYS(electricity_cost[[#This Row],[Date of reading 
(Elect)]], G29)</f>
        <v>8.5</v>
      </c>
      <c r="M30" s="7">
        <v>7978</v>
      </c>
      <c r="P30">
        <v>8057</v>
      </c>
      <c r="Q30" s="11">
        <f>gas_cost10[[#This Row],[ Index (m3)]] - gas_cost10[[#This Row],[Original index 
(m3)]]</f>
        <v>79</v>
      </c>
      <c r="R30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0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18.170000000000002</v>
      </c>
      <c r="T30" s="12">
        <f xml:space="preserve"> gas_cost10[[#This Row],[Gas Net cost to date
(TND)]]* (1 + E$5)</f>
        <v>21.4406</v>
      </c>
      <c r="U30" s="12">
        <f>(gas_cost10[[#This Row],[Gas Cost to date  VAT included
(TND)
]] - T29)/_xlfn.DAYS(electricity_cost[[#This Row],[Date of reading 
(Elect)]], G29)</f>
        <v>0.13841400000006132</v>
      </c>
      <c r="V30" s="20">
        <f xml:space="preserve"> E$8 + ((electricity_cost[[#This Row],[Elect. Net cost to date
(TND)]] + E$6 + gas_cost10[[#This Row],[Gas Net cost to date
(TND)]] + E$7) * (1 + E$5))</f>
        <v>166.31932</v>
      </c>
      <c r="W30" s="38"/>
    </row>
    <row r="31" spans="2:23" x14ac:dyDescent="0.25">
      <c r="B31">
        <v>15546</v>
      </c>
      <c r="C31" s="6">
        <v>42860</v>
      </c>
      <c r="D31" s="6">
        <v>42983</v>
      </c>
      <c r="E31">
        <v>16139</v>
      </c>
      <c r="F31" s="11">
        <f>electricity_cost[[#This Row],[ Index (KWh)]]-electricity_cost[[#This Row],[Original index 
(KWh)]]</f>
        <v>593</v>
      </c>
      <c r="G31" s="6">
        <v>42923</v>
      </c>
      <c r="H31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31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101.996</v>
      </c>
      <c r="J31" s="10">
        <f xml:space="preserve"> (E$6 + electricity_cost[[#This Row],[Elect. Net cost to date
(TND)]]) * (1 + E$5)</f>
        <v>136.87527999999998</v>
      </c>
      <c r="K31" s="12">
        <f>(electricity_cost[[#This Row],[Elect. Cost  VAT included
(TND)
]]-J30)/_xlfn.DAYS(electricity_cost[[#This Row],[Date of reading 
(Elect)]], G30)</f>
        <v>2.2325599999999781</v>
      </c>
      <c r="L31" s="12">
        <f>(electricity_cost[[#This Row],[Consumption to date (KWh)]] - F30)/_xlfn.DAYS(electricity_cost[[#This Row],[Date of reading 
(Elect)]], G30)</f>
        <v>11</v>
      </c>
      <c r="M31" s="7">
        <v>7978</v>
      </c>
      <c r="P31">
        <v>8059</v>
      </c>
      <c r="Q31" s="11">
        <f>gas_cost10[[#This Row],[ Index (m3)]] - gas_cost10[[#This Row],[Original index 
(m3)]]</f>
        <v>81</v>
      </c>
      <c r="R31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1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18.63</v>
      </c>
      <c r="T31" s="12">
        <f xml:space="preserve"> gas_cost10[[#This Row],[Gas Net cost to date
(TND)]]* (1 + E$5)</f>
        <v>21.983399999999996</v>
      </c>
      <c r="U31" s="12">
        <f>(gas_cost10[[#This Row],[Gas Cost to date  VAT included
(TND)
]] - T30)/_xlfn.DAYS(electricity_cost[[#This Row],[Date of reading 
(Elect)]], G30)</f>
        <v>0.54279999999999617</v>
      </c>
      <c r="V31" s="20">
        <f xml:space="preserve"> E$8 + ((electricity_cost[[#This Row],[Elect. Net cost to date
(TND)]] + E$6 + gas_cost10[[#This Row],[Gas Net cost to date
(TND)]] + E$7) * (1 + E$5))</f>
        <v>169.09468000000001</v>
      </c>
      <c r="W31" s="38"/>
    </row>
    <row r="32" spans="2:23" x14ac:dyDescent="0.25">
      <c r="B32">
        <v>15546</v>
      </c>
      <c r="C32" s="6">
        <v>42860</v>
      </c>
      <c r="D32" s="6">
        <v>42983</v>
      </c>
      <c r="E32">
        <v>16145</v>
      </c>
      <c r="F32" s="11">
        <f>electricity_cost[[#This Row],[ Index (KWh)]]-electricity_cost[[#This Row],[Original index 
(KWh)]]</f>
        <v>599</v>
      </c>
      <c r="G32" s="6">
        <v>42924</v>
      </c>
      <c r="H32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32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103.02800000000001</v>
      </c>
      <c r="J32" s="10">
        <f xml:space="preserve"> (E$6 + electricity_cost[[#This Row],[Elect. Net cost to date
(TND)]]) * (1 + E$5)</f>
        <v>138.09304</v>
      </c>
      <c r="K32" s="12">
        <f>(electricity_cost[[#This Row],[Elect. Cost  VAT included
(TND)
]]-J31)/_xlfn.DAYS(electricity_cost[[#This Row],[Date of reading 
(Elect)]], G31)</f>
        <v>1.2177600000000268</v>
      </c>
      <c r="L32" s="12">
        <f>(electricity_cost[[#This Row],[Consumption to date (KWh)]] - F31)/_xlfn.DAYS(electricity_cost[[#This Row],[Date of reading 
(Elect)]], G31)</f>
        <v>6</v>
      </c>
      <c r="M32" s="7">
        <v>7978</v>
      </c>
      <c r="P32">
        <v>8059.5</v>
      </c>
      <c r="Q32" s="11">
        <f>gas_cost10[[#This Row],[ Index (m3)]] - gas_cost10[[#This Row],[Original index 
(m3)]]</f>
        <v>81.5</v>
      </c>
      <c r="R32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2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18.745000000000001</v>
      </c>
      <c r="T32" s="12">
        <f xml:space="preserve"> gas_cost10[[#This Row],[Gas Net cost to date
(TND)]]* (1 + E$5)</f>
        <v>22.1191</v>
      </c>
      <c r="U32" s="12">
        <f>(gas_cost10[[#This Row],[Gas Cost to date  VAT included
(TND)
]] - T31)/_xlfn.DAYS(electricity_cost[[#This Row],[Date of reading 
(Elect)]], G31)</f>
        <v>0.13570000000000348</v>
      </c>
      <c r="V32" s="20">
        <f xml:space="preserve"> E$8 + ((electricity_cost[[#This Row],[Elect. Net cost to date
(TND)]] + E$6 + gas_cost10[[#This Row],[Gas Net cost to date
(TND)]] + E$7) * (1 + E$5))</f>
        <v>170.44814</v>
      </c>
      <c r="W32" s="38"/>
    </row>
    <row r="33" spans="2:23" x14ac:dyDescent="0.25">
      <c r="B33">
        <v>15546</v>
      </c>
      <c r="C33" s="6">
        <v>42860</v>
      </c>
      <c r="D33" s="6">
        <v>42983</v>
      </c>
      <c r="E33">
        <v>16183</v>
      </c>
      <c r="F33" s="11">
        <f>electricity_cost[[#This Row],[ Index (KWh)]]-electricity_cost[[#This Row],[Original index 
(KWh)]]</f>
        <v>637</v>
      </c>
      <c r="G33" s="6">
        <v>42927</v>
      </c>
      <c r="H33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33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109.56399999999999</v>
      </c>
      <c r="J33" s="10">
        <f xml:space="preserve"> (E$6 + electricity_cost[[#This Row],[Elect. Net cost to date
(TND)]]) * (1 + E$5)</f>
        <v>145.80551999999997</v>
      </c>
      <c r="K33" s="12">
        <f>(electricity_cost[[#This Row],[Elect. Cost  VAT included
(TND)
]]-J32)/_xlfn.DAYS(electricity_cost[[#This Row],[Date of reading 
(Elect)]], G32)</f>
        <v>2.5708266666666568</v>
      </c>
      <c r="L33" s="12">
        <f>(electricity_cost[[#This Row],[Consumption to date (KWh)]] - F32)/_xlfn.DAYS(electricity_cost[[#This Row],[Date of reading 
(Elect)]], G32)</f>
        <v>12.666666666666666</v>
      </c>
      <c r="M33" s="7">
        <v>7978</v>
      </c>
      <c r="P33">
        <v>8061</v>
      </c>
      <c r="Q33" s="11">
        <f>gas_cost10[[#This Row],[ Index (m3)]] - gas_cost10[[#This Row],[Original index 
(m3)]]</f>
        <v>83</v>
      </c>
      <c r="R33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3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19.09</v>
      </c>
      <c r="T33" s="12">
        <f xml:space="preserve"> gas_cost10[[#This Row],[Gas Net cost to date
(TND)]]* (1 + E$5)</f>
        <v>22.526199999999999</v>
      </c>
      <c r="U33" s="12">
        <f>(gas_cost10[[#This Row],[Gas Cost to date  VAT included
(TND)
]] - T32)/_xlfn.DAYS(electricity_cost[[#This Row],[Date of reading 
(Elect)]], G32)</f>
        <v>0.13569999999999993</v>
      </c>
      <c r="V33" s="20">
        <f xml:space="preserve"> E$8 + ((electricity_cost[[#This Row],[Elect. Net cost to date
(TND)]] + E$6 + gas_cost10[[#This Row],[Gas Net cost to date
(TND)]] + E$7) * (1 + E$5))</f>
        <v>178.56771999999998</v>
      </c>
      <c r="W33" s="38"/>
    </row>
    <row r="34" spans="2:23" x14ac:dyDescent="0.25">
      <c r="B34">
        <v>15546</v>
      </c>
      <c r="C34" s="6">
        <v>42860</v>
      </c>
      <c r="D34" s="6">
        <v>42983</v>
      </c>
      <c r="E34">
        <v>16251</v>
      </c>
      <c r="F34" s="11">
        <f>electricity_cost[[#This Row],[ Index (KWh)]]-electricity_cost[[#This Row],[Original index 
(KWh)]]</f>
        <v>705</v>
      </c>
      <c r="G34" s="6">
        <v>42929</v>
      </c>
      <c r="H34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34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121.26</v>
      </c>
      <c r="J34" s="10">
        <f xml:space="preserve"> (E$6 + electricity_cost[[#This Row],[Elect. Net cost to date
(TND)]]) * (1 + E$5)</f>
        <v>159.60679999999999</v>
      </c>
      <c r="K34" s="12">
        <f>(electricity_cost[[#This Row],[Elect. Cost  VAT included
(TND)
]]-J33)/_xlfn.DAYS(electricity_cost[[#This Row],[Date of reading 
(Elect)]], G33)</f>
        <v>6.9006400000000099</v>
      </c>
      <c r="L34" s="12">
        <f>(electricity_cost[[#This Row],[Consumption to date (KWh)]] - F33)/_xlfn.DAYS(electricity_cost[[#This Row],[Date of reading 
(Elect)]], G33)</f>
        <v>34</v>
      </c>
      <c r="M34" s="7">
        <v>7978</v>
      </c>
      <c r="P34">
        <v>8062</v>
      </c>
      <c r="Q34" s="11">
        <f>gas_cost10[[#This Row],[ Index (m3)]] - gas_cost10[[#This Row],[Original index 
(m3)]]</f>
        <v>84</v>
      </c>
      <c r="R34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4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19.32</v>
      </c>
      <c r="T34" s="12">
        <f xml:space="preserve"> gas_cost10[[#This Row],[Gas Net cost to date
(TND)]]* (1 + E$5)</f>
        <v>22.797599999999999</v>
      </c>
      <c r="U34" s="12">
        <f>(gas_cost10[[#This Row],[Gas Cost to date  VAT included
(TND)
]] - T33)/_xlfn.DAYS(electricity_cost[[#This Row],[Date of reading 
(Elect)]], G33)</f>
        <v>0.13569999999999993</v>
      </c>
      <c r="V34" s="20">
        <f xml:space="preserve"> E$8 + ((electricity_cost[[#This Row],[Elect. Net cost to date
(TND)]] + E$6 + gas_cost10[[#This Row],[Gas Net cost to date
(TND)]] + E$7) * (1 + E$5))</f>
        <v>192.64039999999997</v>
      </c>
      <c r="W34" s="38"/>
    </row>
    <row r="35" spans="2:23" x14ac:dyDescent="0.25">
      <c r="B35">
        <v>15546</v>
      </c>
      <c r="C35" s="6">
        <v>42860</v>
      </c>
      <c r="D35" s="6">
        <v>42983</v>
      </c>
      <c r="E35">
        <v>16305</v>
      </c>
      <c r="F35" s="11">
        <f>electricity_cost[[#This Row],[ Index (KWh)]]-electricity_cost[[#This Row],[Original index 
(KWh)]]</f>
        <v>759</v>
      </c>
      <c r="G35" s="6">
        <v>42931</v>
      </c>
      <c r="H35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35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130.548</v>
      </c>
      <c r="J35" s="10">
        <f xml:space="preserve"> (E$6 + electricity_cost[[#This Row],[Elect. Net cost to date
(TND)]]) * (1 + E$5)</f>
        <v>170.56664000000001</v>
      </c>
      <c r="K35" s="12">
        <f>(electricity_cost[[#This Row],[Elect. Cost  VAT included
(TND)
]]-J34)/_xlfn.DAYS(electricity_cost[[#This Row],[Date of reading 
(Elect)]], G34)</f>
        <v>5.479920000000007</v>
      </c>
      <c r="L35" s="12">
        <f>(electricity_cost[[#This Row],[Consumption to date (KWh)]] - F34)/_xlfn.DAYS(electricity_cost[[#This Row],[Date of reading 
(Elect)]], G34)</f>
        <v>27</v>
      </c>
      <c r="M35" s="7">
        <v>7978</v>
      </c>
      <c r="P35">
        <v>8064</v>
      </c>
      <c r="Q35" s="11">
        <f>gas_cost10[[#This Row],[ Index (m3)]] - gas_cost10[[#This Row],[Original index 
(m3)]]</f>
        <v>86</v>
      </c>
      <c r="R35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5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19.78</v>
      </c>
      <c r="T35" s="12">
        <f xml:space="preserve"> gas_cost10[[#This Row],[Gas Net cost to date
(TND)]]* (1 + E$5)</f>
        <v>23.340399999999999</v>
      </c>
      <c r="U35" s="12">
        <f>(gas_cost10[[#This Row],[Gas Cost to date  VAT included
(TND)
]] - T34)/_xlfn.DAYS(electricity_cost[[#This Row],[Date of reading 
(Elect)]], G34)</f>
        <v>0.27139999999999986</v>
      </c>
      <c r="V35" s="20">
        <f xml:space="preserve"> E$8 + ((electricity_cost[[#This Row],[Elect. Net cost to date
(TND)]] + E$6 + gas_cost10[[#This Row],[Gas Net cost to date
(TND)]] + E$7) * (1 + E$5))</f>
        <v>204.14303999999998</v>
      </c>
      <c r="W35" s="38"/>
    </row>
    <row r="36" spans="2:23" x14ac:dyDescent="0.25">
      <c r="B36">
        <v>15546</v>
      </c>
      <c r="C36" s="6">
        <v>42860</v>
      </c>
      <c r="D36" s="6">
        <v>42983</v>
      </c>
      <c r="E36">
        <v>16311</v>
      </c>
      <c r="F36" s="11">
        <f>electricity_cost[[#This Row],[ Index (KWh)]]-electricity_cost[[#This Row],[Original index 
(KWh)]]</f>
        <v>765</v>
      </c>
      <c r="G36" s="6">
        <v>42932</v>
      </c>
      <c r="H36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36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131.58000000000001</v>
      </c>
      <c r="J36" s="10">
        <f xml:space="preserve"> (E$6 + electricity_cost[[#This Row],[Elect. Net cost to date
(TND)]]) * (1 + E$5)</f>
        <v>171.78440000000001</v>
      </c>
      <c r="K36" s="12">
        <f>(electricity_cost[[#This Row],[Elect. Cost  VAT included
(TND)
]]-J35)/_xlfn.DAYS(electricity_cost[[#This Row],[Date of reading 
(Elect)]], G35)</f>
        <v>1.2177599999999984</v>
      </c>
      <c r="L36" s="12">
        <f>(electricity_cost[[#This Row],[Consumption to date (KWh)]] - F35)/_xlfn.DAYS(electricity_cost[[#This Row],[Date of reading 
(Elect)]], G35)</f>
        <v>6</v>
      </c>
      <c r="M36" s="7">
        <v>7978</v>
      </c>
      <c r="P36">
        <v>8066</v>
      </c>
      <c r="Q36" s="11">
        <f>gas_cost10[[#This Row],[ Index (m3)]] - gas_cost10[[#This Row],[Original index 
(m3)]]</f>
        <v>88</v>
      </c>
      <c r="R36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6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20.239999999999998</v>
      </c>
      <c r="T36" s="12">
        <f xml:space="preserve"> gas_cost10[[#This Row],[Gas Net cost to date
(TND)]]* (1 + E$5)</f>
        <v>23.883199999999999</v>
      </c>
      <c r="U36" s="12">
        <f>(gas_cost10[[#This Row],[Gas Cost to date  VAT included
(TND)
]] - T35)/_xlfn.DAYS(electricity_cost[[#This Row],[Date of reading 
(Elect)]], G35)</f>
        <v>0.54279999999999973</v>
      </c>
      <c r="V36" s="20">
        <f xml:space="preserve"> E$8 + ((electricity_cost[[#This Row],[Elect. Net cost to date
(TND)]] + E$6 + gas_cost10[[#This Row],[Gas Net cost to date
(TND)]] + E$7) * (1 + E$5))</f>
        <v>205.90360000000001</v>
      </c>
      <c r="W36" s="38"/>
    </row>
    <row r="37" spans="2:23" x14ac:dyDescent="0.25">
      <c r="B37">
        <v>15546</v>
      </c>
      <c r="C37" s="6">
        <v>42860</v>
      </c>
      <c r="D37" s="6">
        <v>42983</v>
      </c>
      <c r="E37">
        <v>16316</v>
      </c>
      <c r="F37" s="11">
        <f>electricity_cost[[#This Row],[ Index (KWh)]]-electricity_cost[[#This Row],[Original index 
(KWh)]]</f>
        <v>770</v>
      </c>
      <c r="G37" s="6">
        <v>42933</v>
      </c>
      <c r="H37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37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132.44</v>
      </c>
      <c r="J37" s="10">
        <f xml:space="preserve"> (E$6 + electricity_cost[[#This Row],[Elect. Net cost to date
(TND)]]) * (1 + E$5)</f>
        <v>172.79919999999998</v>
      </c>
      <c r="K37" s="12">
        <f>(electricity_cost[[#This Row],[Elect. Cost  VAT included
(TND)
]]-J36)/_xlfn.DAYS(electricity_cost[[#This Row],[Date of reading 
(Elect)]], G36)</f>
        <v>1.0147999999999797</v>
      </c>
      <c r="L37" s="12">
        <f>(electricity_cost[[#This Row],[Consumption to date (KWh)]] - F36)/_xlfn.DAYS(electricity_cost[[#This Row],[Date of reading 
(Elect)]], G36)</f>
        <v>5</v>
      </c>
      <c r="M37" s="7">
        <v>7978</v>
      </c>
      <c r="P37">
        <v>8067</v>
      </c>
      <c r="Q37" s="11">
        <f>gas_cost10[[#This Row],[ Index (m3)]] - gas_cost10[[#This Row],[Original index 
(m3)]]</f>
        <v>89</v>
      </c>
      <c r="R37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7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20.47</v>
      </c>
      <c r="T37" s="12">
        <f xml:space="preserve"> gas_cost10[[#This Row],[Gas Net cost to date
(TND)]]* (1 + E$5)</f>
        <v>24.154599999999999</v>
      </c>
      <c r="U37" s="12">
        <f>(gas_cost10[[#This Row],[Gas Cost to date  VAT included
(TND)
]] - T36)/_xlfn.DAYS(electricity_cost[[#This Row],[Date of reading 
(Elect)]], G36)</f>
        <v>0.27139999999999986</v>
      </c>
      <c r="V37" s="20">
        <f xml:space="preserve"> E$8 + ((electricity_cost[[#This Row],[Elect. Net cost to date
(TND)]] + E$6 + gas_cost10[[#This Row],[Gas Net cost to date
(TND)]] + E$7) * (1 + E$5))</f>
        <v>207.18979999999999</v>
      </c>
      <c r="W37" s="38"/>
    </row>
    <row r="38" spans="2:23" x14ac:dyDescent="0.25">
      <c r="B38">
        <v>15546</v>
      </c>
      <c r="C38" s="6">
        <v>42860</v>
      </c>
      <c r="D38" s="6">
        <v>42983</v>
      </c>
      <c r="E38">
        <v>16328</v>
      </c>
      <c r="F38" s="11">
        <f>electricity_cost[[#This Row],[ Index (KWh)]]-electricity_cost[[#This Row],[Original index 
(KWh)]]</f>
        <v>782</v>
      </c>
      <c r="G38" s="6">
        <v>42934</v>
      </c>
      <c r="H38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1</v>
      </c>
      <c r="I38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134.50399999999999</v>
      </c>
      <c r="J38" s="10">
        <f xml:space="preserve"> (E$6 + electricity_cost[[#This Row],[Elect. Net cost to date
(TND)]]) * (1 + E$5)</f>
        <v>175.23471999999998</v>
      </c>
      <c r="K38" s="12">
        <f>(electricity_cost[[#This Row],[Elect. Cost  VAT included
(TND)
]]-J37)/_xlfn.DAYS(electricity_cost[[#This Row],[Date of reading 
(Elect)]], G37)</f>
        <v>2.4355199999999968</v>
      </c>
      <c r="L38" s="12">
        <f>(electricity_cost[[#This Row],[Consumption to date (KWh)]] - F37)/_xlfn.DAYS(electricity_cost[[#This Row],[Date of reading 
(Elect)]], G37)</f>
        <v>12</v>
      </c>
      <c r="M38" s="7">
        <v>7978</v>
      </c>
      <c r="P38">
        <v>8068</v>
      </c>
      <c r="Q38" s="11">
        <f>gas_cost10[[#This Row],[ Index (m3)]] - gas_cost10[[#This Row],[Original index 
(m3)]]</f>
        <v>90</v>
      </c>
      <c r="R38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8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20.7</v>
      </c>
      <c r="T38" s="12">
        <f xml:space="preserve"> gas_cost10[[#This Row],[Gas Net cost to date
(TND)]]* (1 + E$5)</f>
        <v>24.425999999999998</v>
      </c>
      <c r="U38" s="12">
        <f>(gas_cost10[[#This Row],[Gas Cost to date  VAT included
(TND)
]] - T37)/_xlfn.DAYS(electricity_cost[[#This Row],[Date of reading 
(Elect)]], G37)</f>
        <v>0.27139999999999986</v>
      </c>
      <c r="V38" s="20">
        <f xml:space="preserve"> E$8 + ((electricity_cost[[#This Row],[Elect. Net cost to date
(TND)]] + E$6 + gas_cost10[[#This Row],[Gas Net cost to date
(TND)]] + E$7) * (1 + E$5))</f>
        <v>209.89671999999996</v>
      </c>
      <c r="W38" s="38"/>
    </row>
    <row r="39" spans="2:23" x14ac:dyDescent="0.25">
      <c r="B39">
        <v>15546</v>
      </c>
      <c r="C39" s="6">
        <v>42860</v>
      </c>
      <c r="D39" s="6">
        <v>42983</v>
      </c>
      <c r="E39">
        <v>16361</v>
      </c>
      <c r="F39" s="11">
        <f>electricity_cost[[#This Row],[ Index (KWh)]]-electricity_cost[[#This Row],[Original index 
(KWh)]]</f>
        <v>815</v>
      </c>
      <c r="G39" s="6">
        <v>42937</v>
      </c>
      <c r="H39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39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140.64500000000001</v>
      </c>
      <c r="J39" s="10">
        <f xml:space="preserve"> (E$6 + electricity_cost[[#This Row],[Elect. Net cost to date
(TND)]]) * (1 + E$5)</f>
        <v>182.4811</v>
      </c>
      <c r="K39" s="12">
        <f>(electricity_cost[[#This Row],[Elect. Cost  VAT included
(TND)
]]-J38)/_xlfn.DAYS(electricity_cost[[#This Row],[Date of reading 
(Elect)]], G38)</f>
        <v>2.4154600000000053</v>
      </c>
      <c r="L39" s="12">
        <f>(electricity_cost[[#This Row],[Consumption to date (KWh)]] - F38)/_xlfn.DAYS(electricity_cost[[#This Row],[Date of reading 
(Elect)]], G38)</f>
        <v>11</v>
      </c>
      <c r="M39" s="7">
        <v>7978</v>
      </c>
      <c r="P39">
        <v>8071</v>
      </c>
      <c r="Q39" s="11">
        <f>gas_cost10[[#This Row],[ Index (m3)]] - gas_cost10[[#This Row],[Original index 
(m3)]]</f>
        <v>93</v>
      </c>
      <c r="R39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39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21.39</v>
      </c>
      <c r="T39" s="12">
        <f xml:space="preserve"> gas_cost10[[#This Row],[Gas Net cost to date
(TND)]]* (1 + E$5)</f>
        <v>25.240199999999998</v>
      </c>
      <c r="U39" s="12">
        <f>(gas_cost10[[#This Row],[Gas Cost to date  VAT included
(TND)
]] - T38)/_xlfn.DAYS(electricity_cost[[#This Row],[Date of reading 
(Elect)]], G38)</f>
        <v>0.27139999999999986</v>
      </c>
      <c r="V39" s="20">
        <f xml:space="preserve"> E$8 + ((electricity_cost[[#This Row],[Elect. Net cost to date
(TND)]] + E$6 + gas_cost10[[#This Row],[Gas Net cost to date
(TND)]] + E$7) * (1 + E$5))</f>
        <v>217.95730000000003</v>
      </c>
      <c r="W39" s="38"/>
    </row>
    <row r="40" spans="2:23" x14ac:dyDescent="0.25">
      <c r="B40">
        <v>15546</v>
      </c>
      <c r="C40" s="6">
        <v>42860</v>
      </c>
      <c r="D40" s="6">
        <v>42983</v>
      </c>
      <c r="E40">
        <v>16376</v>
      </c>
      <c r="F40" s="11">
        <f>electricity_cost[[#This Row],[ Index (KWh)]]-electricity_cost[[#This Row],[Original index 
(KWh)]]</f>
        <v>830</v>
      </c>
      <c r="G40" s="6">
        <v>42938</v>
      </c>
      <c r="H40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0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143.69</v>
      </c>
      <c r="J40" s="10">
        <f xml:space="preserve"> (E$6 + electricity_cost[[#This Row],[Elect. Net cost to date
(TND)]]) * (1 + E$5)</f>
        <v>186.07419999999999</v>
      </c>
      <c r="K40" s="12">
        <f>(electricity_cost[[#This Row],[Elect. Cost  VAT included
(TND)
]]-J39)/_xlfn.DAYS(electricity_cost[[#This Row],[Date of reading 
(Elect)]], G39)</f>
        <v>3.5930999999999926</v>
      </c>
      <c r="L40" s="12">
        <f>(electricity_cost[[#This Row],[Consumption to date (KWh)]] - F39)/_xlfn.DAYS(electricity_cost[[#This Row],[Date of reading 
(Elect)]], G39)</f>
        <v>15</v>
      </c>
      <c r="M40" s="7">
        <v>7978</v>
      </c>
      <c r="P40">
        <v>8072</v>
      </c>
      <c r="Q40" s="11">
        <f>gas_cost10[[#This Row],[ Index (m3)]] - gas_cost10[[#This Row],[Original index 
(m3)]]</f>
        <v>94</v>
      </c>
      <c r="R40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0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21.62</v>
      </c>
      <c r="T40" s="12">
        <f xml:space="preserve"> gas_cost10[[#This Row],[Gas Net cost to date
(TND)]]* (1 + E$5)</f>
        <v>25.511600000000001</v>
      </c>
      <c r="U40" s="12">
        <f>(gas_cost10[[#This Row],[Gas Cost to date  VAT included
(TND)
]] - T39)/_xlfn.DAYS(electricity_cost[[#This Row],[Date of reading 
(Elect)]], G39)</f>
        <v>0.27140000000000342</v>
      </c>
      <c r="V40" s="20">
        <f xml:space="preserve"> E$8 + ((electricity_cost[[#This Row],[Elect. Net cost to date
(TND)]] + E$6 + gas_cost10[[#This Row],[Gas Net cost to date
(TND)]] + E$7) * (1 + E$5))</f>
        <v>221.8218</v>
      </c>
      <c r="W40" s="38"/>
    </row>
    <row r="41" spans="2:23" x14ac:dyDescent="0.25">
      <c r="B41">
        <v>15546</v>
      </c>
      <c r="C41" s="6">
        <v>42860</v>
      </c>
      <c r="D41" s="6">
        <v>42983</v>
      </c>
      <c r="E41">
        <v>16416</v>
      </c>
      <c r="F41" s="11">
        <f>electricity_cost[[#This Row],[ Index (KWh)]]-electricity_cost[[#This Row],[Original index 
(KWh)]]</f>
        <v>870</v>
      </c>
      <c r="G41" s="6">
        <v>42939</v>
      </c>
      <c r="H41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1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151.81</v>
      </c>
      <c r="J41" s="10">
        <f xml:space="preserve"> (E$6 + electricity_cost[[#This Row],[Elect. Net cost to date
(TND)]]) * (1 + E$5)</f>
        <v>195.6558</v>
      </c>
      <c r="K41" s="12">
        <f>(electricity_cost[[#This Row],[Elect. Cost  VAT included
(TND)
]]-J40)/_xlfn.DAYS(electricity_cost[[#This Row],[Date of reading 
(Elect)]], G40)</f>
        <v>9.5816000000000088</v>
      </c>
      <c r="L41" s="12">
        <f>(electricity_cost[[#This Row],[Consumption to date (KWh)]] - F40)/_xlfn.DAYS(electricity_cost[[#This Row],[Date of reading 
(Elect)]], G40)</f>
        <v>40</v>
      </c>
      <c r="M41" s="7">
        <v>7978</v>
      </c>
      <c r="P41">
        <v>8073.9</v>
      </c>
      <c r="Q41" s="11">
        <f>gas_cost10[[#This Row],[ Index (m3)]] - gas_cost10[[#This Row],[Original index 
(m3)]]</f>
        <v>95.899999999999636</v>
      </c>
      <c r="R41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1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22.056999999999917</v>
      </c>
      <c r="T41" s="12">
        <f xml:space="preserve"> gas_cost10[[#This Row],[Gas Net cost to date
(TND)]]* (1 + E$5)</f>
        <v>26.027259999999899</v>
      </c>
      <c r="U41" s="12">
        <f>(gas_cost10[[#This Row],[Gas Cost to date  VAT included
(TND)
]] - T40)/_xlfn.DAYS(electricity_cost[[#This Row],[Date of reading 
(Elect)]], G40)</f>
        <v>0.51565999999989742</v>
      </c>
      <c r="V41" s="20">
        <f xml:space="preserve"> E$8 + ((electricity_cost[[#This Row],[Elect. Net cost to date
(TND)]] + E$6 + gas_cost10[[#This Row],[Gas Net cost to date
(TND)]] + E$7) * (1 + E$5))</f>
        <v>231.91905999999989</v>
      </c>
      <c r="W41" s="38"/>
    </row>
    <row r="42" spans="2:23" x14ac:dyDescent="0.25">
      <c r="B42">
        <v>15546</v>
      </c>
      <c r="C42" s="6">
        <v>42860</v>
      </c>
      <c r="D42" s="6">
        <v>42983</v>
      </c>
      <c r="E42">
        <v>16426</v>
      </c>
      <c r="F42" s="11">
        <f>electricity_cost[[#This Row],[ Index (KWh)]]-electricity_cost[[#This Row],[Original index 
(KWh)]]</f>
        <v>880</v>
      </c>
      <c r="G42" s="6">
        <v>42940</v>
      </c>
      <c r="H42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2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153.84</v>
      </c>
      <c r="J42" s="10">
        <f xml:space="preserve"> (E$6 + electricity_cost[[#This Row],[Elect. Net cost to date
(TND)]]) * (1 + E$5)</f>
        <v>198.05119999999999</v>
      </c>
      <c r="K42" s="12">
        <f>(electricity_cost[[#This Row],[Elect. Cost  VAT included
(TND)
]]-J41)/_xlfn.DAYS(electricity_cost[[#This Row],[Date of reading 
(Elect)]], G41)</f>
        <v>2.3953999999999951</v>
      </c>
      <c r="L42" s="12">
        <f>(electricity_cost[[#This Row],[Consumption to date (KWh)]] - F41)/_xlfn.DAYS(electricity_cost[[#This Row],[Date of reading 
(Elect)]], G41)</f>
        <v>10</v>
      </c>
      <c r="M42" s="7">
        <v>7978</v>
      </c>
      <c r="P42">
        <v>8074</v>
      </c>
      <c r="Q42" s="11">
        <f>gas_cost10[[#This Row],[ Index (m3)]] - gas_cost10[[#This Row],[Original index 
(m3)]]</f>
        <v>96</v>
      </c>
      <c r="R42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2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22.08</v>
      </c>
      <c r="T42" s="12">
        <f xml:space="preserve"> gas_cost10[[#This Row],[Gas Net cost to date
(TND)]]* (1 + E$5)</f>
        <v>26.054399999999998</v>
      </c>
      <c r="U42" s="12">
        <f>(gas_cost10[[#This Row],[Gas Cost to date  VAT included
(TND)
]] - T41)/_xlfn.DAYS(electricity_cost[[#This Row],[Date of reading 
(Elect)]], G41)</f>
        <v>2.7140000000098752E-2</v>
      </c>
      <c r="V42" s="20">
        <f xml:space="preserve"> E$8 + ((electricity_cost[[#This Row],[Elect. Net cost to date
(TND)]] + E$6 + gas_cost10[[#This Row],[Gas Net cost to date
(TND)]] + E$7) * (1 + E$5))</f>
        <v>234.3416</v>
      </c>
      <c r="W42" s="38"/>
    </row>
    <row r="43" spans="2:23" x14ac:dyDescent="0.25">
      <c r="B43">
        <v>15546</v>
      </c>
      <c r="C43" s="6">
        <v>42860</v>
      </c>
      <c r="D43" s="6">
        <v>42983</v>
      </c>
      <c r="E43">
        <v>16445</v>
      </c>
      <c r="F43" s="11">
        <f>electricity_cost[[#This Row],[ Index (KWh)]]-electricity_cost[[#This Row],[Original index 
(KWh)]]</f>
        <v>899</v>
      </c>
      <c r="G43" s="6">
        <v>42942</v>
      </c>
      <c r="H43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3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157.697</v>
      </c>
      <c r="J43" s="10">
        <f xml:space="preserve"> (E$6 + electricity_cost[[#This Row],[Elect. Net cost to date
(TND)]]) * (1 + E$5)</f>
        <v>202.60245999999998</v>
      </c>
      <c r="K43" s="12">
        <f>(electricity_cost[[#This Row],[Elect. Cost  VAT included
(TND)
]]-J42)/_xlfn.DAYS(electricity_cost[[#This Row],[Date of reading 
(Elect)]], G42)</f>
        <v>2.2756299999999925</v>
      </c>
      <c r="L43" s="12">
        <f>(electricity_cost[[#This Row],[Consumption to date (KWh)]] - F42)/_xlfn.DAYS(electricity_cost[[#This Row],[Date of reading 
(Elect)]], G42)</f>
        <v>9.5</v>
      </c>
      <c r="M43" s="7">
        <v>7978</v>
      </c>
      <c r="P43">
        <v>8075</v>
      </c>
      <c r="Q43" s="11">
        <f>gas_cost10[[#This Row],[ Index (m3)]] - gas_cost10[[#This Row],[Original index 
(m3)]]</f>
        <v>97</v>
      </c>
      <c r="R43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3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22.31</v>
      </c>
      <c r="T43" s="12">
        <f xml:space="preserve"> gas_cost10[[#This Row],[Gas Net cost to date
(TND)]]* (1 + E$5)</f>
        <v>26.325799999999997</v>
      </c>
      <c r="U43" s="12">
        <f>(gas_cost10[[#This Row],[Gas Cost to date  VAT included
(TND)
]] - T42)/_xlfn.DAYS(electricity_cost[[#This Row],[Date of reading 
(Elect)]], G42)</f>
        <v>0.13569999999999993</v>
      </c>
      <c r="V43" s="20">
        <f xml:space="preserve"> E$8 + ((electricity_cost[[#This Row],[Elect. Net cost to date
(TND)]] + E$6 + gas_cost10[[#This Row],[Gas Net cost to date
(TND)]] + E$7) * (1 + E$5))</f>
        <v>239.16425999999998</v>
      </c>
      <c r="W43" s="38"/>
    </row>
    <row r="44" spans="2:23" x14ac:dyDescent="0.25">
      <c r="B44">
        <v>15546</v>
      </c>
      <c r="C44" s="6">
        <v>42860</v>
      </c>
      <c r="D44" s="6">
        <v>42983</v>
      </c>
      <c r="E44">
        <v>16450</v>
      </c>
      <c r="F44" s="11">
        <f>electricity_cost[[#This Row],[ Index (KWh)]]-electricity_cost[[#This Row],[Original index 
(KWh)]]</f>
        <v>904</v>
      </c>
      <c r="G44" s="6">
        <v>42943</v>
      </c>
      <c r="H44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4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158.71199999999999</v>
      </c>
      <c r="J44" s="10">
        <f xml:space="preserve"> (E$6 + electricity_cost[[#This Row],[Elect. Net cost to date
(TND)]]) * (1 + E$5)</f>
        <v>203.80015999999998</v>
      </c>
      <c r="K44" s="12">
        <f>(electricity_cost[[#This Row],[Elect. Cost  VAT included
(TND)
]]-J43)/_xlfn.DAYS(electricity_cost[[#This Row],[Date of reading 
(Elect)]], G43)</f>
        <v>1.1976999999999975</v>
      </c>
      <c r="L44" s="12">
        <f>(electricity_cost[[#This Row],[Consumption to date (KWh)]] - F43)/_xlfn.DAYS(electricity_cost[[#This Row],[Date of reading 
(Elect)]], G43)</f>
        <v>5</v>
      </c>
      <c r="M44" s="7">
        <v>7978</v>
      </c>
      <c r="P44">
        <v>8077</v>
      </c>
      <c r="Q44" s="11">
        <f>gas_cost10[[#This Row],[ Index (m3)]] - gas_cost10[[#This Row],[Original index 
(m3)]]</f>
        <v>99</v>
      </c>
      <c r="R44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4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22.77</v>
      </c>
      <c r="T44" s="12">
        <f xml:space="preserve"> gas_cost10[[#This Row],[Gas Net cost to date
(TND)]]* (1 + E$5)</f>
        <v>26.868599999999997</v>
      </c>
      <c r="U44" s="12">
        <f>(gas_cost10[[#This Row],[Gas Cost to date  VAT included
(TND)
]] - T43)/_xlfn.DAYS(electricity_cost[[#This Row],[Date of reading 
(Elect)]], G43)</f>
        <v>0.54279999999999973</v>
      </c>
      <c r="V44" s="20">
        <f xml:space="preserve"> E$8 + ((electricity_cost[[#This Row],[Elect. Net cost to date
(TND)]] + E$6 + gas_cost10[[#This Row],[Gas Net cost to date
(TND)]] + E$7) * (1 + E$5))</f>
        <v>240.90475999999998</v>
      </c>
      <c r="W44" s="38"/>
    </row>
    <row r="45" spans="2:23" x14ac:dyDescent="0.25">
      <c r="B45">
        <v>15546</v>
      </c>
      <c r="C45" s="6">
        <v>42860</v>
      </c>
      <c r="D45" s="6">
        <v>42983</v>
      </c>
      <c r="E45">
        <v>16456</v>
      </c>
      <c r="F45" s="11">
        <f>electricity_cost[[#This Row],[ Index (KWh)]]-electricity_cost[[#This Row],[Original index 
(KWh)]]</f>
        <v>910</v>
      </c>
      <c r="G45" s="6">
        <v>42944</v>
      </c>
      <c r="H45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5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159.93</v>
      </c>
      <c r="J45" s="10">
        <f xml:space="preserve"> (E$6 + electricity_cost[[#This Row],[Elect. Net cost to date
(TND)]]) * (1 + E$5)</f>
        <v>205.23740000000001</v>
      </c>
      <c r="K45" s="12">
        <f>(electricity_cost[[#This Row],[Elect. Cost  VAT included
(TND)
]]-J44)/_xlfn.DAYS(electricity_cost[[#This Row],[Date of reading 
(Elect)]], G44)</f>
        <v>1.4372400000000312</v>
      </c>
      <c r="L45" s="12">
        <f>(electricity_cost[[#This Row],[Consumption to date (KWh)]] - F44)/_xlfn.DAYS(electricity_cost[[#This Row],[Date of reading 
(Elect)]], G44)</f>
        <v>6</v>
      </c>
      <c r="M45" s="7">
        <v>7978</v>
      </c>
      <c r="P45">
        <v>8077.8</v>
      </c>
      <c r="Q45" s="11">
        <f>gas_cost10[[#This Row],[ Index (m3)]] - gas_cost10[[#This Row],[Original index 
(m3)]]</f>
        <v>99.800000000000182</v>
      </c>
      <c r="R45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5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22.954000000000043</v>
      </c>
      <c r="T45" s="12">
        <f xml:space="preserve"> gas_cost10[[#This Row],[Gas Net cost to date
(TND)]]* (1 + E$5)</f>
        <v>27.085720000000048</v>
      </c>
      <c r="U45" s="12">
        <f>(gas_cost10[[#This Row],[Gas Cost to date  VAT included
(TND)
]] - T44)/_xlfn.DAYS(electricity_cost[[#This Row],[Date of reading 
(Elect)]], G44)</f>
        <v>0.21712000000005105</v>
      </c>
      <c r="V45" s="20">
        <f xml:space="preserve"> E$8 + ((electricity_cost[[#This Row],[Elect. Net cost to date
(TND)]] + E$6 + gas_cost10[[#This Row],[Gas Net cost to date
(TND)]] + E$7) * (1 + E$5))</f>
        <v>242.55912000000004</v>
      </c>
      <c r="W45" s="38"/>
    </row>
    <row r="46" spans="2:23" x14ac:dyDescent="0.25">
      <c r="B46">
        <v>15546</v>
      </c>
      <c r="C46" s="6">
        <v>42860</v>
      </c>
      <c r="D46" s="6">
        <v>42983</v>
      </c>
      <c r="E46">
        <v>16466</v>
      </c>
      <c r="F46" s="11">
        <f>electricity_cost[[#This Row],[ Index (KWh)]]-electricity_cost[[#This Row],[Original index 
(KWh)]]</f>
        <v>920</v>
      </c>
      <c r="G46" s="6">
        <v>42945</v>
      </c>
      <c r="H46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6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161.96</v>
      </c>
      <c r="J46" s="10">
        <f xml:space="preserve"> (E$6 + electricity_cost[[#This Row],[Elect. Net cost to date
(TND)]]) * (1 + E$5)</f>
        <v>207.6328</v>
      </c>
      <c r="K46" s="12">
        <f>(electricity_cost[[#This Row],[Elect. Cost  VAT included
(TND)
]]-J45)/_xlfn.DAYS(electricity_cost[[#This Row],[Date of reading 
(Elect)]], G45)</f>
        <v>2.3953999999999951</v>
      </c>
      <c r="L46" s="12">
        <f>(electricity_cost[[#This Row],[Consumption to date (KWh)]] - F45)/_xlfn.DAYS(electricity_cost[[#This Row],[Date of reading 
(Elect)]], G45)</f>
        <v>10</v>
      </c>
      <c r="M46" s="7">
        <v>7978</v>
      </c>
      <c r="P46">
        <v>8079</v>
      </c>
      <c r="Q46" s="11">
        <f>gas_cost10[[#This Row],[ Index (m3)]] - gas_cost10[[#This Row],[Original index 
(m3)]]</f>
        <v>101</v>
      </c>
      <c r="R46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6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23.23</v>
      </c>
      <c r="T46" s="12">
        <f xml:space="preserve"> gas_cost10[[#This Row],[Gas Net cost to date
(TND)]]* (1 + E$5)</f>
        <v>27.4114</v>
      </c>
      <c r="U46" s="12">
        <f>(gas_cost10[[#This Row],[Gas Cost to date  VAT included
(TND)
]] - T45)/_xlfn.DAYS(electricity_cost[[#This Row],[Date of reading 
(Elect)]], G45)</f>
        <v>0.32567999999995223</v>
      </c>
      <c r="V46" s="20">
        <f xml:space="preserve"> E$8 + ((electricity_cost[[#This Row],[Elect. Net cost to date
(TND)]] + E$6 + gas_cost10[[#This Row],[Gas Net cost to date
(TND)]] + E$7) * (1 + E$5))</f>
        <v>245.28019999999998</v>
      </c>
      <c r="W46" s="38"/>
    </row>
    <row r="47" spans="2:23" x14ac:dyDescent="0.25">
      <c r="B47">
        <v>15546</v>
      </c>
      <c r="C47" s="6">
        <v>42860</v>
      </c>
      <c r="D47" s="6">
        <v>42983</v>
      </c>
      <c r="E47">
        <v>16479</v>
      </c>
      <c r="F47" s="11">
        <f>electricity_cost[[#This Row],[ Index (KWh)]]-electricity_cost[[#This Row],[Original index 
(KWh)]]</f>
        <v>933</v>
      </c>
      <c r="G47" s="6">
        <v>42947</v>
      </c>
      <c r="H47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7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164.59899999999999</v>
      </c>
      <c r="J47" s="10">
        <f xml:space="preserve"> (E$6 + electricity_cost[[#This Row],[Elect. Net cost to date
(TND)]]) * (1 + E$5)</f>
        <v>210.74681999999999</v>
      </c>
      <c r="K47" s="12">
        <f>(electricity_cost[[#This Row],[Elect. Cost  VAT included
(TND)
]]-J46)/_xlfn.DAYS(electricity_cost[[#This Row],[Date of reading 
(Elect)]], G46)</f>
        <v>1.5570099999999911</v>
      </c>
      <c r="L47" s="12">
        <f>(electricity_cost[[#This Row],[Consumption to date (KWh)]] - F46)/_xlfn.DAYS(electricity_cost[[#This Row],[Date of reading 
(Elect)]], G46)</f>
        <v>6.5</v>
      </c>
      <c r="M47" s="7">
        <v>7978</v>
      </c>
      <c r="P47">
        <v>8080</v>
      </c>
      <c r="Q47" s="11">
        <f>gas_cost10[[#This Row],[ Index (m3)]] - gas_cost10[[#This Row],[Original index 
(m3)]]</f>
        <v>102</v>
      </c>
      <c r="R47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7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23.46</v>
      </c>
      <c r="T47" s="12">
        <f xml:space="preserve"> gas_cost10[[#This Row],[Gas Net cost to date
(TND)]]* (1 + E$5)</f>
        <v>27.6828</v>
      </c>
      <c r="U47" s="12">
        <f>(gas_cost10[[#This Row],[Gas Cost to date  VAT included
(TND)
]] - T46)/_xlfn.DAYS(electricity_cost[[#This Row],[Date of reading 
(Elect)]], G46)</f>
        <v>0.13569999999999993</v>
      </c>
      <c r="V47" s="20">
        <f xml:space="preserve"> E$8 + ((electricity_cost[[#This Row],[Elect. Net cost to date
(TND)]] + E$6 + gas_cost10[[#This Row],[Gas Net cost to date
(TND)]] + E$7) * (1 + E$5))</f>
        <v>248.66561999999999</v>
      </c>
      <c r="W47" s="38"/>
    </row>
    <row r="48" spans="2:23" x14ac:dyDescent="0.25">
      <c r="B48">
        <v>15546</v>
      </c>
      <c r="C48" s="6">
        <v>42860</v>
      </c>
      <c r="D48" s="6">
        <v>42983</v>
      </c>
      <c r="E48">
        <v>16485</v>
      </c>
      <c r="F48" s="11">
        <f>electricity_cost[[#This Row],[ Index (KWh)]]-electricity_cost[[#This Row],[Original index 
(KWh)]]</f>
        <v>939</v>
      </c>
      <c r="G48" s="6">
        <v>42948</v>
      </c>
      <c r="H48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8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165.81700000000001</v>
      </c>
      <c r="J48" s="10">
        <f xml:space="preserve"> (E$6 + electricity_cost[[#This Row],[Elect. Net cost to date
(TND)]]) * (1 + E$5)</f>
        <v>212.18405999999999</v>
      </c>
      <c r="K48" s="12">
        <f>(electricity_cost[[#This Row],[Elect. Cost  VAT included
(TND)
]]-J47)/_xlfn.DAYS(electricity_cost[[#This Row],[Date of reading 
(Elect)]], G47)</f>
        <v>1.4372400000000027</v>
      </c>
      <c r="L48" s="12">
        <f>(electricity_cost[[#This Row],[Consumption to date (KWh)]] - F47)/_xlfn.DAYS(electricity_cost[[#This Row],[Date of reading 
(Elect)]], G47)</f>
        <v>6</v>
      </c>
      <c r="M48" s="7">
        <v>7978</v>
      </c>
      <c r="P48">
        <v>8081</v>
      </c>
      <c r="Q48" s="11">
        <f>gas_cost10[[#This Row],[ Index (m3)]] - gas_cost10[[#This Row],[Original index 
(m3)]]</f>
        <v>103</v>
      </c>
      <c r="R48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8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23.69</v>
      </c>
      <c r="T48" s="12">
        <f xml:space="preserve"> gas_cost10[[#This Row],[Gas Net cost to date
(TND)]]* (1 + E$5)</f>
        <v>27.9542</v>
      </c>
      <c r="U48" s="12">
        <f>(gas_cost10[[#This Row],[Gas Cost to date  VAT included
(TND)
]] - T47)/_xlfn.DAYS(electricity_cost[[#This Row],[Date of reading 
(Elect)]], G47)</f>
        <v>0.27139999999999986</v>
      </c>
      <c r="V48" s="20">
        <f xml:space="preserve"> E$8 + ((electricity_cost[[#This Row],[Elect. Net cost to date
(TND)]] + E$6 + gas_cost10[[#This Row],[Gas Net cost to date
(TND)]] + E$7) * (1 + E$5))</f>
        <v>250.37425999999999</v>
      </c>
      <c r="W48" s="38"/>
    </row>
    <row r="49" spans="2:23" x14ac:dyDescent="0.25">
      <c r="B49">
        <v>15546</v>
      </c>
      <c r="C49" s="6">
        <v>42860</v>
      </c>
      <c r="D49" s="6">
        <v>42983</v>
      </c>
      <c r="E49">
        <v>16521</v>
      </c>
      <c r="F49" s="11">
        <f>electricity_cost[[#This Row],[ Index (KWh)]]-electricity_cost[[#This Row],[Original index 
(KWh)]]</f>
        <v>975</v>
      </c>
      <c r="G49" s="6">
        <v>42951</v>
      </c>
      <c r="H49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49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173.125</v>
      </c>
      <c r="J49" s="10">
        <f xml:space="preserve"> (E$6 + electricity_cost[[#This Row],[Elect. Net cost to date
(TND)]]) * (1 + E$5)</f>
        <v>220.80749999999998</v>
      </c>
      <c r="K49" s="12">
        <f>(electricity_cost[[#This Row],[Elect. Cost  VAT included
(TND)
]]-J48)/_xlfn.DAYS(electricity_cost[[#This Row],[Date of reading 
(Elect)]], G48)</f>
        <v>2.8744799999999961</v>
      </c>
      <c r="L49" s="12">
        <f>(electricity_cost[[#This Row],[Consumption to date (KWh)]] - F48)/_xlfn.DAYS(electricity_cost[[#This Row],[Date of reading 
(Elect)]], G48)</f>
        <v>12</v>
      </c>
      <c r="M49" s="7">
        <v>7978</v>
      </c>
      <c r="P49">
        <v>8084</v>
      </c>
      <c r="Q49" s="11">
        <f>gas_cost10[[#This Row],[ Index (m3)]] - gas_cost10[[#This Row],[Original index 
(m3)]]</f>
        <v>106</v>
      </c>
      <c r="R49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49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24.38</v>
      </c>
      <c r="T49" s="12">
        <f xml:space="preserve"> gas_cost10[[#This Row],[Gas Net cost to date
(TND)]]* (1 + E$5)</f>
        <v>28.768399999999996</v>
      </c>
      <c r="U49" s="12">
        <f>(gas_cost10[[#This Row],[Gas Cost to date  VAT included
(TND)
]] - T48)/_xlfn.DAYS(electricity_cost[[#This Row],[Date of reading 
(Elect)]], G48)</f>
        <v>0.2713999999999987</v>
      </c>
      <c r="V49" s="20">
        <f xml:space="preserve"> E$8 + ((electricity_cost[[#This Row],[Elect. Net cost to date
(TND)]] + E$6 + gas_cost10[[#This Row],[Gas Net cost to date
(TND)]] + E$7) * (1 + E$5))</f>
        <v>259.81189999999998</v>
      </c>
      <c r="W49" s="38"/>
    </row>
    <row r="50" spans="2:23" x14ac:dyDescent="0.25">
      <c r="B50">
        <v>15546</v>
      </c>
      <c r="C50" s="6">
        <v>42860</v>
      </c>
      <c r="D50" s="6">
        <v>42983</v>
      </c>
      <c r="E50">
        <v>16534</v>
      </c>
      <c r="F50" s="11">
        <f>electricity_cost[[#This Row],[ Index (KWh)]]-electricity_cost[[#This Row],[Original index 
(KWh)]]</f>
        <v>988</v>
      </c>
      <c r="G50" s="6">
        <v>42952</v>
      </c>
      <c r="H50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0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175.76400000000001</v>
      </c>
      <c r="J50" s="10">
        <f xml:space="preserve"> (E$6 + electricity_cost[[#This Row],[Elect. Net cost to date
(TND)]]) * (1 + E$5)</f>
        <v>223.92151999999999</v>
      </c>
      <c r="K50" s="12">
        <f>(electricity_cost[[#This Row],[Elect. Cost  VAT included
(TND)
]]-J49)/_xlfn.DAYS(electricity_cost[[#This Row],[Date of reading 
(Elect)]], G49)</f>
        <v>3.1140200000000107</v>
      </c>
      <c r="L50" s="12">
        <f>(electricity_cost[[#This Row],[Consumption to date (KWh)]] - F49)/_xlfn.DAYS(electricity_cost[[#This Row],[Date of reading 
(Elect)]], G49)</f>
        <v>13</v>
      </c>
      <c r="M50" s="7">
        <v>7978</v>
      </c>
      <c r="P50">
        <v>8085</v>
      </c>
      <c r="Q50" s="11">
        <f>gas_cost10[[#This Row],[ Index (m3)]] - gas_cost10[[#This Row],[Original index 
(m3)]]</f>
        <v>107</v>
      </c>
      <c r="R50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50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24.61</v>
      </c>
      <c r="T50" s="12">
        <f xml:space="preserve"> gas_cost10[[#This Row],[Gas Net cost to date
(TND)]]* (1 + E$5)</f>
        <v>29.039799999999996</v>
      </c>
      <c r="U50" s="12">
        <f>(gas_cost10[[#This Row],[Gas Cost to date  VAT included
(TND)
]] - T49)/_xlfn.DAYS(electricity_cost[[#This Row],[Date of reading 
(Elect)]], G49)</f>
        <v>0.27139999999999986</v>
      </c>
      <c r="V50" s="20">
        <f xml:space="preserve"> E$8 + ((electricity_cost[[#This Row],[Elect. Net cost to date
(TND)]] + E$6 + gas_cost10[[#This Row],[Gas Net cost to date
(TND)]] + E$7) * (1 + E$5))</f>
        <v>263.19731999999999</v>
      </c>
      <c r="W50" s="38"/>
    </row>
    <row r="51" spans="2:23" x14ac:dyDescent="0.25">
      <c r="B51">
        <v>15546</v>
      </c>
      <c r="C51" s="6">
        <v>42860</v>
      </c>
      <c r="D51" s="6">
        <v>42983</v>
      </c>
      <c r="E51">
        <v>16555</v>
      </c>
      <c r="F51" s="11">
        <f>electricity_cost[[#This Row],[ Index (KWh)]]-electricity_cost[[#This Row],[Original index 
(KWh)]]</f>
        <v>1009</v>
      </c>
      <c r="G51" s="6">
        <v>42954</v>
      </c>
      <c r="H51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1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180.02699999999999</v>
      </c>
      <c r="J51" s="10">
        <f xml:space="preserve"> (E$6 + electricity_cost[[#This Row],[Elect. Net cost to date
(TND)]]) * (1 + E$5)</f>
        <v>228.95185999999998</v>
      </c>
      <c r="K51" s="12">
        <f>(electricity_cost[[#This Row],[Elect. Cost  VAT included
(TND)
]]-J50)/_xlfn.DAYS(electricity_cost[[#This Row],[Date of reading 
(Elect)]], G50)</f>
        <v>2.5151699999999977</v>
      </c>
      <c r="L51" s="12">
        <f>(electricity_cost[[#This Row],[Consumption to date (KWh)]] - F50)/_xlfn.DAYS(electricity_cost[[#This Row],[Date of reading 
(Elect)]], G50)</f>
        <v>10.5</v>
      </c>
      <c r="M51" s="7">
        <v>7978</v>
      </c>
      <c r="P51">
        <v>8087</v>
      </c>
      <c r="Q51" s="11">
        <f>gas_cost10[[#This Row],[ Index (m3)]] - gas_cost10[[#This Row],[Original index 
(m3)]]</f>
        <v>109</v>
      </c>
      <c r="R51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51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25.07</v>
      </c>
      <c r="T51" s="12">
        <f xml:space="preserve"> gas_cost10[[#This Row],[Gas Net cost to date
(TND)]]* (1 + E$5)</f>
        <v>29.582599999999999</v>
      </c>
      <c r="U51" s="12">
        <f>(gas_cost10[[#This Row],[Gas Cost to date  VAT included
(TND)
]] - T50)/_xlfn.DAYS(electricity_cost[[#This Row],[Date of reading 
(Elect)]], G50)</f>
        <v>0.27140000000000164</v>
      </c>
      <c r="V51" s="20">
        <f xml:space="preserve"> E$8 + ((electricity_cost[[#This Row],[Elect. Net cost to date
(TND)]] + E$6 + gas_cost10[[#This Row],[Gas Net cost to date
(TND)]] + E$7) * (1 + E$5))</f>
        <v>268.77045999999996</v>
      </c>
      <c r="W51" s="38"/>
    </row>
    <row r="52" spans="2:23" x14ac:dyDescent="0.25">
      <c r="B52">
        <v>15546</v>
      </c>
      <c r="C52" s="6">
        <v>42860</v>
      </c>
      <c r="D52" s="6">
        <v>42983</v>
      </c>
      <c r="E52">
        <v>16594</v>
      </c>
      <c r="F52" s="11">
        <f>electricity_cost[[#This Row],[ Index (KWh)]]-electricity_cost[[#This Row],[Original index 
(KWh)]]</f>
        <v>1048</v>
      </c>
      <c r="G52" s="6">
        <v>42961</v>
      </c>
      <c r="H52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2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187.94399999999999</v>
      </c>
      <c r="J52" s="10">
        <f xml:space="preserve"> (E$6 + electricity_cost[[#This Row],[Elect. Net cost to date
(TND)]]) * (1 + E$5)</f>
        <v>238.29391999999999</v>
      </c>
      <c r="K52" s="12">
        <f>(electricity_cost[[#This Row],[Elect. Cost  VAT included
(TND)
]]-J51)/_xlfn.DAYS(electricity_cost[[#This Row],[Date of reading 
(Elect)]], G51)</f>
        <v>1.3345800000000005</v>
      </c>
      <c r="L52" s="12">
        <f>(electricity_cost[[#This Row],[Consumption to date (KWh)]] - F51)/_xlfn.DAYS(electricity_cost[[#This Row],[Date of reading 
(Elect)]], G51)</f>
        <v>5.5714285714285712</v>
      </c>
      <c r="M52" s="7">
        <v>7978</v>
      </c>
      <c r="P52">
        <v>8087</v>
      </c>
      <c r="Q52" s="11">
        <f>gas_cost10[[#This Row],[ Index (m3)]] - gas_cost10[[#This Row],[Original index 
(m3)]]</f>
        <v>109</v>
      </c>
      <c r="R52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52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25.07</v>
      </c>
      <c r="T52" s="12">
        <f xml:space="preserve"> gas_cost10[[#This Row],[Gas Net cost to date
(TND)]]* (1 + E$5)</f>
        <v>29.582599999999999</v>
      </c>
      <c r="U52" s="12">
        <f>(gas_cost10[[#This Row],[Gas Cost to date  VAT included
(TND)
]] - T51)/_xlfn.DAYS(electricity_cost[[#This Row],[Date of reading 
(Elect)]], G51)</f>
        <v>0</v>
      </c>
      <c r="V52" s="20">
        <f xml:space="preserve"> E$8 + ((electricity_cost[[#This Row],[Elect. Net cost to date
(TND)]] + E$6 + gas_cost10[[#This Row],[Gas Net cost to date
(TND)]] + E$7) * (1 + E$5))</f>
        <v>278.11251999999996</v>
      </c>
      <c r="W52" s="38"/>
    </row>
    <row r="53" spans="2:23" x14ac:dyDescent="0.25">
      <c r="B53">
        <v>15546</v>
      </c>
      <c r="C53" s="6">
        <v>42860</v>
      </c>
      <c r="D53" s="6">
        <v>42983</v>
      </c>
      <c r="E53">
        <v>16601</v>
      </c>
      <c r="F53" s="11">
        <f>electricity_cost[[#This Row],[ Index (KWh)]]-electricity_cost[[#This Row],[Original index 
(KWh)]]</f>
        <v>1055</v>
      </c>
      <c r="G53" s="6">
        <v>42962</v>
      </c>
      <c r="H53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3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189.36500000000001</v>
      </c>
      <c r="J53" s="10">
        <f xml:space="preserve"> (E$6 + electricity_cost[[#This Row],[Elect. Net cost to date
(TND)]]) * (1 + E$5)</f>
        <v>239.97069999999999</v>
      </c>
      <c r="K53" s="12">
        <f>(electricity_cost[[#This Row],[Elect. Cost  VAT included
(TND)
]]-J52)/_xlfn.DAYS(electricity_cost[[#This Row],[Date of reading 
(Elect)]], G52)</f>
        <v>1.6767800000000079</v>
      </c>
      <c r="L53" s="12">
        <f>(electricity_cost[[#This Row],[Consumption to date (KWh)]] - F52)/_xlfn.DAYS(electricity_cost[[#This Row],[Date of reading 
(Elect)]], G52)</f>
        <v>7</v>
      </c>
      <c r="M53" s="7">
        <v>7978</v>
      </c>
      <c r="P53">
        <v>8089</v>
      </c>
      <c r="Q53" s="11">
        <f>gas_cost10[[#This Row],[ Index (m3)]] - gas_cost10[[#This Row],[Original index 
(m3)]]</f>
        <v>111</v>
      </c>
      <c r="R53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53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25.53</v>
      </c>
      <c r="T53" s="12">
        <f xml:space="preserve"> gas_cost10[[#This Row],[Gas Net cost to date
(TND)]]* (1 + E$5)</f>
        <v>30.125399999999999</v>
      </c>
      <c r="U53" s="12">
        <f>(gas_cost10[[#This Row],[Gas Cost to date  VAT included
(TND)
]] - T52)/_xlfn.DAYS(electricity_cost[[#This Row],[Date of reading 
(Elect)]], G52)</f>
        <v>0.54279999999999973</v>
      </c>
      <c r="V53" s="20">
        <f xml:space="preserve"> E$8 + ((electricity_cost[[#This Row],[Elect. Net cost to date
(TND)]] + E$6 + gas_cost10[[#This Row],[Gas Net cost to date
(TND)]] + E$7) * (1 + E$5))</f>
        <v>280.33209999999997</v>
      </c>
      <c r="W53" s="38"/>
    </row>
    <row r="54" spans="2:23" x14ac:dyDescent="0.25">
      <c r="B54">
        <v>15546</v>
      </c>
      <c r="C54" s="6">
        <v>42860</v>
      </c>
      <c r="D54" s="6">
        <v>42983</v>
      </c>
      <c r="E54">
        <v>16629</v>
      </c>
      <c r="F54" s="11">
        <f>electricity_cost[[#This Row],[ Index (KWh)]]-electricity_cost[[#This Row],[Original index 
(KWh)]]</f>
        <v>1083</v>
      </c>
      <c r="G54" s="6">
        <v>42968</v>
      </c>
      <c r="H54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4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195.04900000000001</v>
      </c>
      <c r="J54" s="10">
        <f xml:space="preserve"> (E$6 + electricity_cost[[#This Row],[Elect. Net cost to date
(TND)]]) * (1 + E$5)</f>
        <v>246.67782</v>
      </c>
      <c r="K54" s="12">
        <f>(electricity_cost[[#This Row],[Elect. Cost  VAT included
(TND)
]]-J53)/_xlfn.DAYS(electricity_cost[[#This Row],[Date of reading 
(Elect)]], G53)</f>
        <v>1.1178533333333338</v>
      </c>
      <c r="L54" s="12">
        <f>(electricity_cost[[#This Row],[Consumption to date (KWh)]] - F53)/_xlfn.DAYS(electricity_cost[[#This Row],[Date of reading 
(Elect)]], G53)</f>
        <v>4.666666666666667</v>
      </c>
      <c r="M54" s="7">
        <v>7978</v>
      </c>
      <c r="P54">
        <v>8092</v>
      </c>
      <c r="Q54" s="11">
        <f>gas_cost10[[#This Row],[ Index (m3)]] - gas_cost10[[#This Row],[Original index 
(m3)]]</f>
        <v>114</v>
      </c>
      <c r="R54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54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26.22</v>
      </c>
      <c r="T54" s="12">
        <f xml:space="preserve"> gas_cost10[[#This Row],[Gas Net cost to date
(TND)]]* (1 + E$5)</f>
        <v>30.939599999999999</v>
      </c>
      <c r="U54" s="12">
        <f>(gas_cost10[[#This Row],[Gas Cost to date  VAT included
(TND)
]] - T53)/_xlfn.DAYS(electricity_cost[[#This Row],[Date of reading 
(Elect)]], G53)</f>
        <v>0.13569999999999993</v>
      </c>
      <c r="V54" s="20">
        <f xml:space="preserve"> E$8 + ((electricity_cost[[#This Row],[Elect. Net cost to date
(TND)]] + E$6 + gas_cost10[[#This Row],[Gas Net cost to date
(TND)]] + E$7) * (1 + E$5))</f>
        <v>287.85341999999997</v>
      </c>
      <c r="W54" s="38"/>
    </row>
    <row r="55" spans="2:23" x14ac:dyDescent="0.25">
      <c r="B55">
        <v>15546</v>
      </c>
      <c r="C55" s="6">
        <v>42860</v>
      </c>
      <c r="D55" s="6">
        <v>42983</v>
      </c>
      <c r="E55">
        <v>16632</v>
      </c>
      <c r="F55" s="11">
        <f>electricity_cost[[#This Row],[ Index (KWh)]]-electricity_cost[[#This Row],[Original index 
(KWh)]]</f>
        <v>1086</v>
      </c>
      <c r="G55" s="6">
        <v>42969</v>
      </c>
      <c r="H55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5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195.65799999999999</v>
      </c>
      <c r="J55" s="10">
        <f xml:space="preserve"> (E$6 + electricity_cost[[#This Row],[Elect. Net cost to date
(TND)]]) * (1 + E$5)</f>
        <v>247.39643999999998</v>
      </c>
      <c r="K55" s="12">
        <f>(electricity_cost[[#This Row],[Elect. Cost  VAT included
(TND)
]]-J54)/_xlfn.DAYS(electricity_cost[[#This Row],[Date of reading 
(Elect)]], G54)</f>
        <v>0.71861999999998716</v>
      </c>
      <c r="L55" s="12">
        <f>(electricity_cost[[#This Row],[Consumption to date (KWh)]] - F54)/_xlfn.DAYS(electricity_cost[[#This Row],[Date of reading 
(Elect)]], G54)</f>
        <v>3</v>
      </c>
      <c r="M55" s="7">
        <v>7978</v>
      </c>
      <c r="P55">
        <v>8093</v>
      </c>
      <c r="Q55" s="11">
        <f>gas_cost10[[#This Row],[ Index (m3)]] - gas_cost10[[#This Row],[Original index 
(m3)]]</f>
        <v>115</v>
      </c>
      <c r="R55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55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26.45</v>
      </c>
      <c r="T55" s="12">
        <f xml:space="preserve"> gas_cost10[[#This Row],[Gas Net cost to date
(TND)]]* (1 + E$5)</f>
        <v>31.210999999999999</v>
      </c>
      <c r="U55" s="12">
        <f>(gas_cost10[[#This Row],[Gas Cost to date  VAT included
(TND)
]] - T54)/_xlfn.DAYS(electricity_cost[[#This Row],[Date of reading 
(Elect)]], G54)</f>
        <v>0.27139999999999986</v>
      </c>
      <c r="V55" s="20">
        <f xml:space="preserve"> E$8 + ((electricity_cost[[#This Row],[Elect. Net cost to date
(TND)]] + E$6 + gas_cost10[[#This Row],[Gas Net cost to date
(TND)]] + E$7) * (1 + E$5))</f>
        <v>288.84343999999993</v>
      </c>
      <c r="W55" s="38"/>
    </row>
    <row r="56" spans="2:23" x14ac:dyDescent="0.25">
      <c r="B56">
        <v>15546</v>
      </c>
      <c r="C56" s="6">
        <v>42860</v>
      </c>
      <c r="D56" s="6">
        <v>42983</v>
      </c>
      <c r="E56">
        <v>16659</v>
      </c>
      <c r="F56" s="11">
        <f>electricity_cost[[#This Row],[ Index (KWh)]]-electricity_cost[[#This Row],[Original index 
(KWh)]]</f>
        <v>1113</v>
      </c>
      <c r="G56" s="6">
        <v>42973</v>
      </c>
      <c r="H56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6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201.13900000000001</v>
      </c>
      <c r="J56" s="10">
        <f xml:space="preserve"> (E$6 + electricity_cost[[#This Row],[Elect. Net cost to date
(TND)]]) * (1 + E$5)</f>
        <v>253.86402000000001</v>
      </c>
      <c r="K56" s="12">
        <f>(electricity_cost[[#This Row],[Elect. Cost  VAT included
(TND)
]]-J55)/_xlfn.DAYS(electricity_cost[[#This Row],[Date of reading 
(Elect)]], G55)</f>
        <v>1.6168950000000066</v>
      </c>
      <c r="L56" s="12">
        <f>(electricity_cost[[#This Row],[Consumption to date (KWh)]] - F55)/_xlfn.DAYS(electricity_cost[[#This Row],[Date of reading 
(Elect)]], G55)</f>
        <v>6.75</v>
      </c>
      <c r="M56" s="7">
        <v>7978</v>
      </c>
      <c r="P56">
        <v>8097</v>
      </c>
      <c r="Q56" s="11">
        <f>gas_cost10[[#This Row],[ Index (m3)]] - gas_cost10[[#This Row],[Original index 
(m3)]]</f>
        <v>119</v>
      </c>
      <c r="R56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56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27.37</v>
      </c>
      <c r="T56" s="12">
        <f xml:space="preserve"> gas_cost10[[#This Row],[Gas Net cost to date
(TND)]]* (1 + E$5)</f>
        <v>32.296599999999998</v>
      </c>
      <c r="U56" s="12">
        <f>(gas_cost10[[#This Row],[Gas Cost to date  VAT included
(TND)
]] - T55)/_xlfn.DAYS(electricity_cost[[#This Row],[Date of reading 
(Elect)]], G55)</f>
        <v>0.27139999999999986</v>
      </c>
      <c r="V56" s="20">
        <f xml:space="preserve"> E$8 + ((electricity_cost[[#This Row],[Elect. Net cost to date
(TND)]] + E$6 + gas_cost10[[#This Row],[Gas Net cost to date
(TND)]] + E$7) * (1 + E$5))</f>
        <v>296.39661999999998</v>
      </c>
      <c r="W56" s="38"/>
    </row>
    <row r="57" spans="2:23" x14ac:dyDescent="0.25">
      <c r="B57">
        <v>15546</v>
      </c>
      <c r="C57" s="6">
        <v>42860</v>
      </c>
      <c r="D57" s="6">
        <v>42983</v>
      </c>
      <c r="E57">
        <v>16663</v>
      </c>
      <c r="F57" s="11">
        <f>electricity_cost[[#This Row],[ Index (KWh)]]-electricity_cost[[#This Row],[Original index 
(KWh)]]</f>
        <v>1117</v>
      </c>
      <c r="G57" s="6">
        <v>42974</v>
      </c>
      <c r="H57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7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201.95099999999999</v>
      </c>
      <c r="J57" s="10">
        <f xml:space="preserve"> (E$6 + electricity_cost[[#This Row],[Elect. Net cost to date
(TND)]]) * (1 + E$5)</f>
        <v>254.82217999999997</v>
      </c>
      <c r="K57" s="12">
        <f>(electricity_cost[[#This Row],[Elect. Cost  VAT included
(TND)
]]-J56)/_xlfn.DAYS(electricity_cost[[#This Row],[Date of reading 
(Elect)]], G56)</f>
        <v>0.95815999999996393</v>
      </c>
      <c r="L57" s="12">
        <f>(electricity_cost[[#This Row],[Consumption to date (KWh)]] - F56)/_xlfn.DAYS(electricity_cost[[#This Row],[Date of reading 
(Elect)]], G56)</f>
        <v>4</v>
      </c>
      <c r="M57" s="7">
        <v>7978</v>
      </c>
      <c r="P57">
        <v>8097</v>
      </c>
      <c r="Q57" s="11">
        <f>gas_cost10[[#This Row],[ Index (m3)]] - gas_cost10[[#This Row],[Original index 
(m3)]]</f>
        <v>119</v>
      </c>
      <c r="R57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1</v>
      </c>
      <c r="S57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27.37</v>
      </c>
      <c r="T57" s="12">
        <f xml:space="preserve"> gas_cost10[[#This Row],[Gas Net cost to date
(TND)]]* (1 + E$5)</f>
        <v>32.296599999999998</v>
      </c>
      <c r="U57" s="12">
        <f>(gas_cost10[[#This Row],[Gas Cost to date  VAT included
(TND)
]] - T56)/_xlfn.DAYS(electricity_cost[[#This Row],[Date of reading 
(Elect)]], G56)</f>
        <v>0</v>
      </c>
      <c r="V57" s="20">
        <f xml:space="preserve"> E$8 + ((electricity_cost[[#This Row],[Elect. Net cost to date
(TND)]] + E$6 + gas_cost10[[#This Row],[Gas Net cost to date
(TND)]] + E$7) * (1 + E$5))</f>
        <v>297.35477999999995</v>
      </c>
      <c r="W57" s="38"/>
    </row>
    <row r="58" spans="2:23" x14ac:dyDescent="0.25">
      <c r="B58">
        <v>15546</v>
      </c>
      <c r="C58" s="6">
        <v>42860</v>
      </c>
      <c r="D58" s="6">
        <v>42983</v>
      </c>
      <c r="E58">
        <v>16669</v>
      </c>
      <c r="F58" s="11">
        <f>electricity_cost[[#This Row],[ Index (KWh)]]-electricity_cost[[#This Row],[Original index 
(KWh)]]</f>
        <v>1123</v>
      </c>
      <c r="G58" s="6">
        <v>42975</v>
      </c>
      <c r="H58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8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203.16900000000001</v>
      </c>
      <c r="J58" s="10">
        <f xml:space="preserve"> (E$6 + electricity_cost[[#This Row],[Elect. Net cost to date
(TND)]]) * (1 + E$5)</f>
        <v>256.25941999999998</v>
      </c>
      <c r="K58" s="12">
        <f>(electricity_cost[[#This Row],[Elect. Cost  VAT included
(TND)
]]-J57)/_xlfn.DAYS(electricity_cost[[#This Row],[Date of reading 
(Elect)]], G57)</f>
        <v>1.4372400000000027</v>
      </c>
      <c r="L58" s="12">
        <f>(electricity_cost[[#This Row],[Consumption to date (KWh)]] - F57)/_xlfn.DAYS(electricity_cost[[#This Row],[Date of reading 
(Elect)]], G57)</f>
        <v>6</v>
      </c>
      <c r="M58" s="7">
        <v>7978</v>
      </c>
      <c r="P58">
        <v>8099</v>
      </c>
      <c r="Q58" s="11">
        <f>gas_cost10[[#This Row],[ Index (m3)]] - gas_cost10[[#This Row],[Original index 
(m3)]]</f>
        <v>121</v>
      </c>
      <c r="R58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2</v>
      </c>
      <c r="S58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35.090000000000003</v>
      </c>
      <c r="T58" s="12">
        <f xml:space="preserve"> gas_cost10[[#This Row],[Gas Net cost to date
(TND)]]* (1 + E$5)</f>
        <v>41.406199999999998</v>
      </c>
      <c r="U58" s="12">
        <f>(gas_cost10[[#This Row],[Gas Cost to date  VAT included
(TND)
]] - T57)/_xlfn.DAYS(electricity_cost[[#This Row],[Date of reading 
(Elect)]], G57)</f>
        <v>9.1096000000000004</v>
      </c>
      <c r="V58" s="20">
        <f xml:space="preserve"> E$8 + ((electricity_cost[[#This Row],[Elect. Net cost to date
(TND)]] + E$6 + gas_cost10[[#This Row],[Gas Net cost to date
(TND)]] + E$7) * (1 + E$5))</f>
        <v>307.90161999999998</v>
      </c>
      <c r="W58" s="38"/>
    </row>
    <row r="59" spans="2:23" x14ac:dyDescent="0.25">
      <c r="B59">
        <v>15546</v>
      </c>
      <c r="C59" s="6">
        <v>42860</v>
      </c>
      <c r="D59" s="6">
        <v>42983</v>
      </c>
      <c r="E59">
        <v>16699</v>
      </c>
      <c r="F59" s="11">
        <f>electricity_cost[[#This Row],[ Index (KWh)]]-electricity_cost[[#This Row],[Original index 
(KWh)]]</f>
        <v>1153</v>
      </c>
      <c r="G59" s="6">
        <v>42978</v>
      </c>
      <c r="H59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59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209.25899999999999</v>
      </c>
      <c r="J59" s="10">
        <f xml:space="preserve"> (E$6 + electricity_cost[[#This Row],[Elect. Net cost to date
(TND)]]) * (1 + E$5)</f>
        <v>263.44561999999996</v>
      </c>
      <c r="K59" s="12">
        <f>(electricity_cost[[#This Row],[Elect. Cost  VAT included
(TND)
]]-J58)/_xlfn.DAYS(electricity_cost[[#This Row],[Date of reading 
(Elect)]], G58)</f>
        <v>2.3953999999999951</v>
      </c>
      <c r="L59" s="12">
        <f>(electricity_cost[[#This Row],[Consumption to date (KWh)]] - F58)/_xlfn.DAYS(electricity_cost[[#This Row],[Date of reading 
(Elect)]], G58)</f>
        <v>10</v>
      </c>
      <c r="M59" s="7">
        <v>7978</v>
      </c>
      <c r="P59">
        <v>8102</v>
      </c>
      <c r="Q59" s="11">
        <f>gas_cost10[[#This Row],[ Index (m3)]] - gas_cost10[[#This Row],[Original index 
(m3)]]</f>
        <v>124</v>
      </c>
      <c r="R59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2</v>
      </c>
      <c r="S59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35.96</v>
      </c>
      <c r="T59" s="12">
        <f xml:space="preserve"> gas_cost10[[#This Row],[Gas Net cost to date
(TND)]]* (1 + E$5)</f>
        <v>42.4328</v>
      </c>
      <c r="U59" s="12">
        <f>(gas_cost10[[#This Row],[Gas Cost to date  VAT included
(TND)
]] - T58)/_xlfn.DAYS(electricity_cost[[#This Row],[Date of reading 
(Elect)]], G58)</f>
        <v>0.34220000000000067</v>
      </c>
      <c r="V59" s="20">
        <f xml:space="preserve"> E$8 + ((electricity_cost[[#This Row],[Elect. Net cost to date
(TND)]] + E$6 + gas_cost10[[#This Row],[Gas Net cost to date
(TND)]] + E$7) * (1 + E$5))</f>
        <v>316.11441999999994</v>
      </c>
      <c r="W59" s="38"/>
    </row>
    <row r="60" spans="2:23" x14ac:dyDescent="0.25">
      <c r="B60">
        <v>15546</v>
      </c>
      <c r="C60" s="6">
        <v>42860</v>
      </c>
      <c r="D60" s="6">
        <v>42983</v>
      </c>
      <c r="E60">
        <v>16706</v>
      </c>
      <c r="F60" s="11">
        <f>electricity_cost[[#This Row],[ Index (KWh)]]-electricity_cost[[#This Row],[Original index 
(KWh)]]</f>
        <v>1160</v>
      </c>
      <c r="G60" s="6">
        <v>42981</v>
      </c>
      <c r="H60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60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210.68</v>
      </c>
      <c r="J60" s="10">
        <f xml:space="preserve"> (E$6 + electricity_cost[[#This Row],[Elect. Net cost to date
(TND)]]) * (1 + E$5)</f>
        <v>265.12239999999997</v>
      </c>
      <c r="K60" s="12">
        <f>(electricity_cost[[#This Row],[Elect. Cost  VAT included
(TND)
]]-J59)/_xlfn.DAYS(electricity_cost[[#This Row],[Date of reading 
(Elect)]], G59)</f>
        <v>0.55892666666666935</v>
      </c>
      <c r="L60" s="12">
        <f>(electricity_cost[[#This Row],[Consumption to date (KWh)]] - F59)/_xlfn.DAYS(electricity_cost[[#This Row],[Date of reading 
(Elect)]], G59)</f>
        <v>2.3333333333333335</v>
      </c>
      <c r="M60" s="7">
        <v>7978</v>
      </c>
      <c r="P60">
        <v>8103</v>
      </c>
      <c r="Q60" s="11">
        <f>gas_cost10[[#This Row],[ Index (m3)]] - gas_cost10[[#This Row],[Original index 
(m3)]]</f>
        <v>125</v>
      </c>
      <c r="R60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2</v>
      </c>
      <c r="S60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36.25</v>
      </c>
      <c r="T60" s="12">
        <f xml:space="preserve"> gas_cost10[[#This Row],[Gas Net cost to date
(TND)]]* (1 + E$5)</f>
        <v>42.774999999999999</v>
      </c>
      <c r="U60" s="12">
        <f>(gas_cost10[[#This Row],[Gas Cost to date  VAT included
(TND)
]] - T59)/_xlfn.DAYS(electricity_cost[[#This Row],[Date of reading 
(Elect)]], G59)</f>
        <v>0.11406666666666609</v>
      </c>
      <c r="V60" s="20">
        <f xml:space="preserve"> E$8 + ((electricity_cost[[#This Row],[Elect. Net cost to date
(TND)]] + E$6 + gas_cost10[[#This Row],[Gas Net cost to date
(TND)]] + E$7) * (1 + E$5))</f>
        <v>318.13339999999999</v>
      </c>
      <c r="W60" s="38"/>
    </row>
    <row r="61" spans="2:23" x14ac:dyDescent="0.25">
      <c r="B61">
        <v>15546</v>
      </c>
      <c r="C61" s="6">
        <v>42860</v>
      </c>
      <c r="D61" s="6">
        <v>42983</v>
      </c>
      <c r="E61">
        <v>16710</v>
      </c>
      <c r="F61" s="11">
        <f>electricity_cost[[#This Row],[ Index (KWh)]]-electricity_cost[[#This Row],[Original index 
(KWh)]]</f>
        <v>1164</v>
      </c>
      <c r="G61" s="6">
        <v>42982</v>
      </c>
      <c r="H61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61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211.49199999999999</v>
      </c>
      <c r="J61" s="10">
        <f xml:space="preserve"> (E$6 + electricity_cost[[#This Row],[Elect. Net cost to date
(TND)]]) * (1 + E$5)</f>
        <v>266.08055999999999</v>
      </c>
      <c r="K61" s="12">
        <f>(electricity_cost[[#This Row],[Elect. Cost  VAT included
(TND)
]]-J60)/_xlfn.DAYS(electricity_cost[[#This Row],[Date of reading 
(Elect)]], G60)</f>
        <v>0.95816000000002077</v>
      </c>
      <c r="L61" s="12">
        <f>(electricity_cost[[#This Row],[Consumption to date (KWh)]] - F60)/_xlfn.DAYS(electricity_cost[[#This Row],[Date of reading 
(Elect)]], G60)</f>
        <v>4</v>
      </c>
      <c r="M61" s="7">
        <v>7978</v>
      </c>
      <c r="P61">
        <v>8104</v>
      </c>
      <c r="Q61" s="11">
        <f>gas_cost10[[#This Row],[ Index (m3)]] - gas_cost10[[#This Row],[Original index 
(m3)]]</f>
        <v>126</v>
      </c>
      <c r="R61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2</v>
      </c>
      <c r="S61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36.54</v>
      </c>
      <c r="T61" s="12">
        <f xml:space="preserve"> gas_cost10[[#This Row],[Gas Net cost to date
(TND)]]* (1 + E$5)</f>
        <v>43.117199999999997</v>
      </c>
      <c r="U61" s="12">
        <f>(gas_cost10[[#This Row],[Gas Cost to date  VAT included
(TND)
]] - T60)/_xlfn.DAYS(electricity_cost[[#This Row],[Date of reading 
(Elect)]], G60)</f>
        <v>0.34219999999999828</v>
      </c>
      <c r="V61" s="20">
        <f xml:space="preserve"> E$8 + ((electricity_cost[[#This Row],[Elect. Net cost to date
(TND)]] + E$6 + gas_cost10[[#This Row],[Gas Net cost to date
(TND)]] + E$7) * (1 + E$5))</f>
        <v>319.43375999999995</v>
      </c>
      <c r="W61" s="38"/>
    </row>
    <row r="62" spans="2:23" x14ac:dyDescent="0.25">
      <c r="B62" s="9">
        <v>15546</v>
      </c>
      <c r="C62" s="41">
        <v>42860</v>
      </c>
      <c r="D62" s="41">
        <v>42983</v>
      </c>
      <c r="E62" s="9">
        <v>16714</v>
      </c>
      <c r="F62" s="42">
        <f>electricity_cost[[#This Row],[ Index (KWh)]]-electricity_cost[[#This Row],[Original index 
(KWh)]]</f>
        <v>1168</v>
      </c>
      <c r="G62" s="41">
        <v>42983</v>
      </c>
      <c r="H62" s="43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62" s="44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212.304</v>
      </c>
      <c r="J62" s="44">
        <f xml:space="preserve"> (E$6 + electricity_cost[[#This Row],[Elect. Net cost to date
(TND)]]) * (1 + E$5)</f>
        <v>267.03872000000001</v>
      </c>
      <c r="K62" s="45">
        <f>(electricity_cost[[#This Row],[Elect. Cost  VAT included
(TND)
]]-J61)/_xlfn.DAYS(electricity_cost[[#This Row],[Date of reading 
(Elect)]], G61)</f>
        <v>0.95816000000002077</v>
      </c>
      <c r="L62" s="45">
        <f>(electricity_cost[[#This Row],[Consumption to date (KWh)]] - F61)/_xlfn.DAYS(electricity_cost[[#This Row],[Date of reading 
(Elect)]], G61)</f>
        <v>4</v>
      </c>
      <c r="M62" s="46">
        <v>7978</v>
      </c>
      <c r="N62" s="9"/>
      <c r="O62" s="9"/>
      <c r="P62" s="9">
        <v>8104</v>
      </c>
      <c r="Q62" s="42">
        <f>gas_cost10[[#This Row],[ Index (m3)]] - gas_cost10[[#This Row],[Original index 
(m3)]]</f>
        <v>126</v>
      </c>
      <c r="R62" s="42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2</v>
      </c>
      <c r="S62" s="45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36.54</v>
      </c>
      <c r="T62" s="45">
        <f xml:space="preserve"> gas_cost10[[#This Row],[Gas Net cost to date
(TND)]]* (1 + E$5)</f>
        <v>43.117199999999997</v>
      </c>
      <c r="U62" s="45">
        <f>(gas_cost10[[#This Row],[Gas Cost to date  VAT included
(TND)
]] - T61)/_xlfn.DAYS(electricity_cost[[#This Row],[Date of reading 
(Elect)]], G61)</f>
        <v>0</v>
      </c>
      <c r="V62" s="47">
        <f xml:space="preserve"> E$8 + ((electricity_cost[[#This Row],[Elect. Net cost to date
(TND)]] + E$6 + gas_cost10[[#This Row],[Gas Net cost to date
(TND)]] + E$7) * (1 + E$5))</f>
        <v>320.39191999999997</v>
      </c>
      <c r="W62" s="47">
        <v>312</v>
      </c>
    </row>
    <row r="63" spans="2:23" x14ac:dyDescent="0.25">
      <c r="B63">
        <v>15546</v>
      </c>
      <c r="C63" s="6">
        <v>42860</v>
      </c>
      <c r="D63" s="6">
        <v>42983</v>
      </c>
      <c r="E63">
        <v>16726</v>
      </c>
      <c r="F63" s="11">
        <f>electricity_cost[[#This Row],[ Index (KWh)]]-electricity_cost[[#This Row],[Original index 
(KWh)]]</f>
        <v>1180</v>
      </c>
      <c r="G63" s="6">
        <v>42985</v>
      </c>
      <c r="H63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2</v>
      </c>
      <c r="I63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214.74</v>
      </c>
      <c r="J63" s="10">
        <f xml:space="preserve"> (E$6 + electricity_cost[[#This Row],[Elect. Net cost to date
(TND)]]) * (1 + E$5)</f>
        <v>269.91320000000002</v>
      </c>
      <c r="K63" s="12">
        <f>(electricity_cost[[#This Row],[Elect. Cost  VAT included
(TND)
]]-J62)/_xlfn.DAYS(electricity_cost[[#This Row],[Date of reading 
(Elect)]], G62)</f>
        <v>1.4372400000000027</v>
      </c>
      <c r="L63" s="12">
        <f>(electricity_cost[[#This Row],[Consumption to date (KWh)]] - F62)/_xlfn.DAYS(electricity_cost[[#This Row],[Date of reading 
(Elect)]], G62)</f>
        <v>6</v>
      </c>
      <c r="M63" s="7">
        <v>7978</v>
      </c>
      <c r="P63">
        <v>8107</v>
      </c>
      <c r="Q63" s="11">
        <f>gas_cost10[[#This Row],[ Index (m3)]] - gas_cost10[[#This Row],[Original index 
(m3)]]</f>
        <v>129</v>
      </c>
      <c r="R63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2</v>
      </c>
      <c r="S63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37.409999999999997</v>
      </c>
      <c r="T63" s="12">
        <f xml:space="preserve"> gas_cost10[[#This Row],[Gas Net cost to date
(TND)]]* (1 + E$5)</f>
        <v>44.143799999999992</v>
      </c>
      <c r="U63" s="12">
        <f>(gas_cost10[[#This Row],[Gas Cost to date  VAT included
(TND)
]] - T62)/_xlfn.DAYS(electricity_cost[[#This Row],[Date of reading 
(Elect)]], G62)</f>
        <v>0.51329999999999742</v>
      </c>
      <c r="V63" s="20">
        <f xml:space="preserve"> E$8 + ((electricity_cost[[#This Row],[Elect. Net cost to date
(TND)]] + E$6 + gas_cost10[[#This Row],[Gas Net cost to date
(TND)]] + E$7) * (1 + E$5))</f>
        <v>324.29299999999995</v>
      </c>
      <c r="W63" s="38"/>
    </row>
    <row r="64" spans="2:23" x14ac:dyDescent="0.25">
      <c r="B64">
        <v>15546</v>
      </c>
      <c r="C64" s="6">
        <v>42860</v>
      </c>
      <c r="D64" s="6">
        <v>42983</v>
      </c>
      <c r="E64">
        <v>16756</v>
      </c>
      <c r="F64" s="11">
        <f>electricity_cost[[#This Row],[ Index (KWh)]]-electricity_cost[[#This Row],[Original index 
(KWh)]]</f>
        <v>1210</v>
      </c>
      <c r="G64" s="6">
        <v>42990</v>
      </c>
      <c r="H64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3</v>
      </c>
      <c r="I64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221.49700000000001</v>
      </c>
      <c r="J64" s="10">
        <f xml:space="preserve"> (E$6 + electricity_cost[[#This Row],[Elect. Net cost to date
(TND)]]) * (1 + E$5)</f>
        <v>277.88646</v>
      </c>
      <c r="K64" s="12">
        <f>(electricity_cost[[#This Row],[Elect. Cost  VAT included
(TND)
]]-J63)/_xlfn.DAYS(electricity_cost[[#This Row],[Date of reading 
(Elect)]], G63)</f>
        <v>1.5946519999999964</v>
      </c>
      <c r="L64" s="12">
        <f>(electricity_cost[[#This Row],[Consumption to date (KWh)]] - F63)/_xlfn.DAYS(electricity_cost[[#This Row],[Date of reading 
(Elect)]], G63)</f>
        <v>6</v>
      </c>
      <c r="M64" s="7">
        <v>7978</v>
      </c>
      <c r="P64">
        <v>8113</v>
      </c>
      <c r="Q64" s="11">
        <f>gas_cost10[[#This Row],[ Index (m3)]] - gas_cost10[[#This Row],[Original index 
(m3)]]</f>
        <v>135</v>
      </c>
      <c r="R64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2</v>
      </c>
      <c r="S64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39.15</v>
      </c>
      <c r="T64" s="12">
        <f xml:space="preserve"> gas_cost10[[#This Row],[Gas Net cost to date
(TND)]]* (1 + E$5)</f>
        <v>46.196999999999996</v>
      </c>
      <c r="U64" s="12">
        <f>(gas_cost10[[#This Row],[Gas Cost to date  VAT included
(TND)
]] - T63)/_xlfn.DAYS(electricity_cost[[#This Row],[Date of reading 
(Elect)]], G63)</f>
        <v>0.41064000000000078</v>
      </c>
      <c r="V64" s="20">
        <f xml:space="preserve"> E$8 + ((electricity_cost[[#This Row],[Elect. Net cost to date
(TND)]] + E$6 + gas_cost10[[#This Row],[Gas Net cost to date
(TND)]] + E$7) * (1 + E$5))</f>
        <v>334.31945999999994</v>
      </c>
      <c r="W64" s="38"/>
    </row>
    <row r="65" spans="2:23" x14ac:dyDescent="0.25">
      <c r="B65">
        <v>15546</v>
      </c>
      <c r="C65" s="6">
        <v>42860</v>
      </c>
      <c r="D65" s="6">
        <v>42983</v>
      </c>
      <c r="E65">
        <v>16772</v>
      </c>
      <c r="F65" s="11">
        <f>electricity_cost[[#This Row],[ Index (KWh)]]-electricity_cost[[#This Row],[Original index 
(KWh)]]</f>
        <v>1226</v>
      </c>
      <c r="G65" s="6">
        <v>42993</v>
      </c>
      <c r="H65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3</v>
      </c>
      <c r="I65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226.137</v>
      </c>
      <c r="J65" s="10">
        <f xml:space="preserve"> (E$6 + electricity_cost[[#This Row],[Elect. Net cost to date
(TND)]]) * (1 + E$5)</f>
        <v>283.36165999999997</v>
      </c>
      <c r="K65" s="12">
        <f>(electricity_cost[[#This Row],[Elect. Cost  VAT included
(TND)
]]-J64)/_xlfn.DAYS(electricity_cost[[#This Row],[Date of reading 
(Elect)]], G64)</f>
        <v>1.8250666666666575</v>
      </c>
      <c r="L65" s="12">
        <f>(electricity_cost[[#This Row],[Consumption to date (KWh)]] - F64)/_xlfn.DAYS(electricity_cost[[#This Row],[Date of reading 
(Elect)]], G64)</f>
        <v>5.333333333333333</v>
      </c>
      <c r="M65" s="7">
        <v>7978</v>
      </c>
      <c r="P65">
        <v>8115</v>
      </c>
      <c r="Q65" s="11">
        <f>gas_cost10[[#This Row],[ Index (m3)]] - gas_cost10[[#This Row],[Original index 
(m3)]]</f>
        <v>137</v>
      </c>
      <c r="R65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2</v>
      </c>
      <c r="S65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39.729999999999997</v>
      </c>
      <c r="T65" s="12">
        <f xml:space="preserve"> gas_cost10[[#This Row],[Gas Net cost to date
(TND)]]* (1 + E$5)</f>
        <v>46.881399999999992</v>
      </c>
      <c r="U65" s="12">
        <f>(gas_cost10[[#This Row],[Gas Cost to date  VAT included
(TND)
]] - T64)/_xlfn.DAYS(electricity_cost[[#This Row],[Date of reading 
(Elect)]], G64)</f>
        <v>0.22813333333333219</v>
      </c>
      <c r="V65" s="20">
        <f xml:space="preserve"> E$8 + ((electricity_cost[[#This Row],[Elect. Net cost to date
(TND)]] + E$6 + gas_cost10[[#This Row],[Gas Net cost to date
(TND)]] + E$7) * (1 + E$5))</f>
        <v>340.47906</v>
      </c>
      <c r="W65" s="38"/>
    </row>
    <row r="66" spans="2:23" x14ac:dyDescent="0.25">
      <c r="B66">
        <v>15546</v>
      </c>
      <c r="C66" s="6">
        <v>42860</v>
      </c>
      <c r="D66" s="6">
        <v>42983</v>
      </c>
      <c r="E66">
        <v>16777</v>
      </c>
      <c r="F66" s="11">
        <f>electricity_cost[[#This Row],[ Index (KWh)]]-electricity_cost[[#This Row],[Original index 
(KWh)]]</f>
        <v>1231</v>
      </c>
      <c r="G66" s="6">
        <v>42994</v>
      </c>
      <c r="H66" s="21">
        <f xml:space="preserve"> _xlfn.IFS(electricity_cost[[#This Row],[Consumption to date (KWh)]] &lt;= K$4, 1, AND(K$4 &lt; electricity_cost[[#This Row],[Consumption to date (KWh)]],  electricity_cost[[#This Row],[Consumption to date (KWh)]]&lt;= K$5), 2, AND(K$5 &lt; electricity_cost[[#This Row],[Consumption to date (KWh)]],  electricity_cost[[#This Row],[Consumption to date (KWh)]]&lt;= K$6), 3, electricity_cost[[#This Row],[Consumption to date (KWh)]] &gt; K$6, 4)</f>
        <v>3</v>
      </c>
      <c r="I66" s="10">
        <f>_xlfn.IFS(electricity_cost[[#This Row],[Level (Elect)]]= 1, (electricity_cost[[#This Row],[Consumption to date (KWh)]] * L$4)/1000, electricity_cost[[#This Row],[Level (Elect)]] = 2, (K$4 * L$4 +((electricity_cost[[#This Row],[Consumption to date (KWh)]] - K$4) * L$5))/1000,electricity_cost[[#This Row],[Level (Elect)]] = 3, (K$4 * L$4 + (K$5-J$5) * L$5 + ((electricity_cost[[#This Row],[Consumption to date (KWh)]] - K$5) * L$6))/1000, electricity_cost[[#This Row],[Level (Elect)]] = 4, (K$4 * L$4 + (K$5-J$5) * L$5 + (K$6-J$6) * L$6 + ((electricity_cost[[#This Row],[Consumption to date (KWh)]] - K$6) * L$7))/1000)</f>
        <v>227.58699999999999</v>
      </c>
      <c r="J66" s="10">
        <f xml:space="preserve"> (E$6 + electricity_cost[[#This Row],[Elect. Net cost to date
(TND)]]) * (1 + E$5)</f>
        <v>285.07265999999998</v>
      </c>
      <c r="K66" s="12">
        <f>(electricity_cost[[#This Row],[Elect. Cost  VAT included
(TND)
]]-J65)/_xlfn.DAYS(electricity_cost[[#This Row],[Date of reading 
(Elect)]], G65)</f>
        <v>1.7110000000000127</v>
      </c>
      <c r="L66" s="12">
        <f>(electricity_cost[[#This Row],[Consumption to date (KWh)]] - F65)/_xlfn.DAYS(electricity_cost[[#This Row],[Date of reading 
(Elect)]], G65)</f>
        <v>5</v>
      </c>
      <c r="M66" s="7">
        <v>7978</v>
      </c>
      <c r="P66">
        <v>8115</v>
      </c>
      <c r="Q66" s="11">
        <f>gas_cost10[[#This Row],[ Index (m3)]] - gas_cost10[[#This Row],[Original index 
(m3)]]</f>
        <v>137</v>
      </c>
      <c r="R66" s="11">
        <f xml:space="preserve"> _xlfn.IFS(gas_cost10[[#This Row],[Consumption (m3)]] &lt;= R$4, 1, AND(R$4 &lt; gas_cost10[[#This Row],[Consumption (m3)]], gas_cost10[[#This Row],[Consumption (m3)]] &lt;= R$5), 2, AND(R$5 &lt; gas_cost10[[#This Row],[Consumption (m3)]], gas_cost10[[#This Row],[Consumption (m3)]] &lt;= R$6), 3, gas_cost10[[#This Row],[Consumption (m3)]] &gt; R$6, 4)</f>
        <v>2</v>
      </c>
      <c r="S66" s="12">
        <f>_xlfn.IFS(gas_cost10[[#This Row],[Level (Gas)]]= 1, (gas_cost10[[#This Row],[Consumption (m3)]] * S$4)/1000, gas_cost10[[#This Row],[Level (Gas)]] = 2, (gas_cost10[[#This Row],[Consumption (m3)]] * S$5)/1000,gas_cost10[[#This Row],[Level (Gas)]] = 3, (gas_cost10[[#This Row],[Consumption (m3)]] * S$6)/1000, gas_cost10[[#This Row],[Level (Gas)]] = 4, (gas_cost10[[#This Row],[Consumption (m3)]] * S$7)/1000)</f>
        <v>39.729999999999997</v>
      </c>
      <c r="T66" s="12">
        <f xml:space="preserve"> gas_cost10[[#This Row],[Gas Net cost to date
(TND)]]* (1 + E$5)</f>
        <v>46.881399999999992</v>
      </c>
      <c r="U66" s="12">
        <f>(gas_cost10[[#This Row],[Gas Cost to date  VAT included
(TND)
]] - T65)/_xlfn.DAYS(electricity_cost[[#This Row],[Date of reading 
(Elect)]], G65)</f>
        <v>0</v>
      </c>
      <c r="V66" s="20">
        <f xml:space="preserve"> E$8 + ((electricity_cost[[#This Row],[Elect. Net cost to date
(TND)]] + E$6 + gas_cost10[[#This Row],[Gas Net cost to date
(TND)]] + E$7) * (1 + E$5))</f>
        <v>342.19005999999996</v>
      </c>
      <c r="W66" s="38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X80"/>
  <sheetViews>
    <sheetView topLeftCell="G48" zoomScale="60" zoomScaleNormal="60" zoomScaleSheetLayoutView="55" workbookViewId="0">
      <selection activeCell="A47" sqref="A47:XFD53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6.140625" customWidth="1"/>
    <col min="10" max="10" width="19.28515625" customWidth="1"/>
    <col min="11" max="11" width="15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2" customWidth="1"/>
    <col min="22" max="22" width="33.140625" customWidth="1"/>
    <col min="23" max="23" width="13.5703125" customWidth="1"/>
    <col min="24" max="24" width="13.85546875" customWidth="1"/>
  </cols>
  <sheetData>
    <row r="2" spans="2:23" x14ac:dyDescent="0.25">
      <c r="H2" s="1"/>
      <c r="I2" s="9" t="s">
        <v>1</v>
      </c>
      <c r="P2" s="9" t="s">
        <v>46</v>
      </c>
    </row>
    <row r="3" spans="2:23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V3" t="s">
        <v>29</v>
      </c>
      <c r="W3" t="s">
        <v>35</v>
      </c>
    </row>
    <row r="4" spans="2:23" x14ac:dyDescent="0.25">
      <c r="G4" s="3"/>
      <c r="I4">
        <v>1</v>
      </c>
      <c r="J4">
        <v>1</v>
      </c>
      <c r="K4">
        <v>800</v>
      </c>
      <c r="L4">
        <v>172</v>
      </c>
      <c r="P4">
        <v>1</v>
      </c>
      <c r="Q4">
        <v>1</v>
      </c>
      <c r="R4">
        <v>120</v>
      </c>
      <c r="S4">
        <v>231</v>
      </c>
      <c r="U4" s="19">
        <v>43110</v>
      </c>
      <c r="V4" s="11">
        <v>0</v>
      </c>
      <c r="W4">
        <v>0</v>
      </c>
    </row>
    <row r="5" spans="2:23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203</v>
      </c>
      <c r="P5">
        <v>2</v>
      </c>
      <c r="Q5">
        <v>1</v>
      </c>
      <c r="R5">
        <v>240</v>
      </c>
      <c r="S5">
        <v>290</v>
      </c>
      <c r="U5" s="19">
        <v>43110</v>
      </c>
      <c r="V5">
        <v>550</v>
      </c>
      <c r="W5">
        <v>1000</v>
      </c>
    </row>
    <row r="6" spans="2:23" x14ac:dyDescent="0.25">
      <c r="D6" s="16" t="s">
        <v>14</v>
      </c>
      <c r="E6" s="14">
        <v>14</v>
      </c>
      <c r="I6">
        <v>3</v>
      </c>
      <c r="J6">
        <v>1201</v>
      </c>
      <c r="K6">
        <v>2000</v>
      </c>
      <c r="L6">
        <v>290</v>
      </c>
      <c r="P6">
        <v>3</v>
      </c>
      <c r="Q6">
        <v>1</v>
      </c>
      <c r="R6">
        <v>600</v>
      </c>
      <c r="S6">
        <v>375</v>
      </c>
    </row>
    <row r="7" spans="2:23" x14ac:dyDescent="0.25">
      <c r="D7" s="16" t="s">
        <v>15</v>
      </c>
      <c r="E7" s="14">
        <v>2</v>
      </c>
      <c r="I7">
        <v>4</v>
      </c>
      <c r="J7">
        <v>2001</v>
      </c>
      <c r="L7">
        <v>355</v>
      </c>
      <c r="P7">
        <v>4</v>
      </c>
      <c r="Q7">
        <v>1</v>
      </c>
      <c r="S7">
        <v>439</v>
      </c>
    </row>
    <row r="8" spans="2:23" x14ac:dyDescent="0.25">
      <c r="D8" s="16" t="s">
        <v>12</v>
      </c>
      <c r="E8" s="14">
        <v>7.8760000000000003</v>
      </c>
    </row>
    <row r="9" spans="2:23" ht="15.75" thickBot="1" x14ac:dyDescent="0.3">
      <c r="D9" s="15"/>
      <c r="E9" s="15"/>
    </row>
    <row r="10" spans="2:23" ht="18.75" x14ac:dyDescent="0.3">
      <c r="B10" s="23"/>
      <c r="C10" s="24"/>
      <c r="D10" s="25" t="s">
        <v>32</v>
      </c>
      <c r="E10" s="32">
        <f xml:space="preserve"> INDEX(electricity_cost3[Elect. Net cost to date
(TND)], COUNTA(I18:I80), 1) + E6</f>
        <v>140.76400000000001</v>
      </c>
      <c r="G10" s="67" t="s">
        <v>38</v>
      </c>
      <c r="H10" s="67"/>
    </row>
    <row r="11" spans="2:23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36</v>
      </c>
      <c r="I11" s="33" t="s">
        <v>37</v>
      </c>
    </row>
    <row r="12" spans="2:23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1200</v>
      </c>
      <c r="I12" s="34">
        <v>302.27999999999997</v>
      </c>
    </row>
    <row r="13" spans="2:23" ht="15.75" x14ac:dyDescent="0.25">
      <c r="B13" s="68" t="s">
        <v>43</v>
      </c>
      <c r="C13" s="68"/>
      <c r="D13" s="68"/>
      <c r="E13" s="40"/>
      <c r="G13" s="3" t="s">
        <v>40</v>
      </c>
      <c r="H13" s="35">
        <v>1500</v>
      </c>
      <c r="I13" s="35">
        <v>404.7</v>
      </c>
    </row>
    <row r="14" spans="2:23" x14ac:dyDescent="0.25">
      <c r="G14" s="31"/>
    </row>
    <row r="17" spans="2:24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30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48" t="s">
        <v>45</v>
      </c>
      <c r="W17" s="39" t="s">
        <v>44</v>
      </c>
    </row>
    <row r="18" spans="2:24" x14ac:dyDescent="0.25">
      <c r="B18">
        <v>16715</v>
      </c>
      <c r="C18" s="6">
        <v>42983</v>
      </c>
      <c r="D18" s="6">
        <v>43110</v>
      </c>
      <c r="E18">
        <v>16715</v>
      </c>
      <c r="F18" s="11">
        <f>electricity_cost3[[#This Row],[ Index (KWh)]]-electricity_cost3[[#This Row],[Original index 
(KWh)]]</f>
        <v>0</v>
      </c>
      <c r="G18" s="6">
        <v>42983</v>
      </c>
      <c r="H18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18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0</v>
      </c>
      <c r="J18" s="10">
        <f xml:space="preserve"> (E$6 + electricity_cost3[[#This Row],[Elect. Net cost to date
(TND)]]) * (1 + E$5)</f>
        <v>16.52</v>
      </c>
      <c r="K18" s="12"/>
      <c r="L18" s="12"/>
      <c r="M18" s="7">
        <v>8105</v>
      </c>
      <c r="P18">
        <v>8105</v>
      </c>
      <c r="Q18" s="11">
        <f>gas_cost107[[#This Row],[ Index (m3)]] - gas_cost107[[#This Row],[Original index 
(m3)]]</f>
        <v>0</v>
      </c>
      <c r="R18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18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0</v>
      </c>
      <c r="T18" s="12">
        <f xml:space="preserve"> gas_cost107[[#This Row],[Gas Net cost to date
(TND)]]* (1 + E$5)</f>
        <v>0</v>
      </c>
      <c r="U18" s="12"/>
      <c r="V18" s="20">
        <f xml:space="preserve"> E$8 + ((electricity_cost3[[#This Row],[Elect. Net cost to date
(TND)]] + E$6 + gas_cost107[[#This Row],[Gas Net cost to date
(TND)]] + E$7) * (1 + E$5))</f>
        <v>26.756</v>
      </c>
      <c r="W18" s="38"/>
      <c r="X18" s="37"/>
    </row>
    <row r="19" spans="2:24" x14ac:dyDescent="0.25">
      <c r="B19">
        <v>16715</v>
      </c>
      <c r="C19" s="6">
        <v>42983</v>
      </c>
      <c r="D19" s="6">
        <v>43110</v>
      </c>
      <c r="E19">
        <v>16726</v>
      </c>
      <c r="F19" s="11">
        <f>electricity_cost3[[#This Row],[ Index (KWh)]]-electricity_cost3[[#This Row],[Original index 
(KWh)]]</f>
        <v>11</v>
      </c>
      <c r="G19" s="6">
        <v>42985</v>
      </c>
      <c r="H19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19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1.8919999999999999</v>
      </c>
      <c r="J19" s="10">
        <f xml:space="preserve"> (E$6 + electricity_cost3[[#This Row],[Elect. Net cost to date
(TND)]]) * (1 + E$5)</f>
        <v>18.752559999999999</v>
      </c>
      <c r="K19" s="12">
        <f>(electricity_cost3[[#This Row],[Elect. Cost  VAT included
(TND)
]]-J18)/_xlfn.DAYS(electricity_cost3[[#This Row],[Date of reading 
(Elect)]], G18)</f>
        <v>1.1162799999999997</v>
      </c>
      <c r="L19" s="12">
        <f>(electricity_cost3[[#This Row],[Consumption to date (KWh)]] - F18)/_xlfn.DAYS(electricity_cost3[[#This Row],[Date of reading 
(Elect)]], G18)</f>
        <v>5.5</v>
      </c>
      <c r="M19" s="7">
        <v>8105</v>
      </c>
      <c r="P19">
        <v>8107</v>
      </c>
      <c r="Q19" s="11">
        <f>gas_cost107[[#This Row],[ Index (m3)]] - gas_cost107[[#This Row],[Original index 
(m3)]]</f>
        <v>2</v>
      </c>
      <c r="R19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19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0.46200000000000002</v>
      </c>
      <c r="T19" s="12">
        <f xml:space="preserve"> gas_cost107[[#This Row],[Gas Net cost to date
(TND)]]* (1 + E$5)</f>
        <v>0.54515999999999998</v>
      </c>
      <c r="U19" s="12">
        <f>(gas_cost107[[#This Row],[Gas Cost to date  VAT included
(TND)
]] - T18)/_xlfn.DAYS(electricity_cost3[[#This Row],[Date of reading 
(Elect)]], G18)</f>
        <v>0.27257999999999999</v>
      </c>
      <c r="V19" s="20">
        <f xml:space="preserve"> E$8 + ((electricity_cost3[[#This Row],[Elect. Net cost to date
(TND)]] + E$6 + gas_cost107[[#This Row],[Gas Net cost to date
(TND)]] + E$7) * (1 + E$5))</f>
        <v>29.533719999999999</v>
      </c>
      <c r="W19" s="38"/>
    </row>
    <row r="20" spans="2:24" x14ac:dyDescent="0.25">
      <c r="B20">
        <v>16715</v>
      </c>
      <c r="C20" s="6">
        <v>42983</v>
      </c>
      <c r="D20" s="6">
        <v>43110</v>
      </c>
      <c r="E20">
        <v>16756</v>
      </c>
      <c r="F20" s="11">
        <f>electricity_cost3[[#This Row],[ Index (KWh)]]-electricity_cost3[[#This Row],[Original index 
(KWh)]]</f>
        <v>41</v>
      </c>
      <c r="G20" s="6">
        <v>42990</v>
      </c>
      <c r="H20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0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7.0519999999999996</v>
      </c>
      <c r="J20" s="10">
        <f xml:space="preserve"> (E$6 + electricity_cost3[[#This Row],[Elect. Net cost to date
(TND)]]) * (1 + E$5)</f>
        <v>24.841359999999998</v>
      </c>
      <c r="K20" s="12">
        <f>(electricity_cost3[[#This Row],[Elect. Cost  VAT included
(TND)
]]-J19)/_xlfn.DAYS(electricity_cost3[[#This Row],[Date of reading 
(Elect)]], G19)</f>
        <v>1.2177599999999997</v>
      </c>
      <c r="L20" s="12">
        <f>(electricity_cost3[[#This Row],[Consumption to date (KWh)]] - F19)/_xlfn.DAYS(electricity_cost3[[#This Row],[Date of reading 
(Elect)]], G19)</f>
        <v>6</v>
      </c>
      <c r="M20" s="7">
        <v>8105</v>
      </c>
      <c r="P20">
        <v>8113</v>
      </c>
      <c r="Q20" s="11">
        <f>gas_cost107[[#This Row],[ Index (m3)]] - gas_cost107[[#This Row],[Original index 
(m3)]]</f>
        <v>8</v>
      </c>
      <c r="R20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0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1.8480000000000001</v>
      </c>
      <c r="T20" s="12">
        <f xml:space="preserve"> gas_cost107[[#This Row],[Gas Net cost to date
(TND)]]* (1 + E$5)</f>
        <v>2.1806399999999999</v>
      </c>
      <c r="U20" s="12">
        <f>(gas_cost107[[#This Row],[Gas Cost to date  VAT included
(TND)
]] - T19)/_xlfn.DAYS(electricity_cost3[[#This Row],[Date of reading 
(Elect)]], G19)</f>
        <v>0.32709599999999994</v>
      </c>
      <c r="V20" s="20">
        <f xml:space="preserve"> E$8 + ((electricity_cost3[[#This Row],[Elect. Net cost to date
(TND)]] + E$6 + gas_cost107[[#This Row],[Gas Net cost to date
(TND)]] + E$7) * (1 + E$5))</f>
        <v>37.257999999999996</v>
      </c>
      <c r="W20" s="38"/>
    </row>
    <row r="21" spans="2:24" x14ac:dyDescent="0.25">
      <c r="B21">
        <v>16715</v>
      </c>
      <c r="C21" s="6">
        <v>42983</v>
      </c>
      <c r="D21" s="6">
        <v>43110</v>
      </c>
      <c r="E21">
        <v>16772</v>
      </c>
      <c r="F21" s="11">
        <f>electricity_cost3[[#This Row],[ Index (KWh)]]-electricity_cost3[[#This Row],[Original index 
(KWh)]]</f>
        <v>57</v>
      </c>
      <c r="G21" s="6">
        <v>42993</v>
      </c>
      <c r="H21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1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9.8040000000000003</v>
      </c>
      <c r="J21" s="10">
        <f xml:space="preserve"> (E$6 + electricity_cost3[[#This Row],[Elect. Net cost to date
(TND)]]) * (1 + E$5)</f>
        <v>28.088720000000002</v>
      </c>
      <c r="K21" s="12">
        <f>(electricity_cost3[[#This Row],[Elect. Cost  VAT included
(TND)
]]-J20)/_xlfn.DAYS(electricity_cost3[[#This Row],[Date of reading 
(Elect)]], G20)</f>
        <v>1.0824533333333346</v>
      </c>
      <c r="L21" s="12">
        <f>(electricity_cost3[[#This Row],[Consumption to date (KWh)]] - F20)/_xlfn.DAYS(electricity_cost3[[#This Row],[Date of reading 
(Elect)]], G20)</f>
        <v>5.333333333333333</v>
      </c>
      <c r="M21" s="7">
        <v>8105</v>
      </c>
      <c r="P21">
        <v>8115</v>
      </c>
      <c r="Q21" s="11">
        <f>gas_cost107[[#This Row],[ Index (m3)]] - gas_cost107[[#This Row],[Original index 
(m3)]]</f>
        <v>10</v>
      </c>
      <c r="R21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1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2.31</v>
      </c>
      <c r="T21" s="12">
        <f xml:space="preserve"> gas_cost107[[#This Row],[Gas Net cost to date
(TND)]]* (1 + E$5)</f>
        <v>2.7258</v>
      </c>
      <c r="U21" s="12">
        <f>(gas_cost107[[#This Row],[Gas Cost to date  VAT included
(TND)
]] - T20)/_xlfn.DAYS(electricity_cost3[[#This Row],[Date of reading 
(Elect)]], G20)</f>
        <v>0.18172000000000002</v>
      </c>
      <c r="V21" s="20">
        <f xml:space="preserve"> E$8 + ((electricity_cost3[[#This Row],[Elect. Net cost to date
(TND)]] + E$6 + gas_cost107[[#This Row],[Gas Net cost to date
(TND)]] + E$7) * (1 + E$5))</f>
        <v>41.050519999999999</v>
      </c>
      <c r="W21" s="38"/>
    </row>
    <row r="22" spans="2:24" x14ac:dyDescent="0.25">
      <c r="B22">
        <v>16715</v>
      </c>
      <c r="C22" s="6">
        <v>42983</v>
      </c>
      <c r="D22" s="6">
        <v>43110</v>
      </c>
      <c r="E22">
        <v>16777</v>
      </c>
      <c r="F22" s="11">
        <f>electricity_cost3[[#This Row],[ Index (KWh)]]-electricity_cost3[[#This Row],[Original index 
(KWh)]]</f>
        <v>62</v>
      </c>
      <c r="G22" s="6">
        <v>42994</v>
      </c>
      <c r="H22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2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10.664</v>
      </c>
      <c r="J22" s="10">
        <f xml:space="preserve"> (E$6 + electricity_cost3[[#This Row],[Elect. Net cost to date
(TND)]]) * (1 + E$5)</f>
        <v>29.10352</v>
      </c>
      <c r="K22" s="12">
        <f>(electricity_cost3[[#This Row],[Elect. Cost  VAT included
(TND)
]]-J21)/_xlfn.DAYS(electricity_cost3[[#This Row],[Date of reading 
(Elect)]], G21)</f>
        <v>1.0147999999999975</v>
      </c>
      <c r="L22" s="12">
        <f>(electricity_cost3[[#This Row],[Consumption to date (KWh)]] - F21)/_xlfn.DAYS(electricity_cost3[[#This Row],[Date of reading 
(Elect)]], G21)</f>
        <v>5</v>
      </c>
      <c r="M22" s="7">
        <v>8105</v>
      </c>
      <c r="P22">
        <v>8115</v>
      </c>
      <c r="Q22" s="11">
        <f>gas_cost107[[#This Row],[ Index (m3)]] - gas_cost107[[#This Row],[Original index 
(m3)]]</f>
        <v>10</v>
      </c>
      <c r="R22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2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2.31</v>
      </c>
      <c r="T22" s="12">
        <f xml:space="preserve"> gas_cost107[[#This Row],[Gas Net cost to date
(TND)]]* (1 + E$5)</f>
        <v>2.7258</v>
      </c>
      <c r="U22" s="12">
        <f>(gas_cost107[[#This Row],[Gas Cost to date  VAT included
(TND)
]] - T21)/_xlfn.DAYS(electricity_cost3[[#This Row],[Date of reading 
(Elect)]], G21)</f>
        <v>0</v>
      </c>
      <c r="V22" s="20">
        <f xml:space="preserve"> E$8 + ((electricity_cost3[[#This Row],[Elect. Net cost to date
(TND)]] + E$6 + gas_cost107[[#This Row],[Gas Net cost to date
(TND)]] + E$7) * (1 + E$5))</f>
        <v>42.065319999999993</v>
      </c>
      <c r="W22" s="38"/>
    </row>
    <row r="23" spans="2:24" x14ac:dyDescent="0.25">
      <c r="B23">
        <v>16715</v>
      </c>
      <c r="C23" s="6">
        <v>42983</v>
      </c>
      <c r="D23" s="6">
        <v>43110</v>
      </c>
      <c r="E23">
        <v>16794</v>
      </c>
      <c r="F23" s="11">
        <f>electricity_cost3[[#This Row],[ Index (KWh)]]-electricity_cost3[[#This Row],[Original index 
(KWh)]]</f>
        <v>79</v>
      </c>
      <c r="G23" s="6">
        <v>42997</v>
      </c>
      <c r="H23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3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13.587999999999999</v>
      </c>
      <c r="J23" s="10">
        <f xml:space="preserve"> (E$6 + electricity_cost3[[#This Row],[Elect. Net cost to date
(TND)]]) * (1 + E$5)</f>
        <v>32.553840000000001</v>
      </c>
      <c r="K23" s="12">
        <f>(electricity_cost3[[#This Row],[Elect. Cost  VAT included
(TND)
]]-J22)/_xlfn.DAYS(electricity_cost3[[#This Row],[Date of reading 
(Elect)]], G22)</f>
        <v>1.1501066666666671</v>
      </c>
      <c r="L23" s="12">
        <f>(electricity_cost3[[#This Row],[Consumption to date (KWh)]] - F22)/_xlfn.DAYS(electricity_cost3[[#This Row],[Date of reading 
(Elect)]], G22)</f>
        <v>5.666666666666667</v>
      </c>
      <c r="M23" s="7">
        <v>8105</v>
      </c>
      <c r="N23" s="6"/>
      <c r="O23" s="6"/>
      <c r="P23">
        <v>8118</v>
      </c>
      <c r="Q23" s="11">
        <f>gas_cost107[[#This Row],[ Index (m3)]] - gas_cost107[[#This Row],[Original index 
(m3)]]</f>
        <v>13</v>
      </c>
      <c r="R23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3" s="10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3.0030000000000001</v>
      </c>
      <c r="T23" s="12">
        <f xml:space="preserve"> gas_cost107[[#This Row],[Gas Net cost to date
(TND)]]* (1 + E$5)</f>
        <v>3.5435400000000001</v>
      </c>
      <c r="U23" s="12">
        <f>(gas_cost107[[#This Row],[Gas Cost to date  VAT included
(TND)
]] - T22)/_xlfn.DAYS(electricity_cost3[[#This Row],[Date of reading 
(Elect)]], G22)</f>
        <v>0.27258000000000004</v>
      </c>
      <c r="V23" s="20">
        <f xml:space="preserve"> E$8 + ((electricity_cost3[[#This Row],[Elect. Net cost to date
(TND)]] + E$6 + gas_cost107[[#This Row],[Gas Net cost to date
(TND)]] + E$7) * (1 + E$5))</f>
        <v>46.333379999999998</v>
      </c>
      <c r="W23" s="38"/>
    </row>
    <row r="24" spans="2:24" x14ac:dyDescent="0.25">
      <c r="B24">
        <v>16715</v>
      </c>
      <c r="C24" s="6">
        <v>42983</v>
      </c>
      <c r="D24" s="6">
        <v>43110</v>
      </c>
      <c r="E24">
        <v>16800</v>
      </c>
      <c r="F24" s="11">
        <f>electricity_cost3[[#This Row],[ Index (KWh)]]-electricity_cost3[[#This Row],[Original index 
(KWh)]]</f>
        <v>85</v>
      </c>
      <c r="G24" s="6">
        <v>42998</v>
      </c>
      <c r="H24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4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14.62</v>
      </c>
      <c r="J24" s="10">
        <f xml:space="preserve"> (E$6 + electricity_cost3[[#This Row],[Elect. Net cost to date
(TND)]]) * (1 + E$5)</f>
        <v>33.771599999999992</v>
      </c>
      <c r="K24" s="12">
        <f>(electricity_cost3[[#This Row],[Elect. Cost  VAT included
(TND)
]]-J23)/_xlfn.DAYS(electricity_cost3[[#This Row],[Date of reading 
(Elect)]], G23)</f>
        <v>1.2177599999999913</v>
      </c>
      <c r="L24" s="12">
        <f>(electricity_cost3[[#This Row],[Consumption to date (KWh)]] - F23)/_xlfn.DAYS(electricity_cost3[[#This Row],[Date of reading 
(Elect)]], G23)</f>
        <v>6</v>
      </c>
      <c r="M24" s="7">
        <v>8105</v>
      </c>
      <c r="P24">
        <v>8119</v>
      </c>
      <c r="Q24" s="11">
        <f>gas_cost107[[#This Row],[ Index (m3)]] - gas_cost107[[#This Row],[Original index 
(m3)]]</f>
        <v>14</v>
      </c>
      <c r="R24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4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3.234</v>
      </c>
      <c r="T24" s="12">
        <f xml:space="preserve"> gas_cost107[[#This Row],[Gas Net cost to date
(TND)]]* (1 + E$5)</f>
        <v>3.8161199999999997</v>
      </c>
      <c r="U24" s="12">
        <f>(gas_cost107[[#This Row],[Gas Cost to date  VAT included
(TND)
]] - T23)/_xlfn.DAYS(electricity_cost3[[#This Row],[Date of reading 
(Elect)]], G23)</f>
        <v>0.2725799999999996</v>
      </c>
      <c r="V24" s="20">
        <f xml:space="preserve"> E$8 + ((electricity_cost3[[#This Row],[Elect. Net cost to date
(TND)]] + E$6 + gas_cost107[[#This Row],[Gas Net cost to date
(TND)]] + E$7) * (1 + E$5))</f>
        <v>47.823719999999994</v>
      </c>
      <c r="W24" s="38"/>
    </row>
    <row r="25" spans="2:24" ht="15" customHeight="1" x14ac:dyDescent="0.25">
      <c r="B25">
        <v>16715</v>
      </c>
      <c r="C25" s="6">
        <v>42983</v>
      </c>
      <c r="D25" s="6">
        <v>43110</v>
      </c>
      <c r="E25">
        <v>16817</v>
      </c>
      <c r="F25" s="11">
        <f>electricity_cost3[[#This Row],[ Index (KWh)]]-electricity_cost3[[#This Row],[Original index 
(KWh)]]</f>
        <v>102</v>
      </c>
      <c r="G25" s="6">
        <v>43001</v>
      </c>
      <c r="H25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5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17.544</v>
      </c>
      <c r="J25" s="10">
        <f xml:space="preserve"> (E$6 + electricity_cost3[[#This Row],[Elect. Net cost to date
(TND)]]) * (1 + E$5)</f>
        <v>37.221919999999997</v>
      </c>
      <c r="K25" s="12">
        <f>(electricity_cost3[[#This Row],[Elect. Cost  VAT included
(TND)
]]-J24)/_xlfn.DAYS(electricity_cost3[[#This Row],[Date of reading 
(Elect)]], G24)</f>
        <v>1.1501066666666684</v>
      </c>
      <c r="L25" s="12">
        <f>(electricity_cost3[[#This Row],[Consumption to date (KWh)]] - F24)/_xlfn.DAYS(electricity_cost3[[#This Row],[Date of reading 
(Elect)]], G24)</f>
        <v>5.666666666666667</v>
      </c>
      <c r="M25" s="7">
        <v>8105</v>
      </c>
      <c r="P25">
        <v>8122</v>
      </c>
      <c r="Q25" s="11">
        <f>gas_cost107[[#This Row],[ Index (m3)]] - gas_cost107[[#This Row],[Original index 
(m3)]]</f>
        <v>17</v>
      </c>
      <c r="R25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5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3.927</v>
      </c>
      <c r="T25" s="12">
        <f xml:space="preserve"> gas_cost107[[#This Row],[Gas Net cost to date
(TND)]]* (1 + E$5)</f>
        <v>4.6338599999999994</v>
      </c>
      <c r="U25" s="12">
        <f>(gas_cost107[[#This Row],[Gas Cost to date  VAT included
(TND)
]] - T24)/_xlfn.DAYS(electricity_cost3[[#This Row],[Date of reading 
(Elect)]], G24)</f>
        <v>0.27257999999999988</v>
      </c>
      <c r="V25" s="20">
        <f xml:space="preserve"> E$8 + ((electricity_cost3[[#This Row],[Elect. Net cost to date
(TND)]] + E$6 + gas_cost107[[#This Row],[Gas Net cost to date
(TND)]] + E$7) * (1 + E$5))</f>
        <v>52.09178</v>
      </c>
      <c r="W25" s="38"/>
    </row>
    <row r="26" spans="2:24" ht="15.75" customHeight="1" x14ac:dyDescent="0.25">
      <c r="B26">
        <v>16715</v>
      </c>
      <c r="C26" s="6">
        <v>42983</v>
      </c>
      <c r="D26" s="6">
        <v>43110</v>
      </c>
      <c r="E26">
        <v>16827</v>
      </c>
      <c r="F26" s="11">
        <f>electricity_cost3[[#This Row],[ Index (KWh)]]-electricity_cost3[[#This Row],[Original index 
(KWh)]]</f>
        <v>112</v>
      </c>
      <c r="G26" s="6">
        <v>43003</v>
      </c>
      <c r="H26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6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19.263999999999999</v>
      </c>
      <c r="J26" s="10">
        <f xml:space="preserve"> (E$6 + electricity_cost3[[#This Row],[Elect. Net cost to date
(TND)]]) * (1 + E$5)</f>
        <v>39.251519999999992</v>
      </c>
      <c r="K26" s="12">
        <f>(electricity_cost3[[#This Row],[Elect. Cost  VAT included
(TND)
]]-J25)/_xlfn.DAYS(electricity_cost3[[#This Row],[Date of reading 
(Elect)]], G25)</f>
        <v>1.0147999999999975</v>
      </c>
      <c r="L26" s="12">
        <f>(electricity_cost3[[#This Row],[Consumption to date (KWh)]] - F25)/_xlfn.DAYS(electricity_cost3[[#This Row],[Date of reading 
(Elect)]], G25)</f>
        <v>5</v>
      </c>
      <c r="M26" s="7">
        <v>8105</v>
      </c>
      <c r="P26">
        <v>8124</v>
      </c>
      <c r="Q26" s="11">
        <f>gas_cost107[[#This Row],[ Index (m3)]] - gas_cost107[[#This Row],[Original index 
(m3)]]</f>
        <v>19</v>
      </c>
      <c r="R26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6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4.3890000000000002</v>
      </c>
      <c r="T26" s="12">
        <f xml:space="preserve"> gas_cost107[[#This Row],[Gas Net cost to date
(TND)]]* (1 + E$5)</f>
        <v>5.1790200000000004</v>
      </c>
      <c r="U26" s="12">
        <f>(gas_cost107[[#This Row],[Gas Cost to date  VAT included
(TND)
]] - T25)/_xlfn.DAYS(electricity_cost3[[#This Row],[Date of reading 
(Elect)]], G25)</f>
        <v>0.27258000000000049</v>
      </c>
      <c r="V26" s="20">
        <f xml:space="preserve"> E$8 + ((electricity_cost3[[#This Row],[Elect. Net cost to date
(TND)]] + E$6 + gas_cost107[[#This Row],[Gas Net cost to date
(TND)]] + E$7) * (1 + E$5))</f>
        <v>54.666539999999991</v>
      </c>
      <c r="W26" s="38"/>
    </row>
    <row r="27" spans="2:24" ht="15" customHeight="1" x14ac:dyDescent="0.25">
      <c r="B27">
        <v>16715</v>
      </c>
      <c r="C27" s="6">
        <v>42983</v>
      </c>
      <c r="D27" s="6">
        <v>43110</v>
      </c>
      <c r="E27">
        <v>16834</v>
      </c>
      <c r="F27" s="11">
        <f>electricity_cost3[[#This Row],[ Index (KWh)]]-electricity_cost3[[#This Row],[Original index 
(KWh)]]</f>
        <v>119</v>
      </c>
      <c r="G27" s="6">
        <v>43004</v>
      </c>
      <c r="H27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7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20.468</v>
      </c>
      <c r="J27" s="10">
        <f xml:space="preserve"> (E$6 + electricity_cost3[[#This Row],[Elect. Net cost to date
(TND)]]) * (1 + E$5)</f>
        <v>40.672240000000002</v>
      </c>
      <c r="K27" s="12">
        <f>(electricity_cost3[[#This Row],[Elect. Cost  VAT included
(TND)
]]-J26)/_xlfn.DAYS(electricity_cost3[[#This Row],[Date of reading 
(Elect)]], G26)</f>
        <v>1.42072000000001</v>
      </c>
      <c r="L27" s="12">
        <f>(electricity_cost3[[#This Row],[Consumption to date (KWh)]] - F26)/_xlfn.DAYS(electricity_cost3[[#This Row],[Date of reading 
(Elect)]], G26)</f>
        <v>7</v>
      </c>
      <c r="M27" s="7">
        <v>8105</v>
      </c>
      <c r="P27">
        <v>8126</v>
      </c>
      <c r="Q27" s="11">
        <f>gas_cost107[[#This Row],[ Index (m3)]] - gas_cost107[[#This Row],[Original index 
(m3)]]</f>
        <v>21</v>
      </c>
      <c r="R27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7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4.851</v>
      </c>
      <c r="T27" s="12">
        <f xml:space="preserve"> gas_cost107[[#This Row],[Gas Net cost to date
(TND)]]* (1 + E$5)</f>
        <v>5.7241799999999996</v>
      </c>
      <c r="U27" s="12">
        <f>(gas_cost107[[#This Row],[Gas Cost to date  VAT included
(TND)
]] - T26)/_xlfn.DAYS(electricity_cost3[[#This Row],[Date of reading 
(Elect)]], G26)</f>
        <v>0.5451599999999992</v>
      </c>
      <c r="V27" s="20">
        <f xml:space="preserve"> E$8 + ((electricity_cost3[[#This Row],[Elect. Net cost to date
(TND)]] + E$6 + gas_cost107[[#This Row],[Gas Net cost to date
(TND)]] + E$7) * (1 + E$5))</f>
        <v>56.632419999999996</v>
      </c>
      <c r="W27" s="38"/>
    </row>
    <row r="28" spans="2:24" x14ac:dyDescent="0.25">
      <c r="B28">
        <v>16715</v>
      </c>
      <c r="C28" s="6">
        <v>42983</v>
      </c>
      <c r="D28" s="6">
        <v>43110</v>
      </c>
      <c r="E28">
        <v>16838</v>
      </c>
      <c r="F28" s="11">
        <f>electricity_cost3[[#This Row],[ Index (KWh)]]-electricity_cost3[[#This Row],[Original index 
(KWh)]]</f>
        <v>123</v>
      </c>
      <c r="G28" s="6">
        <v>43005</v>
      </c>
      <c r="H28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8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21.155999999999999</v>
      </c>
      <c r="J28" s="10">
        <f xml:space="preserve"> (E$6 + electricity_cost3[[#This Row],[Elect. Net cost to date
(TND)]]) * (1 + E$5)</f>
        <v>41.484079999999999</v>
      </c>
      <c r="K28" s="12">
        <f>(electricity_cost3[[#This Row],[Elect. Cost  VAT included
(TND)
]]-J27)/_xlfn.DAYS(electricity_cost3[[#This Row],[Date of reading 
(Elect)]], G27)</f>
        <v>0.81183999999999656</v>
      </c>
      <c r="L28" s="12">
        <f>(electricity_cost3[[#This Row],[Consumption to date (KWh)]] - F27)/_xlfn.DAYS(electricity_cost3[[#This Row],[Date of reading 
(Elect)]], G27)</f>
        <v>4</v>
      </c>
      <c r="M28" s="7">
        <v>8105</v>
      </c>
      <c r="P28">
        <v>8127</v>
      </c>
      <c r="Q28" s="11">
        <f>gas_cost107[[#This Row],[ Index (m3)]] - gas_cost107[[#This Row],[Original index 
(m3)]]</f>
        <v>22</v>
      </c>
      <c r="R28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8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5.0819999999999999</v>
      </c>
      <c r="T28" s="12">
        <f xml:space="preserve"> gas_cost107[[#This Row],[Gas Net cost to date
(TND)]]* (1 + E$5)</f>
        <v>5.9967599999999992</v>
      </c>
      <c r="U28" s="12">
        <f>(gas_cost107[[#This Row],[Gas Cost to date  VAT included
(TND)
]] - T27)/_xlfn.DAYS(electricity_cost3[[#This Row],[Date of reading 
(Elect)]], G27)</f>
        <v>0.2725799999999996</v>
      </c>
      <c r="V28" s="20">
        <f xml:space="preserve"> E$8 + ((electricity_cost3[[#This Row],[Elect. Net cost to date
(TND)]] + E$6 + gas_cost107[[#This Row],[Gas Net cost to date
(TND)]] + E$7) * (1 + E$5))</f>
        <v>57.716839999999998</v>
      </c>
      <c r="W28" s="38"/>
    </row>
    <row r="29" spans="2:24" x14ac:dyDescent="0.25">
      <c r="B29">
        <v>16715</v>
      </c>
      <c r="C29" s="6">
        <v>42983</v>
      </c>
      <c r="D29" s="6">
        <v>43110</v>
      </c>
      <c r="E29">
        <v>16845</v>
      </c>
      <c r="F29" s="11">
        <f>electricity_cost3[[#This Row],[ Index (KWh)]]-electricity_cost3[[#This Row],[Original index 
(KWh)]]</f>
        <v>130</v>
      </c>
      <c r="G29" s="6">
        <v>43007</v>
      </c>
      <c r="H29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29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22.36</v>
      </c>
      <c r="J29" s="10">
        <f xml:space="preserve"> (E$6 + electricity_cost3[[#This Row],[Elect. Net cost to date
(TND)]]) * (1 + E$5)</f>
        <v>42.904799999999994</v>
      </c>
      <c r="K29" s="12">
        <f>(electricity_cost3[[#This Row],[Elect. Cost  VAT included
(TND)
]]-J28)/_xlfn.DAYS(electricity_cost3[[#This Row],[Date of reading 
(Elect)]], G28)</f>
        <v>0.71035999999999788</v>
      </c>
      <c r="L29" s="12">
        <f>(electricity_cost3[[#This Row],[Consumption to date (KWh)]] - F28)/_xlfn.DAYS(electricity_cost3[[#This Row],[Date of reading 
(Elect)]], G28)</f>
        <v>3.5</v>
      </c>
      <c r="M29" s="7">
        <v>8105</v>
      </c>
      <c r="P29">
        <v>8128</v>
      </c>
      <c r="Q29" s="11">
        <f>gas_cost107[[#This Row],[ Index (m3)]] - gas_cost107[[#This Row],[Original index 
(m3)]]</f>
        <v>23</v>
      </c>
      <c r="R29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29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5.3129999999999997</v>
      </c>
      <c r="T29" s="12">
        <f xml:space="preserve"> gas_cost107[[#This Row],[Gas Net cost to date
(TND)]]* (1 + E$5)</f>
        <v>6.2693399999999997</v>
      </c>
      <c r="U29" s="12">
        <f>(gas_cost107[[#This Row],[Gas Cost to date  VAT included
(TND)
]] - T28)/_xlfn.DAYS(electricity_cost3[[#This Row],[Date of reading 
(Elect)]], G28)</f>
        <v>0.13629000000000024</v>
      </c>
      <c r="V29" s="20">
        <f xml:space="preserve"> E$8 + ((electricity_cost3[[#This Row],[Elect. Net cost to date
(TND)]] + E$6 + gas_cost107[[#This Row],[Gas Net cost to date
(TND)]] + E$7) * (1 + E$5))</f>
        <v>59.410139999999998</v>
      </c>
      <c r="W29" s="38"/>
    </row>
    <row r="30" spans="2:24" x14ac:dyDescent="0.25">
      <c r="B30">
        <v>16715</v>
      </c>
      <c r="C30" s="6">
        <v>42983</v>
      </c>
      <c r="D30" s="6">
        <v>43110</v>
      </c>
      <c r="E30">
        <v>16872</v>
      </c>
      <c r="F30" s="11">
        <f>electricity_cost3[[#This Row],[ Index (KWh)]]-electricity_cost3[[#This Row],[Original index 
(KWh)]]</f>
        <v>157</v>
      </c>
      <c r="G30" s="6">
        <v>43011</v>
      </c>
      <c r="H30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0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27.004000000000001</v>
      </c>
      <c r="J30" s="10">
        <f xml:space="preserve"> (E$6 + electricity_cost3[[#This Row],[Elect. Net cost to date
(TND)]]) * (1 + E$5)</f>
        <v>48.384720000000002</v>
      </c>
      <c r="K30" s="12">
        <f>(electricity_cost3[[#This Row],[Elect. Cost  VAT included
(TND)
]]-J29)/_xlfn.DAYS(electricity_cost3[[#This Row],[Date of reading 
(Elect)]], G29)</f>
        <v>1.3699800000000018</v>
      </c>
      <c r="L30" s="12">
        <f>(electricity_cost3[[#This Row],[Consumption to date (KWh)]] - F29)/_xlfn.DAYS(electricity_cost3[[#This Row],[Date of reading 
(Elect)]], G29)</f>
        <v>6.75</v>
      </c>
      <c r="M30" s="7">
        <v>8105</v>
      </c>
      <c r="P30">
        <v>8133</v>
      </c>
      <c r="Q30" s="11">
        <f>gas_cost107[[#This Row],[ Index (m3)]] - gas_cost107[[#This Row],[Original index 
(m3)]]</f>
        <v>28</v>
      </c>
      <c r="R30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0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6.468</v>
      </c>
      <c r="T30" s="12">
        <f xml:space="preserve"> gas_cost107[[#This Row],[Gas Net cost to date
(TND)]]* (1 + E$5)</f>
        <v>7.6322399999999995</v>
      </c>
      <c r="U30" s="12">
        <f>(gas_cost107[[#This Row],[Gas Cost to date  VAT included
(TND)
]] - T29)/_xlfn.DAYS(electricity_cost3[[#This Row],[Date of reading 
(Elect)]], G29)</f>
        <v>0.34072499999999994</v>
      </c>
      <c r="V30" s="20">
        <f xml:space="preserve"> E$8 + ((electricity_cost3[[#This Row],[Elect. Net cost to date
(TND)]] + E$6 + gas_cost107[[#This Row],[Gas Net cost to date
(TND)]] + E$7) * (1 + E$5))</f>
        <v>66.252960000000002</v>
      </c>
      <c r="W30" s="38"/>
    </row>
    <row r="31" spans="2:24" x14ac:dyDescent="0.25">
      <c r="B31">
        <v>16715</v>
      </c>
      <c r="C31" s="6">
        <v>42983</v>
      </c>
      <c r="D31" s="6">
        <v>43110</v>
      </c>
      <c r="E31">
        <v>16888</v>
      </c>
      <c r="F31" s="11">
        <f>electricity_cost3[[#This Row],[ Index (KWh)]]-electricity_cost3[[#This Row],[Original index 
(KWh)]]</f>
        <v>173</v>
      </c>
      <c r="G31" s="6">
        <v>43014</v>
      </c>
      <c r="H31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1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29.756</v>
      </c>
      <c r="J31" s="10">
        <f xml:space="preserve"> (E$6 + electricity_cost3[[#This Row],[Elect. Net cost to date
(TND)]]) * (1 + E$5)</f>
        <v>51.632079999999995</v>
      </c>
      <c r="K31" s="12">
        <f>(electricity_cost3[[#This Row],[Elect. Cost  VAT included
(TND)
]]-J30)/_xlfn.DAYS(electricity_cost3[[#This Row],[Date of reading 
(Elect)]], G30)</f>
        <v>1.082453333333331</v>
      </c>
      <c r="L31" s="12">
        <f>(electricity_cost3[[#This Row],[Consumption to date (KWh)]] - F30)/_xlfn.DAYS(electricity_cost3[[#This Row],[Date of reading 
(Elect)]], G30)</f>
        <v>5.333333333333333</v>
      </c>
      <c r="M31" s="7">
        <v>8105</v>
      </c>
      <c r="P31">
        <v>8136</v>
      </c>
      <c r="Q31" s="11">
        <f>gas_cost107[[#This Row],[ Index (m3)]] - gas_cost107[[#This Row],[Original index 
(m3)]]</f>
        <v>31</v>
      </c>
      <c r="R31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1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7.1609999999999996</v>
      </c>
      <c r="T31" s="12">
        <f xml:space="preserve"> gas_cost107[[#This Row],[Gas Net cost to date
(TND)]]* (1 + E$5)</f>
        <v>8.4499799999999983</v>
      </c>
      <c r="U31" s="12">
        <f>(gas_cost107[[#This Row],[Gas Cost to date  VAT included
(TND)
]] - T30)/_xlfn.DAYS(electricity_cost3[[#This Row],[Date of reading 
(Elect)]], G30)</f>
        <v>0.2725799999999996</v>
      </c>
      <c r="V31" s="20">
        <f xml:space="preserve"> E$8 + ((electricity_cost3[[#This Row],[Elect. Net cost to date
(TND)]] + E$6 + gas_cost107[[#This Row],[Gas Net cost to date
(TND)]] + E$7) * (1 + E$5))</f>
        <v>70.318060000000003</v>
      </c>
      <c r="W31" s="38"/>
    </row>
    <row r="32" spans="2:24" x14ac:dyDescent="0.25">
      <c r="B32">
        <v>16715</v>
      </c>
      <c r="C32" s="6">
        <v>42983</v>
      </c>
      <c r="D32" s="6">
        <v>43110</v>
      </c>
      <c r="E32">
        <v>16903</v>
      </c>
      <c r="F32" s="11">
        <f>electricity_cost3[[#This Row],[ Index (KWh)]]-electricity_cost3[[#This Row],[Original index 
(KWh)]]</f>
        <v>188</v>
      </c>
      <c r="G32" s="6">
        <v>43017</v>
      </c>
      <c r="H32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2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32.335999999999999</v>
      </c>
      <c r="J32" s="10">
        <f xml:space="preserve"> (E$6 + electricity_cost3[[#This Row],[Elect. Net cost to date
(TND)]]) * (1 + E$5)</f>
        <v>54.676479999999998</v>
      </c>
      <c r="K32" s="12">
        <f>(electricity_cost3[[#This Row],[Elect. Cost  VAT included
(TND)
]]-J31)/_xlfn.DAYS(electricity_cost3[[#This Row],[Date of reading 
(Elect)]], G31)</f>
        <v>1.014800000000001</v>
      </c>
      <c r="L32" s="12">
        <f>(electricity_cost3[[#This Row],[Consumption to date (KWh)]] - F31)/_xlfn.DAYS(electricity_cost3[[#This Row],[Date of reading 
(Elect)]], G31)</f>
        <v>5</v>
      </c>
      <c r="M32" s="7">
        <v>8105</v>
      </c>
      <c r="P32">
        <v>8139</v>
      </c>
      <c r="Q32" s="11">
        <f>gas_cost107[[#This Row],[ Index (m3)]] - gas_cost107[[#This Row],[Original index 
(m3)]]</f>
        <v>34</v>
      </c>
      <c r="R32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2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7.8540000000000001</v>
      </c>
      <c r="T32" s="12">
        <f xml:space="preserve"> gas_cost107[[#This Row],[Gas Net cost to date
(TND)]]* (1 + E$5)</f>
        <v>9.2677199999999988</v>
      </c>
      <c r="U32" s="12">
        <f>(gas_cost107[[#This Row],[Gas Cost to date  VAT included
(TND)
]] - T31)/_xlfn.DAYS(electricity_cost3[[#This Row],[Date of reading 
(Elect)]], G31)</f>
        <v>0.27258000000000021</v>
      </c>
      <c r="V32" s="20">
        <f xml:space="preserve"> E$8 + ((electricity_cost3[[#This Row],[Elect. Net cost to date
(TND)]] + E$6 + gas_cost107[[#This Row],[Gas Net cost to date
(TND)]] + E$7) * (1 + E$5))</f>
        <v>74.180199999999999</v>
      </c>
      <c r="W32" s="38"/>
    </row>
    <row r="33" spans="2:23" x14ac:dyDescent="0.25">
      <c r="B33">
        <v>16715</v>
      </c>
      <c r="C33" s="6">
        <v>42983</v>
      </c>
      <c r="D33" s="6">
        <v>43110</v>
      </c>
      <c r="E33">
        <v>16908</v>
      </c>
      <c r="F33" s="11">
        <f>electricity_cost3[[#This Row],[ Index (KWh)]]-electricity_cost3[[#This Row],[Original index 
(KWh)]]</f>
        <v>193</v>
      </c>
      <c r="G33" s="6">
        <v>43018</v>
      </c>
      <c r="H33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3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33.195999999999998</v>
      </c>
      <c r="J33" s="10">
        <f xml:space="preserve"> (E$6 + electricity_cost3[[#This Row],[Elect. Net cost to date
(TND)]]) * (1 + E$5)</f>
        <v>55.691279999999992</v>
      </c>
      <c r="K33" s="12">
        <f>(electricity_cost3[[#This Row],[Elect. Cost  VAT included
(TND)
]]-J32)/_xlfn.DAYS(electricity_cost3[[#This Row],[Date of reading 
(Elect)]], G32)</f>
        <v>1.0147999999999939</v>
      </c>
      <c r="L33" s="12">
        <f>(electricity_cost3[[#This Row],[Consumption to date (KWh)]] - F32)/_xlfn.DAYS(electricity_cost3[[#This Row],[Date of reading 
(Elect)]], G32)</f>
        <v>5</v>
      </c>
      <c r="M33" s="7">
        <v>8105</v>
      </c>
      <c r="P33">
        <v>8140</v>
      </c>
      <c r="Q33" s="11">
        <f>gas_cost107[[#This Row],[ Index (m3)]] - gas_cost107[[#This Row],[Original index 
(m3)]]</f>
        <v>35</v>
      </c>
      <c r="R33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3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8.0850000000000009</v>
      </c>
      <c r="T33" s="12">
        <f xml:space="preserve"> gas_cost107[[#This Row],[Gas Net cost to date
(TND)]]* (1 + E$5)</f>
        <v>9.5403000000000002</v>
      </c>
      <c r="U33" s="12">
        <f>(gas_cost107[[#This Row],[Gas Cost to date  VAT included
(TND)
]] - T32)/_xlfn.DAYS(electricity_cost3[[#This Row],[Date of reading 
(Elect)]], G32)</f>
        <v>0.27258000000000138</v>
      </c>
      <c r="V33" s="20">
        <f xml:space="preserve"> E$8 + ((electricity_cost3[[#This Row],[Elect. Net cost to date
(TND)]] + E$6 + gas_cost107[[#This Row],[Gas Net cost to date
(TND)]] + E$7) * (1 + E$5))</f>
        <v>75.467579999999998</v>
      </c>
      <c r="W33" s="38"/>
    </row>
    <row r="34" spans="2:23" x14ac:dyDescent="0.25">
      <c r="B34">
        <v>16715</v>
      </c>
      <c r="C34" s="6">
        <v>42983</v>
      </c>
      <c r="D34" s="6">
        <v>43110</v>
      </c>
      <c r="E34">
        <v>16916</v>
      </c>
      <c r="F34" s="11">
        <f>electricity_cost3[[#This Row],[ Index (KWh)]]-electricity_cost3[[#This Row],[Original index 
(KWh)]]</f>
        <v>201</v>
      </c>
      <c r="G34" s="6">
        <v>43020</v>
      </c>
      <c r="H34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4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34.572000000000003</v>
      </c>
      <c r="J34" s="10">
        <f xml:space="preserve"> (E$6 + electricity_cost3[[#This Row],[Elect. Net cost to date
(TND)]]) * (1 + E$5)</f>
        <v>57.314959999999999</v>
      </c>
      <c r="K34" s="12">
        <f>(electricity_cost3[[#This Row],[Elect. Cost  VAT included
(TND)
]]-J33)/_xlfn.DAYS(electricity_cost3[[#This Row],[Date of reading 
(Elect)]], G33)</f>
        <v>0.81184000000000367</v>
      </c>
      <c r="L34" s="12">
        <f>(electricity_cost3[[#This Row],[Consumption to date (KWh)]] - F33)/_xlfn.DAYS(electricity_cost3[[#This Row],[Date of reading 
(Elect)]], G33)</f>
        <v>4</v>
      </c>
      <c r="M34" s="7">
        <v>8105</v>
      </c>
      <c r="P34">
        <v>8143</v>
      </c>
      <c r="Q34" s="11">
        <f>gas_cost107[[#This Row],[ Index (m3)]] - gas_cost107[[#This Row],[Original index 
(m3)]]</f>
        <v>38</v>
      </c>
      <c r="R34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4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8.7780000000000005</v>
      </c>
      <c r="T34" s="12">
        <f xml:space="preserve"> gas_cost107[[#This Row],[Gas Net cost to date
(TND)]]* (1 + E$5)</f>
        <v>10.358040000000001</v>
      </c>
      <c r="U34" s="12">
        <f>(gas_cost107[[#This Row],[Gas Cost to date  VAT included
(TND)
]] - T33)/_xlfn.DAYS(electricity_cost3[[#This Row],[Date of reading 
(Elect)]], G33)</f>
        <v>0.40887000000000029</v>
      </c>
      <c r="V34" s="20">
        <f xml:space="preserve"> E$8 + ((electricity_cost3[[#This Row],[Elect. Net cost to date
(TND)]] + E$6 + gas_cost107[[#This Row],[Gas Net cost to date
(TND)]] + E$7) * (1 + E$5))</f>
        <v>77.909000000000006</v>
      </c>
      <c r="W34" s="38"/>
    </row>
    <row r="35" spans="2:23" x14ac:dyDescent="0.25">
      <c r="B35">
        <v>16715</v>
      </c>
      <c r="C35" s="6">
        <v>42983</v>
      </c>
      <c r="D35" s="6">
        <v>43110</v>
      </c>
      <c r="E35">
        <v>16935</v>
      </c>
      <c r="F35" s="11">
        <f>electricity_cost3[[#This Row],[ Index (KWh)]]-electricity_cost3[[#This Row],[Original index 
(KWh)]]</f>
        <v>220</v>
      </c>
      <c r="G35" s="6">
        <v>43024</v>
      </c>
      <c r="H35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5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37.840000000000003</v>
      </c>
      <c r="J35" s="10">
        <f xml:space="preserve"> (E$6 + electricity_cost3[[#This Row],[Elect. Net cost to date
(TND)]]) * (1 + E$5)</f>
        <v>61.171199999999999</v>
      </c>
      <c r="K35" s="12">
        <f>(electricity_cost3[[#This Row],[Elect. Cost  VAT included
(TND)
]]-J34)/_xlfn.DAYS(electricity_cost3[[#This Row],[Date of reading 
(Elect)]], G34)</f>
        <v>0.96405999999999992</v>
      </c>
      <c r="L35" s="12">
        <f>(electricity_cost3[[#This Row],[Consumption to date (KWh)]] - F34)/_xlfn.DAYS(electricity_cost3[[#This Row],[Date of reading 
(Elect)]], G34)</f>
        <v>4.75</v>
      </c>
      <c r="M35" s="7">
        <v>8105</v>
      </c>
      <c r="P35">
        <v>8148</v>
      </c>
      <c r="Q35" s="11">
        <f>gas_cost107[[#This Row],[ Index (m3)]] - gas_cost107[[#This Row],[Original index 
(m3)]]</f>
        <v>43</v>
      </c>
      <c r="R35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5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9.9329999999999998</v>
      </c>
      <c r="T35" s="12">
        <f xml:space="preserve"> gas_cost107[[#This Row],[Gas Net cost to date
(TND)]]* (1 + E$5)</f>
        <v>11.720939999999999</v>
      </c>
      <c r="U35" s="12">
        <f>(gas_cost107[[#This Row],[Gas Cost to date  VAT included
(TND)
]] - T34)/_xlfn.DAYS(electricity_cost3[[#This Row],[Date of reading 
(Elect)]], G34)</f>
        <v>0.3407249999999995</v>
      </c>
      <c r="V35" s="20">
        <f xml:space="preserve"> E$8 + ((electricity_cost3[[#This Row],[Elect. Net cost to date
(TND)]] + E$6 + gas_cost107[[#This Row],[Gas Net cost to date
(TND)]] + E$7) * (1 + E$5))</f>
        <v>83.128140000000002</v>
      </c>
      <c r="W35" s="38"/>
    </row>
    <row r="36" spans="2:23" x14ac:dyDescent="0.25">
      <c r="B36">
        <v>16715</v>
      </c>
      <c r="C36" s="6">
        <v>42983</v>
      </c>
      <c r="D36" s="6">
        <v>43110</v>
      </c>
      <c r="E36">
        <v>16945</v>
      </c>
      <c r="F36" s="11">
        <f>electricity_cost3[[#This Row],[ Index (KWh)]]-electricity_cost3[[#This Row],[Original index 
(KWh)]]</f>
        <v>230</v>
      </c>
      <c r="G36" s="6">
        <v>43026</v>
      </c>
      <c r="H36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6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39.56</v>
      </c>
      <c r="J36" s="10">
        <f xml:space="preserve"> (E$6 + electricity_cost3[[#This Row],[Elect. Net cost to date
(TND)]]) * (1 + E$5)</f>
        <v>63.200800000000001</v>
      </c>
      <c r="K36" s="12">
        <f>(electricity_cost3[[#This Row],[Elect. Cost  VAT included
(TND)
]]-J35)/_xlfn.DAYS(electricity_cost3[[#This Row],[Date of reading 
(Elect)]], G35)</f>
        <v>1.014800000000001</v>
      </c>
      <c r="L36" s="12">
        <f>(electricity_cost3[[#This Row],[Consumption to date (KWh)]] - F35)/_xlfn.DAYS(electricity_cost3[[#This Row],[Date of reading 
(Elect)]], G35)</f>
        <v>5</v>
      </c>
      <c r="M36" s="7">
        <v>8105</v>
      </c>
      <c r="P36">
        <v>8150</v>
      </c>
      <c r="Q36" s="11">
        <f>gas_cost107[[#This Row],[ Index (m3)]] - gas_cost107[[#This Row],[Original index 
(m3)]]</f>
        <v>45</v>
      </c>
      <c r="R36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6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10.395</v>
      </c>
      <c r="T36" s="12">
        <f xml:space="preserve"> gas_cost107[[#This Row],[Gas Net cost to date
(TND)]]* (1 + E$5)</f>
        <v>12.266099999999998</v>
      </c>
      <c r="U36" s="12">
        <f>(gas_cost107[[#This Row],[Gas Cost to date  VAT included
(TND)
]] - T35)/_xlfn.DAYS(electricity_cost3[[#This Row],[Date of reading 
(Elect)]], G35)</f>
        <v>0.2725799999999996</v>
      </c>
      <c r="V36" s="20">
        <f xml:space="preserve"> E$8 + ((electricity_cost3[[#This Row],[Elect. Net cost to date
(TND)]] + E$6 + gas_cost107[[#This Row],[Gas Net cost to date
(TND)]] + E$7) * (1 + E$5))</f>
        <v>85.7029</v>
      </c>
      <c r="W36" s="38"/>
    </row>
    <row r="37" spans="2:23" x14ac:dyDescent="0.25">
      <c r="B37">
        <v>16715</v>
      </c>
      <c r="C37" s="6">
        <v>42983</v>
      </c>
      <c r="D37" s="6">
        <v>43110</v>
      </c>
      <c r="E37">
        <v>16965</v>
      </c>
      <c r="F37" s="11">
        <f>electricity_cost3[[#This Row],[ Index (KWh)]]-electricity_cost3[[#This Row],[Original index 
(KWh)]]</f>
        <v>250</v>
      </c>
      <c r="G37" s="6">
        <v>43030</v>
      </c>
      <c r="H37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7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43</v>
      </c>
      <c r="J37" s="10">
        <f xml:space="preserve"> (E$6 + electricity_cost3[[#This Row],[Elect. Net cost to date
(TND)]]) * (1 + E$5)</f>
        <v>67.259999999999991</v>
      </c>
      <c r="K37" s="12">
        <f>(electricity_cost3[[#This Row],[Elect. Cost  VAT included
(TND)
]]-J36)/_xlfn.DAYS(electricity_cost3[[#This Row],[Date of reading 
(Elect)]], G36)</f>
        <v>1.0147999999999975</v>
      </c>
      <c r="L37" s="12">
        <f>(electricity_cost3[[#This Row],[Consumption to date (KWh)]] - F36)/_xlfn.DAYS(electricity_cost3[[#This Row],[Date of reading 
(Elect)]], G36)</f>
        <v>5</v>
      </c>
      <c r="M37" s="7">
        <v>8105</v>
      </c>
      <c r="P37">
        <v>8154</v>
      </c>
      <c r="Q37" s="11">
        <f>gas_cost107[[#This Row],[ Index (m3)]] - gas_cost107[[#This Row],[Original index 
(m3)]]</f>
        <v>49</v>
      </c>
      <c r="R37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7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11.319000000000001</v>
      </c>
      <c r="T37" s="12">
        <f xml:space="preserve"> gas_cost107[[#This Row],[Gas Net cost to date
(TND)]]* (1 + E$5)</f>
        <v>13.35642</v>
      </c>
      <c r="U37" s="12">
        <f>(gas_cost107[[#This Row],[Gas Cost to date  VAT included
(TND)
]] - T36)/_xlfn.DAYS(electricity_cost3[[#This Row],[Date of reading 
(Elect)]], G36)</f>
        <v>0.27258000000000049</v>
      </c>
      <c r="V37" s="20">
        <f xml:space="preserve"> E$8 + ((electricity_cost3[[#This Row],[Elect. Net cost to date
(TND)]] + E$6 + gas_cost107[[#This Row],[Gas Net cost to date
(TND)]] + E$7) * (1 + E$5))</f>
        <v>90.852420000000009</v>
      </c>
      <c r="W37" s="38"/>
    </row>
    <row r="38" spans="2:23" x14ac:dyDescent="0.25">
      <c r="B38">
        <v>16715</v>
      </c>
      <c r="C38" s="6">
        <v>42983</v>
      </c>
      <c r="D38" s="6">
        <v>43110</v>
      </c>
      <c r="E38">
        <v>16986</v>
      </c>
      <c r="F38" s="11">
        <f>electricity_cost3[[#This Row],[ Index (KWh)]]-electricity_cost3[[#This Row],[Original index 
(KWh)]]</f>
        <v>271</v>
      </c>
      <c r="G38" s="6">
        <v>43034</v>
      </c>
      <c r="H38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8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46.612000000000002</v>
      </c>
      <c r="J38" s="10">
        <f xml:space="preserve"> (E$6 + electricity_cost3[[#This Row],[Elect. Net cost to date
(TND)]]) * (1 + E$5)</f>
        <v>71.52216</v>
      </c>
      <c r="K38" s="12">
        <f>(electricity_cost3[[#This Row],[Elect. Cost  VAT included
(TND)
]]-J37)/_xlfn.DAYS(electricity_cost3[[#This Row],[Date of reading 
(Elect)]], G37)</f>
        <v>1.0655400000000022</v>
      </c>
      <c r="L38" s="12">
        <f>(electricity_cost3[[#This Row],[Consumption to date (KWh)]] - F37)/_xlfn.DAYS(electricity_cost3[[#This Row],[Date of reading 
(Elect)]], G37)</f>
        <v>5.25</v>
      </c>
      <c r="M38" s="7">
        <v>8105</v>
      </c>
      <c r="P38">
        <v>8159</v>
      </c>
      <c r="Q38" s="11">
        <f>gas_cost107[[#This Row],[ Index (m3)]] - gas_cost107[[#This Row],[Original index 
(m3)]]</f>
        <v>54</v>
      </c>
      <c r="R38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8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12.474</v>
      </c>
      <c r="T38" s="12">
        <f xml:space="preserve"> gas_cost107[[#This Row],[Gas Net cost to date
(TND)]]* (1 + E$5)</f>
        <v>14.71932</v>
      </c>
      <c r="U38" s="12">
        <f>(gas_cost107[[#This Row],[Gas Cost to date  VAT included
(TND)
]] - T37)/_xlfn.DAYS(electricity_cost3[[#This Row],[Date of reading 
(Elect)]], G37)</f>
        <v>0.34072499999999994</v>
      </c>
      <c r="V38" s="20">
        <f xml:space="preserve"> E$8 + ((electricity_cost3[[#This Row],[Elect. Net cost to date
(TND)]] + E$6 + gas_cost107[[#This Row],[Gas Net cost to date
(TND)]] + E$7) * (1 + E$5))</f>
        <v>96.47748</v>
      </c>
      <c r="W38" s="38"/>
    </row>
    <row r="39" spans="2:23" x14ac:dyDescent="0.25">
      <c r="B39">
        <v>16715</v>
      </c>
      <c r="C39" s="6">
        <v>42983</v>
      </c>
      <c r="D39" s="6">
        <v>43110</v>
      </c>
      <c r="E39">
        <v>17006</v>
      </c>
      <c r="F39" s="11">
        <f>electricity_cost3[[#This Row],[ Index (KWh)]]-electricity_cost3[[#This Row],[Original index 
(KWh)]]</f>
        <v>291</v>
      </c>
      <c r="G39" s="6">
        <v>43038</v>
      </c>
      <c r="H39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39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50.052</v>
      </c>
      <c r="J39" s="10">
        <f xml:space="preserve"> (E$6 + electricity_cost3[[#This Row],[Elect. Net cost to date
(TND)]]) * (1 + E$5)</f>
        <v>75.581359999999989</v>
      </c>
      <c r="K39" s="12">
        <f>(electricity_cost3[[#This Row],[Elect. Cost  VAT included
(TND)
]]-J38)/_xlfn.DAYS(electricity_cost3[[#This Row],[Date of reading 
(Elect)]], G38)</f>
        <v>1.0147999999999975</v>
      </c>
      <c r="L39" s="12">
        <f>(electricity_cost3[[#This Row],[Consumption to date (KWh)]] - F38)/_xlfn.DAYS(electricity_cost3[[#This Row],[Date of reading 
(Elect)]], G38)</f>
        <v>5</v>
      </c>
      <c r="M39" s="7">
        <v>8105</v>
      </c>
      <c r="P39">
        <v>8165</v>
      </c>
      <c r="Q39" s="11">
        <f>gas_cost107[[#This Row],[ Index (m3)]] - gas_cost107[[#This Row],[Original index 
(m3)]]</f>
        <v>60</v>
      </c>
      <c r="R39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39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13.86</v>
      </c>
      <c r="T39" s="12">
        <f xml:space="preserve"> gas_cost107[[#This Row],[Gas Net cost to date
(TND)]]* (1 + E$5)</f>
        <v>16.354799999999997</v>
      </c>
      <c r="U39" s="12">
        <f>(gas_cost107[[#This Row],[Gas Cost to date  VAT included
(TND)
]] - T38)/_xlfn.DAYS(electricity_cost3[[#This Row],[Date of reading 
(Elect)]], G38)</f>
        <v>0.4088699999999994</v>
      </c>
      <c r="V39" s="20">
        <f xml:space="preserve"> E$8 + ((electricity_cost3[[#This Row],[Elect. Net cost to date
(TND)]] + E$6 + gas_cost107[[#This Row],[Gas Net cost to date
(TND)]] + E$7) * (1 + E$5))</f>
        <v>102.17215999999999</v>
      </c>
      <c r="W39" s="38"/>
    </row>
    <row r="40" spans="2:23" x14ac:dyDescent="0.25">
      <c r="B40">
        <v>16715</v>
      </c>
      <c r="C40" s="6">
        <v>42983</v>
      </c>
      <c r="D40" s="6">
        <v>43110</v>
      </c>
      <c r="E40">
        <v>17028</v>
      </c>
      <c r="F40" s="11">
        <f>electricity_cost3[[#This Row],[ Index (KWh)]]-electricity_cost3[[#This Row],[Original index 
(KWh)]]</f>
        <v>313</v>
      </c>
      <c r="G40" s="6">
        <v>43041</v>
      </c>
      <c r="H40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0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53.835999999999999</v>
      </c>
      <c r="J40" s="10">
        <f xml:space="preserve"> (E$6 + electricity_cost3[[#This Row],[Elect. Net cost to date
(TND)]]) * (1 + E$5)</f>
        <v>80.046479999999988</v>
      </c>
      <c r="K40" s="12">
        <f>(electricity_cost3[[#This Row],[Elect. Cost  VAT included
(TND)
]]-J39)/_xlfn.DAYS(electricity_cost3[[#This Row],[Date of reading 
(Elect)]], G39)</f>
        <v>1.4883733333333329</v>
      </c>
      <c r="L40" s="12">
        <f>(electricity_cost3[[#This Row],[Consumption to date (KWh)]] - F39)/_xlfn.DAYS(electricity_cost3[[#This Row],[Date of reading 
(Elect)]], G39)</f>
        <v>7.333333333333333</v>
      </c>
      <c r="M40" s="7">
        <v>8105</v>
      </c>
      <c r="P40">
        <v>8169</v>
      </c>
      <c r="Q40" s="11">
        <f>gas_cost107[[#This Row],[ Index (m3)]] - gas_cost107[[#This Row],[Original index 
(m3)]]</f>
        <v>64</v>
      </c>
      <c r="R40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40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14.784000000000001</v>
      </c>
      <c r="T40" s="12">
        <f xml:space="preserve"> gas_cost107[[#This Row],[Gas Net cost to date
(TND)]]* (1 + E$5)</f>
        <v>17.445119999999999</v>
      </c>
      <c r="U40" s="12">
        <f>(gas_cost107[[#This Row],[Gas Cost to date  VAT included
(TND)
]] - T39)/_xlfn.DAYS(electricity_cost3[[#This Row],[Date of reading 
(Elect)]], G39)</f>
        <v>0.36344000000000065</v>
      </c>
      <c r="V40" s="20">
        <f xml:space="preserve"> E$8 + ((electricity_cost3[[#This Row],[Elect. Net cost to date
(TND)]] + E$6 + gas_cost107[[#This Row],[Gas Net cost to date
(TND)]] + E$7) * (1 + E$5))</f>
        <v>107.72760000000001</v>
      </c>
      <c r="W40" s="38"/>
    </row>
    <row r="41" spans="2:23" x14ac:dyDescent="0.25">
      <c r="B41">
        <v>16715</v>
      </c>
      <c r="C41" s="6">
        <v>42983</v>
      </c>
      <c r="D41" s="6">
        <v>43110</v>
      </c>
      <c r="E41">
        <v>17034</v>
      </c>
      <c r="F41" s="11">
        <f>electricity_cost3[[#This Row],[ Index (KWh)]]-electricity_cost3[[#This Row],[Original index 
(KWh)]]</f>
        <v>319</v>
      </c>
      <c r="G41" s="6">
        <v>43042</v>
      </c>
      <c r="H41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1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54.868000000000002</v>
      </c>
      <c r="J41" s="10">
        <f xml:space="preserve"> (E$6 + electricity_cost3[[#This Row],[Elect. Net cost to date
(TND)]]) * (1 + E$5)</f>
        <v>81.264239999999987</v>
      </c>
      <c r="K41" s="12">
        <f>(electricity_cost3[[#This Row],[Elect. Cost  VAT included
(TND)
]]-J40)/_xlfn.DAYS(electricity_cost3[[#This Row],[Date of reading 
(Elect)]], G40)</f>
        <v>1.2177599999999984</v>
      </c>
      <c r="L41" s="12">
        <f>(electricity_cost3[[#This Row],[Consumption to date (KWh)]] - F40)/_xlfn.DAYS(electricity_cost3[[#This Row],[Date of reading 
(Elect)]], G40)</f>
        <v>6</v>
      </c>
      <c r="M41" s="7">
        <v>8105</v>
      </c>
      <c r="P41">
        <v>8170</v>
      </c>
      <c r="Q41" s="11">
        <f>gas_cost107[[#This Row],[ Index (m3)]] - gas_cost107[[#This Row],[Original index 
(m3)]]</f>
        <v>65</v>
      </c>
      <c r="R41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41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15.015000000000001</v>
      </c>
      <c r="T41" s="12">
        <f xml:space="preserve"> gas_cost107[[#This Row],[Gas Net cost to date
(TND)]]* (1 + E$5)</f>
        <v>17.717700000000001</v>
      </c>
      <c r="U41" s="12">
        <f>(gas_cost107[[#This Row],[Gas Cost to date  VAT included
(TND)
]] - T40)/_xlfn.DAYS(electricity_cost3[[#This Row],[Date of reading 
(Elect)]], G40)</f>
        <v>0.27258000000000138</v>
      </c>
      <c r="V41" s="20">
        <f xml:space="preserve"> E$8 + ((electricity_cost3[[#This Row],[Elect. Net cost to date
(TND)]] + E$6 + gas_cost107[[#This Row],[Gas Net cost to date
(TND)]] + E$7) * (1 + E$5))</f>
        <v>109.21794</v>
      </c>
      <c r="W41" s="38"/>
    </row>
    <row r="42" spans="2:23" x14ac:dyDescent="0.25">
      <c r="B42">
        <v>16715</v>
      </c>
      <c r="C42" s="6">
        <v>42983</v>
      </c>
      <c r="D42" s="6">
        <v>43110</v>
      </c>
      <c r="E42">
        <v>17049</v>
      </c>
      <c r="F42" s="11">
        <f>electricity_cost3[[#This Row],[ Index (KWh)]]-electricity_cost3[[#This Row],[Original index 
(KWh)]]</f>
        <v>334</v>
      </c>
      <c r="G42" s="6">
        <v>43045</v>
      </c>
      <c r="H42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2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57.448</v>
      </c>
      <c r="J42" s="10">
        <f xml:space="preserve"> (E$6 + electricity_cost3[[#This Row],[Elect. Net cost to date
(TND)]]) * (1 + E$5)</f>
        <v>84.308640000000011</v>
      </c>
      <c r="K42" s="12">
        <f>(electricity_cost3[[#This Row],[Elect. Cost  VAT included
(TND)
]]-J41)/_xlfn.DAYS(electricity_cost3[[#This Row],[Date of reading 
(Elect)]], G41)</f>
        <v>1.0148000000000081</v>
      </c>
      <c r="L42" s="12">
        <f>(electricity_cost3[[#This Row],[Consumption to date (KWh)]] - F41)/_xlfn.DAYS(electricity_cost3[[#This Row],[Date of reading 
(Elect)]], G41)</f>
        <v>5</v>
      </c>
      <c r="M42" s="7">
        <v>8105</v>
      </c>
      <c r="P42">
        <v>8176</v>
      </c>
      <c r="Q42" s="11">
        <f>gas_cost107[[#This Row],[ Index (m3)]] - gas_cost107[[#This Row],[Original index 
(m3)]]</f>
        <v>71</v>
      </c>
      <c r="R42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42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16.401</v>
      </c>
      <c r="T42" s="12">
        <f xml:space="preserve"> gas_cost107[[#This Row],[Gas Net cost to date
(TND)]]* (1 + E$5)</f>
        <v>19.353179999999998</v>
      </c>
      <c r="U42" s="12">
        <f>(gas_cost107[[#This Row],[Gas Cost to date  VAT included
(TND)
]] - T41)/_xlfn.DAYS(electricity_cost3[[#This Row],[Date of reading 
(Elect)]], G41)</f>
        <v>0.5451599999999992</v>
      </c>
      <c r="V42" s="20">
        <f xml:space="preserve"> E$8 + ((electricity_cost3[[#This Row],[Elect. Net cost to date
(TND)]] + E$6 + gas_cost107[[#This Row],[Gas Net cost to date
(TND)]] + E$7) * (1 + E$5))</f>
        <v>113.89782000000001</v>
      </c>
      <c r="W42" s="38"/>
    </row>
    <row r="43" spans="2:23" x14ac:dyDescent="0.25">
      <c r="B43">
        <v>16715</v>
      </c>
      <c r="C43" s="6">
        <v>42983</v>
      </c>
      <c r="D43" s="6">
        <v>43110</v>
      </c>
      <c r="E43">
        <v>17069</v>
      </c>
      <c r="F43" s="11">
        <f>electricity_cost3[[#This Row],[ Index (KWh)]]-electricity_cost3[[#This Row],[Original index 
(KWh)]]</f>
        <v>354</v>
      </c>
      <c r="G43" s="6">
        <v>43049</v>
      </c>
      <c r="H43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3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60.887999999999998</v>
      </c>
      <c r="J43" s="10">
        <f xml:space="preserve"> (E$6 + electricity_cost3[[#This Row],[Elect. Net cost to date
(TND)]]) * (1 + E$5)</f>
        <v>88.367840000000001</v>
      </c>
      <c r="K43" s="12">
        <f>(electricity_cost3[[#This Row],[Elect. Cost  VAT included
(TND)
]]-J42)/_xlfn.DAYS(electricity_cost3[[#This Row],[Date of reading 
(Elect)]], G42)</f>
        <v>1.0147999999999975</v>
      </c>
      <c r="L43" s="12">
        <f>(electricity_cost3[[#This Row],[Consumption to date (KWh)]] - F42)/_xlfn.DAYS(electricity_cost3[[#This Row],[Date of reading 
(Elect)]], G42)</f>
        <v>5</v>
      </c>
      <c r="M43" s="7">
        <v>8105</v>
      </c>
      <c r="P43">
        <v>8180</v>
      </c>
      <c r="Q43" s="11">
        <f>gas_cost107[[#This Row],[ Index (m3)]] - gas_cost107[[#This Row],[Original index 
(m3)]]</f>
        <v>75</v>
      </c>
      <c r="R43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43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17.324999999999999</v>
      </c>
      <c r="T43" s="12">
        <f xml:space="preserve"> gas_cost107[[#This Row],[Gas Net cost to date
(TND)]]* (1 + E$5)</f>
        <v>20.443499999999997</v>
      </c>
      <c r="U43" s="12">
        <f>(gas_cost107[[#This Row],[Gas Cost to date  VAT included
(TND)
]] - T42)/_xlfn.DAYS(electricity_cost3[[#This Row],[Date of reading 
(Elect)]], G42)</f>
        <v>0.2725799999999996</v>
      </c>
      <c r="V43" s="20">
        <f xml:space="preserve"> E$8 + ((electricity_cost3[[#This Row],[Elect. Net cost to date
(TND)]] + E$6 + gas_cost107[[#This Row],[Gas Net cost to date
(TND)]] + E$7) * (1 + E$5))</f>
        <v>119.04734000000001</v>
      </c>
      <c r="W43" s="38"/>
    </row>
    <row r="44" spans="2:23" x14ac:dyDescent="0.25">
      <c r="B44">
        <v>16715</v>
      </c>
      <c r="C44" s="6">
        <v>42983</v>
      </c>
      <c r="D44" s="6">
        <v>43110</v>
      </c>
      <c r="E44">
        <v>17075</v>
      </c>
      <c r="F44" s="11">
        <f>electricity_cost3[[#This Row],[ Index (KWh)]]-electricity_cost3[[#This Row],[Original index 
(KWh)]]</f>
        <v>360</v>
      </c>
      <c r="G44" s="6">
        <v>43050</v>
      </c>
      <c r="H44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4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61.92</v>
      </c>
      <c r="J44" s="10">
        <f xml:space="preserve"> (E$6 + electricity_cost3[[#This Row],[Elect. Net cost to date
(TND)]]) * (1 + E$5)</f>
        <v>89.585599999999999</v>
      </c>
      <c r="K44" s="12">
        <f>(electricity_cost3[[#This Row],[Elect. Cost  VAT included
(TND)
]]-J43)/_xlfn.DAYS(electricity_cost3[[#This Row],[Date of reading 
(Elect)]], G43)</f>
        <v>1.2177599999999984</v>
      </c>
      <c r="L44" s="12">
        <f>(electricity_cost3[[#This Row],[Consumption to date (KWh)]] - F43)/_xlfn.DAYS(electricity_cost3[[#This Row],[Date of reading 
(Elect)]], G43)</f>
        <v>6</v>
      </c>
      <c r="M44" s="7">
        <v>8105</v>
      </c>
      <c r="P44">
        <v>8187</v>
      </c>
      <c r="Q44" s="11">
        <f>gas_cost107[[#This Row],[ Index (m3)]] - gas_cost107[[#This Row],[Original index 
(m3)]]</f>
        <v>82</v>
      </c>
      <c r="R44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44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18.942</v>
      </c>
      <c r="T44" s="12">
        <f xml:space="preserve"> gas_cost107[[#This Row],[Gas Net cost to date
(TND)]]* (1 + E$5)</f>
        <v>22.351559999999999</v>
      </c>
      <c r="U44" s="12">
        <f>(gas_cost107[[#This Row],[Gas Cost to date  VAT included
(TND)
]] - T43)/_xlfn.DAYS(electricity_cost3[[#This Row],[Date of reading 
(Elect)]], G43)</f>
        <v>1.9080600000000025</v>
      </c>
      <c r="V44" s="20">
        <f xml:space="preserve"> E$8 + ((electricity_cost3[[#This Row],[Elect. Net cost to date
(TND)]] + E$6 + gas_cost107[[#This Row],[Gas Net cost to date
(TND)]] + E$7) * (1 + E$5))</f>
        <v>122.17316</v>
      </c>
      <c r="W44" s="38"/>
    </row>
    <row r="45" spans="2:23" x14ac:dyDescent="0.25">
      <c r="B45">
        <v>16715</v>
      </c>
      <c r="C45" s="6">
        <v>42983</v>
      </c>
      <c r="D45" s="6">
        <v>43110</v>
      </c>
      <c r="E45">
        <v>17090</v>
      </c>
      <c r="F45" s="11">
        <f>electricity_cost3[[#This Row],[ Index (KWh)]]-electricity_cost3[[#This Row],[Original index 
(KWh)]]</f>
        <v>375</v>
      </c>
      <c r="G45" s="6">
        <v>43052</v>
      </c>
      <c r="H45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5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64.5</v>
      </c>
      <c r="J45" s="10">
        <f xml:space="preserve"> (E$6 + electricity_cost3[[#This Row],[Elect. Net cost to date
(TND)]]) * (1 + E$5)</f>
        <v>92.63</v>
      </c>
      <c r="K45" s="12">
        <f>(electricity_cost3[[#This Row],[Elect. Cost  VAT included
(TND)
]]-J44)/_xlfn.DAYS(electricity_cost3[[#This Row],[Date of reading 
(Elect)]], G44)</f>
        <v>1.522199999999998</v>
      </c>
      <c r="L45" s="12">
        <f>(electricity_cost3[[#This Row],[Consumption to date (KWh)]] - F44)/_xlfn.DAYS(electricity_cost3[[#This Row],[Date of reading 
(Elect)]], G44)</f>
        <v>7.5</v>
      </c>
      <c r="M45" s="7">
        <v>8105</v>
      </c>
      <c r="P45">
        <v>8201</v>
      </c>
      <c r="Q45" s="11">
        <f>gas_cost107[[#This Row],[ Index (m3)]] - gas_cost107[[#This Row],[Original index 
(m3)]]</f>
        <v>96</v>
      </c>
      <c r="R45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45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22.175999999999998</v>
      </c>
      <c r="T45" s="12">
        <f xml:space="preserve"> gas_cost107[[#This Row],[Gas Net cost to date
(TND)]]* (1 + E$5)</f>
        <v>26.167679999999997</v>
      </c>
      <c r="U45" s="12">
        <f>(gas_cost107[[#This Row],[Gas Cost to date  VAT included
(TND)
]] - T44)/_xlfn.DAYS(electricity_cost3[[#This Row],[Date of reading 
(Elect)]], G44)</f>
        <v>1.908059999999999</v>
      </c>
      <c r="V45" s="20">
        <f xml:space="preserve"> E$8 + ((electricity_cost3[[#This Row],[Elect. Net cost to date
(TND)]] + E$6 + gas_cost107[[#This Row],[Gas Net cost to date
(TND)]] + E$7) * (1 + E$5))</f>
        <v>129.03368</v>
      </c>
      <c r="W45" s="38"/>
    </row>
    <row r="46" spans="2:23" x14ac:dyDescent="0.25">
      <c r="B46">
        <v>16715</v>
      </c>
      <c r="C46" s="6">
        <v>42983</v>
      </c>
      <c r="D46" s="6">
        <v>43110</v>
      </c>
      <c r="E46">
        <v>17096</v>
      </c>
      <c r="F46" s="11">
        <f>electricity_cost3[[#This Row],[ Index (KWh)]]-electricity_cost3[[#This Row],[Original index 
(KWh)]]</f>
        <v>381</v>
      </c>
      <c r="G46" s="6">
        <v>43053</v>
      </c>
      <c r="H46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6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65.531999999999996</v>
      </c>
      <c r="J46" s="10">
        <f xml:space="preserve"> (E$6 + electricity_cost3[[#This Row],[Elect. Net cost to date
(TND)]]) * (1 + E$5)</f>
        <v>93.847759999999994</v>
      </c>
      <c r="K46" s="12">
        <f>(electricity_cost3[[#This Row],[Elect. Cost  VAT included
(TND)
]]-J45)/_xlfn.DAYS(electricity_cost3[[#This Row],[Date of reading 
(Elect)]], G45)</f>
        <v>1.2177599999999984</v>
      </c>
      <c r="L46" s="12">
        <f>(electricity_cost3[[#This Row],[Consumption to date (KWh)]] - F45)/_xlfn.DAYS(electricity_cost3[[#This Row],[Date of reading 
(Elect)]], G45)</f>
        <v>6</v>
      </c>
      <c r="M46" s="7">
        <v>8105</v>
      </c>
      <c r="P46">
        <v>8207</v>
      </c>
      <c r="Q46" s="11">
        <f>gas_cost107[[#This Row],[ Index (m3)]] - gas_cost107[[#This Row],[Original index 
(m3)]]</f>
        <v>102</v>
      </c>
      <c r="R46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46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23.562000000000001</v>
      </c>
      <c r="T46" s="12">
        <f xml:space="preserve"> gas_cost107[[#This Row],[Gas Net cost to date
(TND)]]* (1 + E$5)</f>
        <v>27.803159999999998</v>
      </c>
      <c r="U46" s="12">
        <f>(gas_cost107[[#This Row],[Gas Cost to date  VAT included
(TND)
]] - T45)/_xlfn.DAYS(electricity_cost3[[#This Row],[Date of reading 
(Elect)]], G45)</f>
        <v>1.6354800000000012</v>
      </c>
      <c r="V46" s="20">
        <f xml:space="preserve"> E$8 + ((electricity_cost3[[#This Row],[Elect. Net cost to date
(TND)]] + E$6 + gas_cost107[[#This Row],[Gas Net cost to date
(TND)]] + E$7) * (1 + E$5))</f>
        <v>131.88691999999998</v>
      </c>
      <c r="W46" s="38"/>
    </row>
    <row r="47" spans="2:23" x14ac:dyDescent="0.25">
      <c r="B47">
        <v>16715</v>
      </c>
      <c r="C47" s="6">
        <v>42983</v>
      </c>
      <c r="D47" s="6">
        <v>43110</v>
      </c>
      <c r="E47">
        <v>17109</v>
      </c>
      <c r="F47" s="11">
        <f>electricity_cost3[[#This Row],[ Index (KWh)]]-electricity_cost3[[#This Row],[Original index 
(KWh)]]</f>
        <v>394</v>
      </c>
      <c r="G47" s="6">
        <v>43055</v>
      </c>
      <c r="H47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7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67.768000000000001</v>
      </c>
      <c r="J47" s="10">
        <f xml:space="preserve"> (E$6 + electricity_cost3[[#This Row],[Elect. Net cost to date
(TND)]]) * (1 + E$5)</f>
        <v>96.486239999999995</v>
      </c>
      <c r="K47" s="12">
        <f>(electricity_cost3[[#This Row],[Elect. Cost  VAT included
(TND)
]]-J46)/_xlfn.DAYS(electricity_cost3[[#This Row],[Date of reading 
(Elect)]], G46)</f>
        <v>1.3192400000000006</v>
      </c>
      <c r="L47" s="12">
        <f>(electricity_cost3[[#This Row],[Consumption to date (KWh)]] - F46)/_xlfn.DAYS(electricity_cost3[[#This Row],[Date of reading 
(Elect)]], G46)</f>
        <v>6.5</v>
      </c>
      <c r="M47" s="7">
        <v>8105</v>
      </c>
      <c r="P47">
        <v>8224</v>
      </c>
      <c r="Q47" s="11">
        <f>gas_cost107[[#This Row],[ Index (m3)]] - gas_cost107[[#This Row],[Original index 
(m3)]]</f>
        <v>119</v>
      </c>
      <c r="R47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1</v>
      </c>
      <c r="S47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27.489000000000001</v>
      </c>
      <c r="T47" s="12">
        <f xml:space="preserve"> gas_cost107[[#This Row],[Gas Net cost to date
(TND)]]* (1 + E$5)</f>
        <v>32.437019999999997</v>
      </c>
      <c r="U47" s="12">
        <f>(gas_cost107[[#This Row],[Gas Cost to date  VAT included
(TND)
]] - T46)/_xlfn.DAYS(electricity_cost3[[#This Row],[Date of reading 
(Elect)]], G46)</f>
        <v>2.3169299999999993</v>
      </c>
      <c r="V47" s="20">
        <f xml:space="preserve"> E$8 + ((electricity_cost3[[#This Row],[Elect. Net cost to date
(TND)]] + E$6 + gas_cost107[[#This Row],[Gas Net cost to date
(TND)]] + E$7) * (1 + E$5))</f>
        <v>139.15926000000002</v>
      </c>
      <c r="W47" s="38"/>
    </row>
    <row r="48" spans="2:23" x14ac:dyDescent="0.25">
      <c r="B48">
        <v>16715</v>
      </c>
      <c r="C48" s="6">
        <v>42983</v>
      </c>
      <c r="D48" s="6">
        <v>43110</v>
      </c>
      <c r="E48">
        <v>17145</v>
      </c>
      <c r="F48" s="11">
        <f>electricity_cost3[[#This Row],[ Index (KWh)]]-electricity_cost3[[#This Row],[Original index 
(KWh)]]</f>
        <v>430</v>
      </c>
      <c r="G48" s="6">
        <v>43060</v>
      </c>
      <c r="H48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8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73.959999999999994</v>
      </c>
      <c r="J48" s="10">
        <f xml:space="preserve"> (E$6 + electricity_cost3[[#This Row],[Elect. Net cost to date
(TND)]]) * (1 + E$5)</f>
        <v>103.79279999999999</v>
      </c>
      <c r="K48" s="12">
        <f>(electricity_cost3[[#This Row],[Elect. Cost  VAT included
(TND)
]]-J47)/_xlfn.DAYS(electricity_cost3[[#This Row],[Date of reading 
(Elect)]], G47)</f>
        <v>1.4613119999999982</v>
      </c>
      <c r="L48" s="12">
        <f>(electricity_cost3[[#This Row],[Consumption to date (KWh)]] - F47)/_xlfn.DAYS(electricity_cost3[[#This Row],[Date of reading 
(Elect)]], G47)</f>
        <v>7.2</v>
      </c>
      <c r="M48" s="7">
        <v>8105</v>
      </c>
      <c r="P48">
        <v>8281</v>
      </c>
      <c r="Q48" s="11">
        <f>gas_cost107[[#This Row],[ Index (m3)]] - gas_cost107[[#This Row],[Original index 
(m3)]]</f>
        <v>176</v>
      </c>
      <c r="R48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2</v>
      </c>
      <c r="S48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51.04</v>
      </c>
      <c r="T48" s="12">
        <f xml:space="preserve"> gas_cost107[[#This Row],[Gas Net cost to date
(TND)]]* (1 + E$5)</f>
        <v>60.227199999999996</v>
      </c>
      <c r="U48" s="12">
        <f>(gas_cost107[[#This Row],[Gas Cost to date  VAT included
(TND)
]] - T47)/_xlfn.DAYS(electricity_cost3[[#This Row],[Date of reading 
(Elect)]], G47)</f>
        <v>5.5580359999999995</v>
      </c>
      <c r="V48" s="20">
        <f xml:space="preserve"> E$8 + ((electricity_cost3[[#This Row],[Elect. Net cost to date
(TND)]] + E$6 + gas_cost107[[#This Row],[Gas Net cost to date
(TND)]] + E$7) * (1 + E$5))</f>
        <v>174.256</v>
      </c>
      <c r="W48" s="38"/>
    </row>
    <row r="49" spans="2:23" x14ac:dyDescent="0.25">
      <c r="B49">
        <v>16715</v>
      </c>
      <c r="C49" s="6">
        <v>42983</v>
      </c>
      <c r="D49" s="6">
        <v>43110</v>
      </c>
      <c r="E49">
        <v>17151</v>
      </c>
      <c r="F49" s="11">
        <f>electricity_cost3[[#This Row],[ Index (KWh)]]-electricity_cost3[[#This Row],[Original index 
(KWh)]]</f>
        <v>436</v>
      </c>
      <c r="G49" s="6">
        <v>43061</v>
      </c>
      <c r="H49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49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74.992000000000004</v>
      </c>
      <c r="J49" s="10">
        <f xml:space="preserve"> (E$6 + electricity_cost3[[#This Row],[Elect. Net cost to date
(TND)]]) * (1 + E$5)</f>
        <v>105.01056</v>
      </c>
      <c r="K49" s="12">
        <f>(electricity_cost3[[#This Row],[Elect. Cost  VAT included
(TND)
]]-J48)/_xlfn.DAYS(electricity_cost3[[#This Row],[Date of reading 
(Elect)]], G48)</f>
        <v>1.2177600000000126</v>
      </c>
      <c r="L49" s="12">
        <f>(electricity_cost3[[#This Row],[Consumption to date (KWh)]] - F48)/_xlfn.DAYS(electricity_cost3[[#This Row],[Date of reading 
(Elect)]], G48)</f>
        <v>6</v>
      </c>
      <c r="M49" s="7">
        <v>8105</v>
      </c>
      <c r="P49">
        <v>8291</v>
      </c>
      <c r="Q49" s="11">
        <f>gas_cost107[[#This Row],[ Index (m3)]] - gas_cost107[[#This Row],[Original index 
(m3)]]</f>
        <v>186</v>
      </c>
      <c r="R49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2</v>
      </c>
      <c r="S49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53.94</v>
      </c>
      <c r="T49" s="12">
        <f xml:space="preserve"> gas_cost107[[#This Row],[Gas Net cost to date
(TND)]]* (1 + E$5)</f>
        <v>63.649199999999993</v>
      </c>
      <c r="U49" s="12">
        <f>(gas_cost107[[#This Row],[Gas Cost to date  VAT included
(TND)
]] - T48)/_xlfn.DAYS(electricity_cost3[[#This Row],[Date of reading 
(Elect)]], G48)</f>
        <v>3.421999999999997</v>
      </c>
      <c r="V49" s="20">
        <f xml:space="preserve"> E$8 + ((electricity_cost3[[#This Row],[Elect. Net cost to date
(TND)]] + E$6 + gas_cost107[[#This Row],[Gas Net cost to date
(TND)]] + E$7) * (1 + E$5))</f>
        <v>178.89576000000002</v>
      </c>
      <c r="W49" s="38"/>
    </row>
    <row r="50" spans="2:23" x14ac:dyDescent="0.25">
      <c r="B50">
        <v>16715</v>
      </c>
      <c r="C50" s="6">
        <v>42983</v>
      </c>
      <c r="D50" s="6">
        <v>43110</v>
      </c>
      <c r="E50">
        <v>17157</v>
      </c>
      <c r="F50" s="11">
        <f>electricity_cost3[[#This Row],[ Index (KWh)]]-electricity_cost3[[#This Row],[Original index 
(KWh)]]</f>
        <v>442</v>
      </c>
      <c r="G50" s="6">
        <v>43062</v>
      </c>
      <c r="H50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0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76.024000000000001</v>
      </c>
      <c r="J50" s="10">
        <f xml:space="preserve"> (E$6 + electricity_cost3[[#This Row],[Elect. Net cost to date
(TND)]]) * (1 + E$5)</f>
        <v>106.22832</v>
      </c>
      <c r="K50" s="12">
        <f>(electricity_cost3[[#This Row],[Elect. Cost  VAT included
(TND)
]]-J49)/_xlfn.DAYS(electricity_cost3[[#This Row],[Date of reading 
(Elect)]], G49)</f>
        <v>1.2177599999999984</v>
      </c>
      <c r="L50" s="12">
        <f>(electricity_cost3[[#This Row],[Consumption to date (KWh)]] - F49)/_xlfn.DAYS(electricity_cost3[[#This Row],[Date of reading 
(Elect)]], G49)</f>
        <v>6</v>
      </c>
      <c r="M50" s="7">
        <v>8105</v>
      </c>
      <c r="P50">
        <v>8297</v>
      </c>
      <c r="Q50" s="11">
        <f>gas_cost107[[#This Row],[ Index (m3)]] - gas_cost107[[#This Row],[Original index 
(m3)]]</f>
        <v>192</v>
      </c>
      <c r="R50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2</v>
      </c>
      <c r="S50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55.68</v>
      </c>
      <c r="T50" s="12">
        <f xml:space="preserve"> gas_cost107[[#This Row],[Gas Net cost to date
(TND)]]* (1 + E$5)</f>
        <v>65.702399999999997</v>
      </c>
      <c r="U50" s="12">
        <f>(gas_cost107[[#This Row],[Gas Cost to date  VAT included
(TND)
]] - T49)/_xlfn.DAYS(electricity_cost3[[#This Row],[Date of reading 
(Elect)]], G49)</f>
        <v>2.0532000000000039</v>
      </c>
      <c r="V50" s="20">
        <f xml:space="preserve"> E$8 + ((electricity_cost3[[#This Row],[Elect. Net cost to date
(TND)]] + E$6 + gas_cost107[[#This Row],[Gas Net cost to date
(TND)]] + E$7) * (1 + E$5))</f>
        <v>182.16672</v>
      </c>
      <c r="W50" s="38"/>
    </row>
    <row r="51" spans="2:23" x14ac:dyDescent="0.25">
      <c r="B51">
        <v>16715</v>
      </c>
      <c r="C51" s="6">
        <v>42983</v>
      </c>
      <c r="D51" s="6">
        <v>43110</v>
      </c>
      <c r="E51">
        <v>17163</v>
      </c>
      <c r="F51" s="11">
        <f>electricity_cost3[[#This Row],[ Index (KWh)]]-electricity_cost3[[#This Row],[Original index 
(KWh)]]</f>
        <v>448</v>
      </c>
      <c r="G51" s="6">
        <v>43063</v>
      </c>
      <c r="H51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1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77.055999999999997</v>
      </c>
      <c r="J51" s="10">
        <f xml:space="preserve"> (E$6 + electricity_cost3[[#This Row],[Elect. Net cost to date
(TND)]]) * (1 + E$5)</f>
        <v>107.44607999999999</v>
      </c>
      <c r="K51" s="12">
        <f>(electricity_cost3[[#This Row],[Elect. Cost  VAT included
(TND)
]]-J50)/_xlfn.DAYS(electricity_cost3[[#This Row],[Date of reading 
(Elect)]], G50)</f>
        <v>1.2177599999999984</v>
      </c>
      <c r="L51" s="12">
        <f>(electricity_cost3[[#This Row],[Consumption to date (KWh)]] - F50)/_xlfn.DAYS(electricity_cost3[[#This Row],[Date of reading 
(Elect)]], G50)</f>
        <v>6</v>
      </c>
      <c r="M51" s="7">
        <v>8105</v>
      </c>
      <c r="P51">
        <v>8303</v>
      </c>
      <c r="Q51" s="11">
        <f>gas_cost107[[#This Row],[ Index (m3)]] - gas_cost107[[#This Row],[Original index 
(m3)]]</f>
        <v>198</v>
      </c>
      <c r="R51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2</v>
      </c>
      <c r="S51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57.42</v>
      </c>
      <c r="T51" s="12">
        <f xml:space="preserve"> gas_cost107[[#This Row],[Gas Net cost to date
(TND)]]* (1 + E$5)</f>
        <v>67.755600000000001</v>
      </c>
      <c r="U51" s="12">
        <f>(gas_cost107[[#This Row],[Gas Cost to date  VAT included
(TND)
]] - T50)/_xlfn.DAYS(electricity_cost3[[#This Row],[Date of reading 
(Elect)]], G50)</f>
        <v>2.0532000000000039</v>
      </c>
      <c r="V51" s="20">
        <f xml:space="preserve"> E$8 + ((electricity_cost3[[#This Row],[Elect. Net cost to date
(TND)]] + E$6 + gas_cost107[[#This Row],[Gas Net cost to date
(TND)]] + E$7) * (1 + E$5))</f>
        <v>185.43768</v>
      </c>
      <c r="W51" s="38"/>
    </row>
    <row r="52" spans="2:23" x14ac:dyDescent="0.25">
      <c r="B52">
        <v>16715</v>
      </c>
      <c r="C52" s="6">
        <v>42983</v>
      </c>
      <c r="D52" s="6">
        <v>43110</v>
      </c>
      <c r="E52">
        <v>17170</v>
      </c>
      <c r="F52" s="11">
        <f>electricity_cost3[[#This Row],[ Index (KWh)]]-electricity_cost3[[#This Row],[Original index 
(KWh)]]</f>
        <v>455</v>
      </c>
      <c r="G52" s="6">
        <v>43064</v>
      </c>
      <c r="H52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2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78.260000000000005</v>
      </c>
      <c r="J52" s="10">
        <f xml:space="preserve"> (E$6 + electricity_cost3[[#This Row],[Elect. Net cost to date
(TND)]]) * (1 + E$5)</f>
        <v>108.8668</v>
      </c>
      <c r="K52" s="12">
        <f>(electricity_cost3[[#This Row],[Elect. Cost  VAT included
(TND)
]]-J51)/_xlfn.DAYS(electricity_cost3[[#This Row],[Date of reading 
(Elect)]], G51)</f>
        <v>1.4207200000000029</v>
      </c>
      <c r="L52" s="12">
        <f>(electricity_cost3[[#This Row],[Consumption to date (KWh)]] - F51)/_xlfn.DAYS(electricity_cost3[[#This Row],[Date of reading 
(Elect)]], G51)</f>
        <v>7</v>
      </c>
      <c r="M52" s="7">
        <v>8105</v>
      </c>
      <c r="P52">
        <v>8310</v>
      </c>
      <c r="Q52" s="11">
        <f>gas_cost107[[#This Row],[ Index (m3)]] - gas_cost107[[#This Row],[Original index 
(m3)]]</f>
        <v>205</v>
      </c>
      <c r="R52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2</v>
      </c>
      <c r="S52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59.45</v>
      </c>
      <c r="T52" s="12">
        <f xml:space="preserve"> gas_cost107[[#This Row],[Gas Net cost to date
(TND)]]* (1 + E$5)</f>
        <v>70.150999999999996</v>
      </c>
      <c r="U52" s="12">
        <f>(gas_cost107[[#This Row],[Gas Cost to date  VAT included
(TND)
]] - T51)/_xlfn.DAYS(electricity_cost3[[#This Row],[Date of reading 
(Elect)]], G51)</f>
        <v>2.3953999999999951</v>
      </c>
      <c r="V52" s="20">
        <f xml:space="preserve"> E$8 + ((electricity_cost3[[#This Row],[Elect. Net cost to date
(TND)]] + E$6 + gas_cost107[[#This Row],[Gas Net cost to date
(TND)]] + E$7) * (1 + E$5))</f>
        <v>189.25380000000001</v>
      </c>
      <c r="W52" s="38"/>
    </row>
    <row r="53" spans="2:23" x14ac:dyDescent="0.25">
      <c r="B53">
        <v>16715</v>
      </c>
      <c r="C53" s="6">
        <v>42983</v>
      </c>
      <c r="D53" s="6">
        <v>43110</v>
      </c>
      <c r="E53">
        <v>17193</v>
      </c>
      <c r="F53" s="11">
        <f>electricity_cost3[[#This Row],[ Index (KWh)]]-electricity_cost3[[#This Row],[Original index 
(KWh)]]</f>
        <v>478</v>
      </c>
      <c r="G53" s="6">
        <v>43068</v>
      </c>
      <c r="H53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3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82.215999999999994</v>
      </c>
      <c r="J53" s="10">
        <f xml:space="preserve"> (E$6 + electricity_cost3[[#This Row],[Elect. Net cost to date
(TND)]]) * (1 + E$5)</f>
        <v>113.53487999999999</v>
      </c>
      <c r="K53" s="12">
        <f>(electricity_cost3[[#This Row],[Elect. Cost  VAT included
(TND)
]]-J52)/_xlfn.DAYS(electricity_cost3[[#This Row],[Date of reading 
(Elect)]], G52)</f>
        <v>1.1670199999999973</v>
      </c>
      <c r="L53" s="12">
        <f>(electricity_cost3[[#This Row],[Consumption to date (KWh)]] - F52)/_xlfn.DAYS(electricity_cost3[[#This Row],[Date of reading 
(Elect)]], G52)</f>
        <v>5.75</v>
      </c>
      <c r="M53" s="7">
        <v>8105</v>
      </c>
      <c r="P53">
        <v>8338</v>
      </c>
      <c r="Q53" s="11">
        <f>gas_cost107[[#This Row],[ Index (m3)]] - gas_cost107[[#This Row],[Original index 
(m3)]]</f>
        <v>233</v>
      </c>
      <c r="R53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2</v>
      </c>
      <c r="S53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67.569999999999993</v>
      </c>
      <c r="T53" s="12">
        <f xml:space="preserve"> gas_cost107[[#This Row],[Gas Net cost to date
(TND)]]* (1 + E$5)</f>
        <v>79.732599999999991</v>
      </c>
      <c r="U53" s="12">
        <f>(gas_cost107[[#This Row],[Gas Cost to date  VAT included
(TND)
]] - T52)/_xlfn.DAYS(electricity_cost3[[#This Row],[Date of reading 
(Elect)]], G52)</f>
        <v>2.3953999999999986</v>
      </c>
      <c r="V53" s="20">
        <f xml:space="preserve"> E$8 + ((electricity_cost3[[#This Row],[Elect. Net cost to date
(TND)]] + E$6 + gas_cost107[[#This Row],[Gas Net cost to date
(TND)]] + E$7) * (1 + E$5))</f>
        <v>203.50348</v>
      </c>
      <c r="W53" s="38"/>
    </row>
    <row r="54" spans="2:23" x14ac:dyDescent="0.25">
      <c r="B54">
        <v>16715</v>
      </c>
      <c r="C54" s="6">
        <v>42983</v>
      </c>
      <c r="D54" s="6">
        <v>43110</v>
      </c>
      <c r="E54">
        <v>17210</v>
      </c>
      <c r="F54" s="11">
        <f>electricity_cost3[[#This Row],[ Index (KWh)]]-electricity_cost3[[#This Row],[Original index 
(KWh)]]</f>
        <v>495</v>
      </c>
      <c r="G54" s="6">
        <v>43072</v>
      </c>
      <c r="H54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4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85.14</v>
      </c>
      <c r="J54" s="10">
        <f xml:space="preserve"> (E$6 + electricity_cost3[[#This Row],[Elect. Net cost to date
(TND)]]) * (1 + E$5)</f>
        <v>116.98519999999999</v>
      </c>
      <c r="K54" s="12">
        <f>(electricity_cost3[[#This Row],[Elect. Cost  VAT included
(TND)
]]-J53)/_xlfn.DAYS(electricity_cost3[[#This Row],[Date of reading 
(Elect)]], G53)</f>
        <v>0.86258000000000123</v>
      </c>
      <c r="L54" s="12">
        <f>(electricity_cost3[[#This Row],[Consumption to date (KWh)]] - F53)/_xlfn.DAYS(electricity_cost3[[#This Row],[Date of reading 
(Elect)]], G53)</f>
        <v>4.25</v>
      </c>
      <c r="M54" s="7">
        <v>8105</v>
      </c>
      <c r="P54">
        <v>8360</v>
      </c>
      <c r="Q54" s="11">
        <f>gas_cost107[[#This Row],[ Index (m3)]] - gas_cost107[[#This Row],[Original index 
(m3)]]</f>
        <v>255</v>
      </c>
      <c r="R54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54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95.625</v>
      </c>
      <c r="T54" s="12">
        <f xml:space="preserve"> gas_cost107[[#This Row],[Gas Net cost to date
(TND)]]* (1 + E$5)</f>
        <v>112.83749999999999</v>
      </c>
      <c r="U54" s="12">
        <f>(gas_cost107[[#This Row],[Gas Cost to date  VAT included
(TND)
]] - T53)/_xlfn.DAYS(electricity_cost3[[#This Row],[Date of reading 
(Elect)]], G53)</f>
        <v>8.2762250000000002</v>
      </c>
      <c r="V54" s="20">
        <f xml:space="preserve"> E$8 + ((electricity_cost3[[#This Row],[Elect. Net cost to date
(TND)]] + E$6 + gas_cost107[[#This Row],[Gas Net cost to date
(TND)]] + E$7) * (1 + E$5))</f>
        <v>240.05869999999999</v>
      </c>
      <c r="W54" s="38"/>
    </row>
    <row r="55" spans="2:23" x14ac:dyDescent="0.25">
      <c r="B55">
        <v>16715</v>
      </c>
      <c r="C55" s="6">
        <v>42983</v>
      </c>
      <c r="D55" s="6">
        <v>43110</v>
      </c>
      <c r="E55">
        <v>17222</v>
      </c>
      <c r="F55" s="11">
        <f>electricity_cost3[[#This Row],[ Index (KWh)]]-electricity_cost3[[#This Row],[Original index 
(KWh)]]</f>
        <v>507</v>
      </c>
      <c r="G55" s="6">
        <v>43074</v>
      </c>
      <c r="H55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5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87.203999999999994</v>
      </c>
      <c r="J55" s="10">
        <f xml:space="preserve"> (E$6 + electricity_cost3[[#This Row],[Elect. Net cost to date
(TND)]]) * (1 + E$5)</f>
        <v>119.42071999999999</v>
      </c>
      <c r="K55" s="12">
        <f>(electricity_cost3[[#This Row],[Elect. Cost  VAT included
(TND)
]]-J54)/_xlfn.DAYS(electricity_cost3[[#This Row],[Date of reading 
(Elect)]], G54)</f>
        <v>1.2177599999999984</v>
      </c>
      <c r="L55" s="12">
        <f>(electricity_cost3[[#This Row],[Consumption to date (KWh)]] - F54)/_xlfn.DAYS(electricity_cost3[[#This Row],[Date of reading 
(Elect)]], G54)</f>
        <v>6</v>
      </c>
      <c r="M55" s="7">
        <v>8105</v>
      </c>
      <c r="P55">
        <v>8379</v>
      </c>
      <c r="Q55" s="11">
        <f>gas_cost107[[#This Row],[ Index (m3)]] - gas_cost107[[#This Row],[Original index 
(m3)]]</f>
        <v>274</v>
      </c>
      <c r="R55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55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102.75</v>
      </c>
      <c r="T55" s="12">
        <f xml:space="preserve"> gas_cost107[[#This Row],[Gas Net cost to date
(TND)]]* (1 + E$5)</f>
        <v>121.24499999999999</v>
      </c>
      <c r="U55" s="12">
        <f>(gas_cost107[[#This Row],[Gas Cost to date  VAT included
(TND)
]] - T54)/_xlfn.DAYS(electricity_cost3[[#This Row],[Date of reading 
(Elect)]], G54)</f>
        <v>4.2037499999999994</v>
      </c>
      <c r="V55" s="20">
        <f xml:space="preserve"> E$8 + ((electricity_cost3[[#This Row],[Elect. Net cost to date
(TND)]] + E$6 + gas_cost107[[#This Row],[Gas Net cost to date
(TND)]] + E$7) * (1 + E$5))</f>
        <v>250.90172000000001</v>
      </c>
      <c r="W55" s="38"/>
    </row>
    <row r="56" spans="2:23" x14ac:dyDescent="0.25">
      <c r="B56">
        <v>16715</v>
      </c>
      <c r="C56" s="6">
        <v>42983</v>
      </c>
      <c r="D56" s="6">
        <v>43110</v>
      </c>
      <c r="E56">
        <v>17227</v>
      </c>
      <c r="F56" s="11">
        <f>electricity_cost3[[#This Row],[ Index (KWh)]]-electricity_cost3[[#This Row],[Original index 
(KWh)]]</f>
        <v>512</v>
      </c>
      <c r="G56" s="6">
        <v>43075</v>
      </c>
      <c r="H56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6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88.063999999999993</v>
      </c>
      <c r="J56" s="10">
        <f xml:space="preserve"> (E$6 + electricity_cost3[[#This Row],[Elect. Net cost to date
(TND)]]) * (1 + E$5)</f>
        <v>120.43551999999998</v>
      </c>
      <c r="K56" s="12">
        <f>(electricity_cost3[[#This Row],[Elect. Cost  VAT included
(TND)
]]-J55)/_xlfn.DAYS(electricity_cost3[[#This Row],[Date of reading 
(Elect)]], G55)</f>
        <v>1.0147999999999939</v>
      </c>
      <c r="L56" s="12">
        <f>(electricity_cost3[[#This Row],[Consumption to date (KWh)]] - F55)/_xlfn.DAYS(electricity_cost3[[#This Row],[Date of reading 
(Elect)]], G55)</f>
        <v>5</v>
      </c>
      <c r="M56" s="7">
        <v>8105</v>
      </c>
      <c r="P56">
        <v>8388</v>
      </c>
      <c r="Q56" s="11">
        <f>gas_cost107[[#This Row],[ Index (m3)]] - gas_cost107[[#This Row],[Original index 
(m3)]]</f>
        <v>283</v>
      </c>
      <c r="R56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56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106.125</v>
      </c>
      <c r="T56" s="12">
        <f xml:space="preserve"> gas_cost107[[#This Row],[Gas Net cost to date
(TND)]]* (1 + E$5)</f>
        <v>125.22749999999999</v>
      </c>
      <c r="U56" s="12">
        <f>(gas_cost107[[#This Row],[Gas Cost to date  VAT included
(TND)
]] - T55)/_xlfn.DAYS(electricity_cost3[[#This Row],[Date of reading 
(Elect)]], G55)</f>
        <v>3.9825000000000017</v>
      </c>
      <c r="V56" s="20">
        <f xml:space="preserve"> E$8 + ((electricity_cost3[[#This Row],[Elect. Net cost to date
(TND)]] + E$6 + gas_cost107[[#This Row],[Gas Net cost to date
(TND)]] + E$7) * (1 + E$5))</f>
        <v>255.89901999999998</v>
      </c>
      <c r="W56" s="38"/>
    </row>
    <row r="57" spans="2:23" x14ac:dyDescent="0.25">
      <c r="B57">
        <v>16715</v>
      </c>
      <c r="C57" s="6">
        <v>42983</v>
      </c>
      <c r="D57" s="6">
        <v>43110</v>
      </c>
      <c r="E57">
        <v>17234</v>
      </c>
      <c r="F57" s="11">
        <f>electricity_cost3[[#This Row],[ Index (KWh)]]-electricity_cost3[[#This Row],[Original index 
(KWh)]]</f>
        <v>519</v>
      </c>
      <c r="G57" s="6">
        <v>43076</v>
      </c>
      <c r="H57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7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89.268000000000001</v>
      </c>
      <c r="J57" s="10">
        <f xml:space="preserve"> (E$6 + electricity_cost3[[#This Row],[Elect. Net cost to date
(TND)]]) * (1 + E$5)</f>
        <v>121.85624</v>
      </c>
      <c r="K57" s="12">
        <f>(electricity_cost3[[#This Row],[Elect. Cost  VAT included
(TND)
]]-J56)/_xlfn.DAYS(electricity_cost3[[#This Row],[Date of reading 
(Elect)]], G56)</f>
        <v>1.4207200000000171</v>
      </c>
      <c r="L57" s="12">
        <f>(electricity_cost3[[#This Row],[Consumption to date (KWh)]] - F56)/_xlfn.DAYS(electricity_cost3[[#This Row],[Date of reading 
(Elect)]], G56)</f>
        <v>7</v>
      </c>
      <c r="M57" s="7">
        <v>8105</v>
      </c>
      <c r="P57">
        <v>8399</v>
      </c>
      <c r="Q57" s="11">
        <f>gas_cost107[[#This Row],[ Index (m3)]] - gas_cost107[[#This Row],[Original index 
(m3)]]</f>
        <v>294</v>
      </c>
      <c r="R57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57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110.25</v>
      </c>
      <c r="T57" s="12">
        <f xml:space="preserve"> gas_cost107[[#This Row],[Gas Net cost to date
(TND)]]* (1 + E$5)</f>
        <v>130.095</v>
      </c>
      <c r="U57" s="12">
        <f>(gas_cost107[[#This Row],[Gas Cost to date  VAT included
(TND)
]] - T56)/_xlfn.DAYS(electricity_cost3[[#This Row],[Date of reading 
(Elect)]], G56)</f>
        <v>4.8675000000000068</v>
      </c>
      <c r="V57" s="20">
        <f xml:space="preserve"> E$8 + ((electricity_cost3[[#This Row],[Elect. Net cost to date
(TND)]] + E$6 + gas_cost107[[#This Row],[Gas Net cost to date
(TND)]] + E$7) * (1 + E$5))</f>
        <v>262.18723999999997</v>
      </c>
      <c r="W57" s="38"/>
    </row>
    <row r="58" spans="2:23" x14ac:dyDescent="0.25">
      <c r="B58">
        <v>16715</v>
      </c>
      <c r="C58" s="6">
        <v>42983</v>
      </c>
      <c r="D58" s="6">
        <v>43110</v>
      </c>
      <c r="E58">
        <v>17246</v>
      </c>
      <c r="F58" s="11">
        <f>electricity_cost3[[#This Row],[ Index (KWh)]]-electricity_cost3[[#This Row],[Original index 
(KWh)]]</f>
        <v>531</v>
      </c>
      <c r="G58" s="6">
        <v>43078</v>
      </c>
      <c r="H58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8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91.331999999999994</v>
      </c>
      <c r="J58" s="10">
        <f xml:space="preserve"> (E$6 + electricity_cost3[[#This Row],[Elect. Net cost to date
(TND)]]) * (1 + E$5)</f>
        <v>124.29175999999998</v>
      </c>
      <c r="K58" s="12">
        <f>(electricity_cost3[[#This Row],[Elect. Cost  VAT included
(TND)
]]-J57)/_xlfn.DAYS(electricity_cost3[[#This Row],[Date of reading 
(Elect)]], G57)</f>
        <v>1.2177599999999913</v>
      </c>
      <c r="L58" s="12">
        <f>(electricity_cost3[[#This Row],[Consumption to date (KWh)]] - F57)/_xlfn.DAYS(electricity_cost3[[#This Row],[Date of reading 
(Elect)]], G57)</f>
        <v>6</v>
      </c>
      <c r="M58" s="7">
        <v>8105</v>
      </c>
      <c r="P58">
        <v>8416</v>
      </c>
      <c r="Q58" s="11">
        <f>gas_cost107[[#This Row],[ Index (m3)]] - gas_cost107[[#This Row],[Original index 
(m3)]]</f>
        <v>311</v>
      </c>
      <c r="R58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58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116.625</v>
      </c>
      <c r="T58" s="12">
        <f xml:space="preserve"> gas_cost107[[#This Row],[Gas Net cost to date
(TND)]]* (1 + E$5)</f>
        <v>137.61750000000001</v>
      </c>
      <c r="U58" s="12">
        <f>(gas_cost107[[#This Row],[Gas Cost to date  VAT included
(TND)
]] - T57)/_xlfn.DAYS(electricity_cost3[[#This Row],[Date of reading 
(Elect)]], G57)</f>
        <v>3.761250000000004</v>
      </c>
      <c r="V58" s="20">
        <f xml:space="preserve"> E$8 + ((electricity_cost3[[#This Row],[Elect. Net cost to date
(TND)]] + E$6 + gas_cost107[[#This Row],[Gas Net cost to date
(TND)]] + E$7) * (1 + E$5))</f>
        <v>272.14525999999995</v>
      </c>
      <c r="W58" s="38"/>
    </row>
    <row r="59" spans="2:23" x14ac:dyDescent="0.25">
      <c r="B59">
        <v>16715</v>
      </c>
      <c r="C59" s="6">
        <v>42983</v>
      </c>
      <c r="D59" s="6">
        <v>43110</v>
      </c>
      <c r="E59">
        <v>17250</v>
      </c>
      <c r="F59" s="11">
        <f>electricity_cost3[[#This Row],[ Index (KWh)]]-electricity_cost3[[#This Row],[Original index 
(KWh)]]</f>
        <v>535</v>
      </c>
      <c r="G59" s="6">
        <v>43079</v>
      </c>
      <c r="H59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59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92.02</v>
      </c>
      <c r="J59" s="10">
        <f xml:space="preserve"> (E$6 + electricity_cost3[[#This Row],[Elect. Net cost to date
(TND)]]) * (1 + E$5)</f>
        <v>125.10359999999999</v>
      </c>
      <c r="K59" s="12">
        <f>(electricity_cost3[[#This Row],[Elect. Cost  VAT included
(TND)
]]-J58)/_xlfn.DAYS(electricity_cost3[[#This Row],[Date of reading 
(Elect)]], G58)</f>
        <v>0.81184000000000367</v>
      </c>
      <c r="L59" s="12">
        <f>(electricity_cost3[[#This Row],[Consumption to date (KWh)]] - F58)/_xlfn.DAYS(electricity_cost3[[#This Row],[Date of reading 
(Elect)]], G58)</f>
        <v>4</v>
      </c>
      <c r="M59" s="7">
        <v>8105</v>
      </c>
      <c r="P59">
        <v>8423</v>
      </c>
      <c r="Q59" s="11">
        <f>gas_cost107[[#This Row],[ Index (m3)]] - gas_cost107[[#This Row],[Original index 
(m3)]]</f>
        <v>318</v>
      </c>
      <c r="R59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59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119.25</v>
      </c>
      <c r="T59" s="12">
        <f xml:space="preserve"> gas_cost107[[#This Row],[Gas Net cost to date
(TND)]]* (1 + E$5)</f>
        <v>140.715</v>
      </c>
      <c r="U59" s="12">
        <f>(gas_cost107[[#This Row],[Gas Cost to date  VAT included
(TND)
]] - T58)/_xlfn.DAYS(electricity_cost3[[#This Row],[Date of reading 
(Elect)]], G58)</f>
        <v>3.0974999999999966</v>
      </c>
      <c r="V59" s="20">
        <f xml:space="preserve"> E$8 + ((electricity_cost3[[#This Row],[Elect. Net cost to date
(TND)]] + E$6 + gas_cost107[[#This Row],[Gas Net cost to date
(TND)]] + E$7) * (1 + E$5))</f>
        <v>276.05459999999994</v>
      </c>
      <c r="W59" s="38"/>
    </row>
    <row r="60" spans="2:23" x14ac:dyDescent="0.25">
      <c r="B60">
        <v>16715</v>
      </c>
      <c r="C60" s="6">
        <v>42983</v>
      </c>
      <c r="D60" s="6">
        <v>43110</v>
      </c>
      <c r="E60">
        <v>17256</v>
      </c>
      <c r="F60" s="11">
        <f>electricity_cost3[[#This Row],[ Index (KWh)]]-electricity_cost3[[#This Row],[Original index 
(KWh)]]</f>
        <v>541</v>
      </c>
      <c r="G60" s="6">
        <v>43080</v>
      </c>
      <c r="H60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0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93.052000000000007</v>
      </c>
      <c r="J60" s="10">
        <f xml:space="preserve"> (E$6 + electricity_cost3[[#This Row],[Elect. Net cost to date
(TND)]]) * (1 + E$5)</f>
        <v>126.32136</v>
      </c>
      <c r="K60" s="12">
        <f>(electricity_cost3[[#This Row],[Elect. Cost  VAT included
(TND)
]]-J59)/_xlfn.DAYS(electricity_cost3[[#This Row],[Date of reading 
(Elect)]], G59)</f>
        <v>1.2177600000000126</v>
      </c>
      <c r="L60" s="12">
        <f>(electricity_cost3[[#This Row],[Consumption to date (KWh)]] - F59)/_xlfn.DAYS(electricity_cost3[[#This Row],[Date of reading 
(Elect)]], G59)</f>
        <v>6</v>
      </c>
      <c r="M60" s="7">
        <v>8105</v>
      </c>
      <c r="P60">
        <v>8430</v>
      </c>
      <c r="Q60" s="11">
        <f>gas_cost107[[#This Row],[ Index (m3)]] - gas_cost107[[#This Row],[Original index 
(m3)]]</f>
        <v>325</v>
      </c>
      <c r="R60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0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121.875</v>
      </c>
      <c r="T60" s="12">
        <f xml:space="preserve"> gas_cost107[[#This Row],[Gas Net cost to date
(TND)]]* (1 + E$5)</f>
        <v>143.8125</v>
      </c>
      <c r="U60" s="12">
        <f>(gas_cost107[[#This Row],[Gas Cost to date  VAT included
(TND)
]] - T59)/_xlfn.DAYS(electricity_cost3[[#This Row],[Date of reading 
(Elect)]], G59)</f>
        <v>3.0974999999999966</v>
      </c>
      <c r="V60" s="20">
        <f xml:space="preserve"> E$8 + ((electricity_cost3[[#This Row],[Elect. Net cost to date
(TND)]] + E$6 + gas_cost107[[#This Row],[Gas Net cost to date
(TND)]] + E$7) * (1 + E$5))</f>
        <v>280.36985999999996</v>
      </c>
      <c r="W60" s="38"/>
    </row>
    <row r="61" spans="2:23" x14ac:dyDescent="0.25">
      <c r="B61">
        <v>16715</v>
      </c>
      <c r="C61" s="6">
        <v>42983</v>
      </c>
      <c r="D61" s="6">
        <v>43110</v>
      </c>
      <c r="E61">
        <v>17261</v>
      </c>
      <c r="F61" s="11">
        <f>electricity_cost3[[#This Row],[ Index (KWh)]]-electricity_cost3[[#This Row],[Original index 
(KWh)]]</f>
        <v>546</v>
      </c>
      <c r="G61" s="6">
        <v>43081</v>
      </c>
      <c r="H61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1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93.912000000000006</v>
      </c>
      <c r="J61" s="10">
        <f xml:space="preserve"> (E$6 + electricity_cost3[[#This Row],[Elect. Net cost to date
(TND)]]) * (1 + E$5)</f>
        <v>127.33616000000001</v>
      </c>
      <c r="K61" s="12">
        <f>(electricity_cost3[[#This Row],[Elect. Cost  VAT included
(TND)
]]-J60)/_xlfn.DAYS(electricity_cost3[[#This Row],[Date of reading 
(Elect)]], G60)</f>
        <v>1.0148000000000081</v>
      </c>
      <c r="L61" s="12">
        <f>(electricity_cost3[[#This Row],[Consumption to date (KWh)]] - F60)/_xlfn.DAYS(electricity_cost3[[#This Row],[Date of reading 
(Elect)]], G60)</f>
        <v>5</v>
      </c>
      <c r="M61" s="7">
        <v>8105</v>
      </c>
      <c r="P61">
        <v>8436</v>
      </c>
      <c r="Q61" s="11">
        <f>gas_cost107[[#This Row],[ Index (m3)]] - gas_cost107[[#This Row],[Original index 
(m3)]]</f>
        <v>331</v>
      </c>
      <c r="R61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1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124.125</v>
      </c>
      <c r="T61" s="12">
        <f xml:space="preserve"> gas_cost107[[#This Row],[Gas Net cost to date
(TND)]]* (1 + E$5)</f>
        <v>146.4675</v>
      </c>
      <c r="U61" s="12">
        <f>(gas_cost107[[#This Row],[Gas Cost to date  VAT included
(TND)
]] - T60)/_xlfn.DAYS(electricity_cost3[[#This Row],[Date of reading 
(Elect)]], G60)</f>
        <v>2.6550000000000011</v>
      </c>
      <c r="V61" s="20">
        <f xml:space="preserve"> E$8 + ((electricity_cost3[[#This Row],[Elect. Net cost to date
(TND)]] + E$6 + gas_cost107[[#This Row],[Gas Net cost to date
(TND)]] + E$7) * (1 + E$5))</f>
        <v>284.03965999999997</v>
      </c>
      <c r="W61" s="38"/>
    </row>
    <row r="62" spans="2:23" x14ac:dyDescent="0.25">
      <c r="B62">
        <v>16715</v>
      </c>
      <c r="C62" s="6">
        <v>42983</v>
      </c>
      <c r="D62" s="6">
        <v>43110</v>
      </c>
      <c r="E62">
        <v>17266</v>
      </c>
      <c r="F62" s="11">
        <f>electricity_cost3[[#This Row],[ Index (KWh)]]-electricity_cost3[[#This Row],[Original index 
(KWh)]]</f>
        <v>551</v>
      </c>
      <c r="G62" s="6">
        <v>43082</v>
      </c>
      <c r="H62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2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94.772000000000006</v>
      </c>
      <c r="J62" s="10">
        <f xml:space="preserve"> (E$6 + electricity_cost3[[#This Row],[Elect. Net cost to date
(TND)]]) * (1 + E$5)</f>
        <v>128.35095999999999</v>
      </c>
      <c r="K62" s="12">
        <f>(electricity_cost3[[#This Row],[Elect. Cost  VAT included
(TND)
]]-J61)/_xlfn.DAYS(electricity_cost3[[#This Row],[Date of reading 
(Elect)]], G61)</f>
        <v>1.0147999999999797</v>
      </c>
      <c r="L62" s="12">
        <f>(electricity_cost3[[#This Row],[Consumption to date (KWh)]] - F61)/_xlfn.DAYS(electricity_cost3[[#This Row],[Date of reading 
(Elect)]], G61)</f>
        <v>5</v>
      </c>
      <c r="M62" s="7">
        <v>8105</v>
      </c>
      <c r="P62">
        <v>8441</v>
      </c>
      <c r="Q62" s="11">
        <f>gas_cost107[[#This Row],[ Index (m3)]] - gas_cost107[[#This Row],[Original index 
(m3)]]</f>
        <v>336</v>
      </c>
      <c r="R62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2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126</v>
      </c>
      <c r="T62" s="12">
        <f xml:space="preserve"> gas_cost107[[#This Row],[Gas Net cost to date
(TND)]]* (1 + E$5)</f>
        <v>148.67999999999998</v>
      </c>
      <c r="U62" s="12">
        <f>(gas_cost107[[#This Row],[Gas Cost to date  VAT included
(TND)
]] - T61)/_xlfn.DAYS(electricity_cost3[[#This Row],[Date of reading 
(Elect)]], G61)</f>
        <v>2.2124999999999773</v>
      </c>
      <c r="V62" s="20">
        <f xml:space="preserve"> E$8 + ((electricity_cost3[[#This Row],[Elect. Net cost to date
(TND)]] + E$6 + gas_cost107[[#This Row],[Gas Net cost to date
(TND)]] + E$7) * (1 + E$5))</f>
        <v>287.26695999999993</v>
      </c>
      <c r="W62" s="38"/>
    </row>
    <row r="63" spans="2:23" x14ac:dyDescent="0.25">
      <c r="B63">
        <v>16715</v>
      </c>
      <c r="C63" s="6">
        <v>42983</v>
      </c>
      <c r="D63" s="6">
        <v>43110</v>
      </c>
      <c r="E63">
        <v>17271</v>
      </c>
      <c r="F63" s="11">
        <f>electricity_cost3[[#This Row],[ Index (KWh)]]-electricity_cost3[[#This Row],[Original index 
(KWh)]]</f>
        <v>556</v>
      </c>
      <c r="G63" s="6">
        <v>43083</v>
      </c>
      <c r="H63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3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95.632000000000005</v>
      </c>
      <c r="J63" s="10">
        <f xml:space="preserve"> (E$6 + electricity_cost3[[#This Row],[Elect. Net cost to date
(TND)]]) * (1 + E$5)</f>
        <v>129.36575999999999</v>
      </c>
      <c r="K63" s="12">
        <f>(electricity_cost3[[#This Row],[Elect. Cost  VAT included
(TND)
]]-J62)/_xlfn.DAYS(electricity_cost3[[#This Row],[Date of reading 
(Elect)]], G62)</f>
        <v>1.0148000000000081</v>
      </c>
      <c r="L63" s="12">
        <f>(electricity_cost3[[#This Row],[Consumption to date (KWh)]] - F62)/_xlfn.DAYS(electricity_cost3[[#This Row],[Date of reading 
(Elect)]], G62)</f>
        <v>5</v>
      </c>
      <c r="M63" s="7">
        <v>8105</v>
      </c>
      <c r="P63">
        <v>8448</v>
      </c>
      <c r="Q63" s="11">
        <f>gas_cost107[[#This Row],[ Index (m3)]] - gas_cost107[[#This Row],[Original index 
(m3)]]</f>
        <v>343</v>
      </c>
      <c r="R63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3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128.625</v>
      </c>
      <c r="T63" s="12">
        <f xml:space="preserve"> gas_cost107[[#This Row],[Gas Net cost to date
(TND)]]* (1 + E$5)</f>
        <v>151.7775</v>
      </c>
      <c r="U63" s="12">
        <f>(gas_cost107[[#This Row],[Gas Cost to date  VAT included
(TND)
]] - T62)/_xlfn.DAYS(electricity_cost3[[#This Row],[Date of reading 
(Elect)]], G62)</f>
        <v>3.097500000000025</v>
      </c>
      <c r="V63" s="20">
        <f xml:space="preserve"> E$8 + ((electricity_cost3[[#This Row],[Elect. Net cost to date
(TND)]] + E$6 + gas_cost107[[#This Row],[Gas Net cost to date
(TND)]] + E$7) * (1 + E$5))</f>
        <v>291.37925999999999</v>
      </c>
      <c r="W63" s="38"/>
    </row>
    <row r="64" spans="2:23" x14ac:dyDescent="0.25">
      <c r="B64">
        <v>16715</v>
      </c>
      <c r="C64" s="6">
        <v>42983</v>
      </c>
      <c r="D64" s="6">
        <v>43110</v>
      </c>
      <c r="E64">
        <v>17276</v>
      </c>
      <c r="F64" s="11">
        <f>electricity_cost3[[#This Row],[ Index (KWh)]]-electricity_cost3[[#This Row],[Original index 
(KWh)]]</f>
        <v>561</v>
      </c>
      <c r="G64" s="6">
        <v>43084</v>
      </c>
      <c r="H64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4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96.492000000000004</v>
      </c>
      <c r="J64" s="10">
        <f xml:space="preserve"> (E$6 + electricity_cost3[[#This Row],[Elect. Net cost to date
(TND)]]) * (1 + E$5)</f>
        <v>130.38056</v>
      </c>
      <c r="K64" s="12">
        <f>(electricity_cost3[[#This Row],[Elect. Cost  VAT included
(TND)
]]-J63)/_xlfn.DAYS(electricity_cost3[[#This Row],[Date of reading 
(Elect)]], G63)</f>
        <v>1.0148000000000081</v>
      </c>
      <c r="L64" s="12">
        <f>(electricity_cost3[[#This Row],[Consumption to date (KWh)]] - F63)/_xlfn.DAYS(electricity_cost3[[#This Row],[Date of reading 
(Elect)]], G63)</f>
        <v>5</v>
      </c>
      <c r="M64" s="7">
        <v>8105</v>
      </c>
      <c r="P64">
        <v>8454</v>
      </c>
      <c r="Q64" s="11">
        <f>gas_cost107[[#This Row],[ Index (m3)]] - gas_cost107[[#This Row],[Original index 
(m3)]]</f>
        <v>349</v>
      </c>
      <c r="R64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4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130.875</v>
      </c>
      <c r="T64" s="12">
        <f xml:space="preserve"> gas_cost107[[#This Row],[Gas Net cost to date
(TND)]]* (1 + E$5)</f>
        <v>154.4325</v>
      </c>
      <c r="U64" s="12">
        <f>(gas_cost107[[#This Row],[Gas Cost to date  VAT included
(TND)
]] - T63)/_xlfn.DAYS(electricity_cost3[[#This Row],[Date of reading 
(Elect)]], G63)</f>
        <v>2.6550000000000011</v>
      </c>
      <c r="V64" s="20">
        <f xml:space="preserve"> E$8 + ((electricity_cost3[[#This Row],[Elect. Net cost to date
(TND)]] + E$6 + gas_cost107[[#This Row],[Gas Net cost to date
(TND)]] + E$7) * (1 + E$5))</f>
        <v>295.04906</v>
      </c>
      <c r="W64" s="38"/>
    </row>
    <row r="65" spans="2:23" x14ac:dyDescent="0.25">
      <c r="B65">
        <v>16715</v>
      </c>
      <c r="C65" s="6">
        <v>42983</v>
      </c>
      <c r="D65" s="6">
        <v>43110</v>
      </c>
      <c r="E65">
        <v>17283</v>
      </c>
      <c r="F65" s="11">
        <f>electricity_cost3[[#This Row],[ Index (KWh)]]-electricity_cost3[[#This Row],[Original index 
(KWh)]]</f>
        <v>568</v>
      </c>
      <c r="G65" s="6">
        <v>43085</v>
      </c>
      <c r="H65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5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97.695999999999998</v>
      </c>
      <c r="J65" s="10">
        <f xml:space="preserve"> (E$6 + electricity_cost3[[#This Row],[Elect. Net cost to date
(TND)]]) * (1 + E$5)</f>
        <v>131.80127999999999</v>
      </c>
      <c r="K65" s="12">
        <f>(electricity_cost3[[#This Row],[Elect. Cost  VAT included
(TND)
]]-J64)/_xlfn.DAYS(electricity_cost3[[#This Row],[Date of reading 
(Elect)]], G64)</f>
        <v>1.4207199999999887</v>
      </c>
      <c r="L65" s="12">
        <f>(electricity_cost3[[#This Row],[Consumption to date (KWh)]] - F64)/_xlfn.DAYS(electricity_cost3[[#This Row],[Date of reading 
(Elect)]], G64)</f>
        <v>7</v>
      </c>
      <c r="M65" s="7">
        <v>8105</v>
      </c>
      <c r="P65">
        <v>8459</v>
      </c>
      <c r="Q65" s="11">
        <f>gas_cost107[[#This Row],[ Index (m3)]] - gas_cost107[[#This Row],[Original index 
(m3)]]</f>
        <v>354</v>
      </c>
      <c r="R65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5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132.75</v>
      </c>
      <c r="T65" s="12">
        <f xml:space="preserve"> gas_cost107[[#This Row],[Gas Net cost to date
(TND)]]* (1 + E$5)</f>
        <v>156.64499999999998</v>
      </c>
      <c r="U65" s="12">
        <f>(gas_cost107[[#This Row],[Gas Cost to date  VAT included
(TND)
]] - T64)/_xlfn.DAYS(electricity_cost3[[#This Row],[Date of reading 
(Elect)]], G64)</f>
        <v>2.2124999999999773</v>
      </c>
      <c r="V65" s="20">
        <f xml:space="preserve"> E$8 + ((electricity_cost3[[#This Row],[Elect. Net cost to date
(TND)]] + E$6 + gas_cost107[[#This Row],[Gas Net cost to date
(TND)]] + E$7) * (1 + E$5))</f>
        <v>298.68227999999993</v>
      </c>
      <c r="W65" s="38"/>
    </row>
    <row r="66" spans="2:23" x14ac:dyDescent="0.25">
      <c r="B66">
        <v>16715</v>
      </c>
      <c r="C66" s="6">
        <v>42983</v>
      </c>
      <c r="D66" s="6">
        <v>43110</v>
      </c>
      <c r="E66">
        <v>17291</v>
      </c>
      <c r="F66" s="11">
        <f>electricity_cost3[[#This Row],[ Index (KWh)]]-electricity_cost3[[#This Row],[Original index 
(KWh)]]</f>
        <v>576</v>
      </c>
      <c r="G66" s="6">
        <v>43087</v>
      </c>
      <c r="H66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6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99.072000000000003</v>
      </c>
      <c r="J66" s="10">
        <f xml:space="preserve"> (E$6 + electricity_cost3[[#This Row],[Elect. Net cost to date
(TND)]]) * (1 + E$5)</f>
        <v>133.42496</v>
      </c>
      <c r="K66" s="12">
        <f>(electricity_cost3[[#This Row],[Elect. Cost  VAT included
(TND)
]]-J65)/_xlfn.DAYS(electricity_cost3[[#This Row],[Date of reading 
(Elect)]], G65)</f>
        <v>0.81184000000000367</v>
      </c>
      <c r="L66" s="12">
        <f>(electricity_cost3[[#This Row],[Consumption to date (KWh)]] - F65)/_xlfn.DAYS(electricity_cost3[[#This Row],[Date of reading 
(Elect)]], G65)</f>
        <v>4</v>
      </c>
      <c r="M66" s="7">
        <v>8105</v>
      </c>
      <c r="P66">
        <v>8481</v>
      </c>
      <c r="Q66" s="11">
        <f>gas_cost107[[#This Row],[ Index (m3)]] - gas_cost107[[#This Row],[Original index 
(m3)]]</f>
        <v>376</v>
      </c>
      <c r="R66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6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141</v>
      </c>
      <c r="T66" s="12">
        <f xml:space="preserve"> gas_cost107[[#This Row],[Gas Net cost to date
(TND)]]* (1 + E$5)</f>
        <v>166.38</v>
      </c>
      <c r="U66" s="12">
        <f>(gas_cost107[[#This Row],[Gas Cost to date  VAT included
(TND)
]] - T65)/_xlfn.DAYS(electricity_cost3[[#This Row],[Date of reading 
(Elect)]], G65)</f>
        <v>4.8675000000000068</v>
      </c>
      <c r="V66" s="20">
        <f xml:space="preserve"> E$8 + ((electricity_cost3[[#This Row],[Elect. Net cost to date
(TND)]] + E$6 + gas_cost107[[#This Row],[Gas Net cost to date
(TND)]] + E$7) * (1 + E$5))</f>
        <v>310.04095999999998</v>
      </c>
      <c r="W66" s="38"/>
    </row>
    <row r="67" spans="2:23" x14ac:dyDescent="0.25">
      <c r="B67">
        <v>16715</v>
      </c>
      <c r="C67" s="6">
        <v>42983</v>
      </c>
      <c r="D67" s="6">
        <v>43110</v>
      </c>
      <c r="E67">
        <v>17303</v>
      </c>
      <c r="F67" s="11">
        <f>electricity_cost3[[#This Row],[ Index (KWh)]]-electricity_cost3[[#This Row],[Original index 
(KWh)]]</f>
        <v>588</v>
      </c>
      <c r="G67" s="6">
        <v>43088</v>
      </c>
      <c r="H67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7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101.136</v>
      </c>
      <c r="J67" s="10">
        <f xml:space="preserve"> (E$6 + electricity_cost3[[#This Row],[Elect. Net cost to date
(TND)]]) * (1 + E$5)</f>
        <v>135.86048</v>
      </c>
      <c r="K67" s="12">
        <f>(electricity_cost3[[#This Row],[Elect. Cost  VAT included
(TND)
]]-J66)/_xlfn.DAYS(electricity_cost3[[#This Row],[Date of reading 
(Elect)]], G66)</f>
        <v>2.4355199999999968</v>
      </c>
      <c r="L67" s="12">
        <f>(electricity_cost3[[#This Row],[Consumption to date (KWh)]] - F66)/_xlfn.DAYS(electricity_cost3[[#This Row],[Date of reading 
(Elect)]], G66)</f>
        <v>12</v>
      </c>
      <c r="M67" s="7">
        <v>8105</v>
      </c>
      <c r="P67">
        <v>8492</v>
      </c>
      <c r="Q67" s="11">
        <f>gas_cost107[[#This Row],[ Index (m3)]] - gas_cost107[[#This Row],[Original index 
(m3)]]</f>
        <v>387</v>
      </c>
      <c r="R67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7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145.125</v>
      </c>
      <c r="T67" s="12">
        <f xml:space="preserve"> gas_cost107[[#This Row],[Gas Net cost to date
(TND)]]* (1 + E$5)</f>
        <v>171.2475</v>
      </c>
      <c r="U67" s="12">
        <f>(gas_cost107[[#This Row],[Gas Cost to date  VAT included
(TND)
]] - T66)/_xlfn.DAYS(electricity_cost3[[#This Row],[Date of reading 
(Elect)]], G66)</f>
        <v>4.8675000000000068</v>
      </c>
      <c r="V67" s="20">
        <f xml:space="preserve"> E$8 + ((electricity_cost3[[#This Row],[Elect. Net cost to date
(TND)]] + E$6 + gas_cost107[[#This Row],[Gas Net cost to date
(TND)]] + E$7) * (1 + E$5))</f>
        <v>317.34397999999993</v>
      </c>
      <c r="W67" s="38"/>
    </row>
    <row r="68" spans="2:23" x14ac:dyDescent="0.25">
      <c r="B68">
        <v>16715</v>
      </c>
      <c r="C68" s="6">
        <v>42983</v>
      </c>
      <c r="D68" s="6">
        <v>43110</v>
      </c>
      <c r="E68">
        <v>17310</v>
      </c>
      <c r="F68" s="11">
        <f>electricity_cost3[[#This Row],[ Index (KWh)]]-electricity_cost3[[#This Row],[Original index 
(KWh)]]</f>
        <v>595</v>
      </c>
      <c r="G68" s="6">
        <v>43089</v>
      </c>
      <c r="H68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8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102.34</v>
      </c>
      <c r="J68" s="10">
        <f xml:space="preserve"> (E$6 + electricity_cost3[[#This Row],[Elect. Net cost to date
(TND)]]) * (1 + E$5)</f>
        <v>137.28119999999998</v>
      </c>
      <c r="K68" s="12">
        <f>(electricity_cost3[[#This Row],[Elect. Cost  VAT included
(TND)
]]-J67)/_xlfn.DAYS(electricity_cost3[[#This Row],[Date of reading 
(Elect)]], G67)</f>
        <v>1.4207199999999887</v>
      </c>
      <c r="L68" s="12">
        <f>(electricity_cost3[[#This Row],[Consumption to date (KWh)]] - F67)/_xlfn.DAYS(electricity_cost3[[#This Row],[Date of reading 
(Elect)]], G67)</f>
        <v>7</v>
      </c>
      <c r="M68" s="7">
        <v>8105</v>
      </c>
      <c r="P68">
        <v>8504</v>
      </c>
      <c r="Q68" s="11">
        <f>gas_cost107[[#This Row],[ Index (m3)]] - gas_cost107[[#This Row],[Original index 
(m3)]]</f>
        <v>399</v>
      </c>
      <c r="R68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8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149.625</v>
      </c>
      <c r="T68" s="12">
        <f xml:space="preserve"> gas_cost107[[#This Row],[Gas Net cost to date
(TND)]]* (1 + E$5)</f>
        <v>176.5575</v>
      </c>
      <c r="U68" s="12">
        <f>(gas_cost107[[#This Row],[Gas Cost to date  VAT included
(TND)
]] - T67)/_xlfn.DAYS(electricity_cost3[[#This Row],[Date of reading 
(Elect)]], G67)</f>
        <v>5.3100000000000023</v>
      </c>
      <c r="V68" s="20">
        <f xml:space="preserve"> E$8 + ((electricity_cost3[[#This Row],[Elect. Net cost to date
(TND)]] + E$6 + gas_cost107[[#This Row],[Gas Net cost to date
(TND)]] + E$7) * (1 + E$5))</f>
        <v>324.07470000000001</v>
      </c>
      <c r="W68" s="38"/>
    </row>
    <row r="69" spans="2:23" x14ac:dyDescent="0.25">
      <c r="B69">
        <v>16715</v>
      </c>
      <c r="C69" s="6">
        <v>42983</v>
      </c>
      <c r="D69" s="6">
        <v>43110</v>
      </c>
      <c r="E69">
        <v>17316</v>
      </c>
      <c r="F69" s="11">
        <f>electricity_cost3[[#This Row],[ Index (KWh)]]-electricity_cost3[[#This Row],[Original index 
(KWh)]]</f>
        <v>601</v>
      </c>
      <c r="G69" s="6">
        <v>43090</v>
      </c>
      <c r="H69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69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103.372</v>
      </c>
      <c r="J69" s="10">
        <f xml:space="preserve"> (E$6 + electricity_cost3[[#This Row],[Elect. Net cost to date
(TND)]]) * (1 + E$5)</f>
        <v>138.49895999999998</v>
      </c>
      <c r="K69" s="12">
        <f>(electricity_cost3[[#This Row],[Elect. Cost  VAT included
(TND)
]]-J68)/_xlfn.DAYS(electricity_cost3[[#This Row],[Date of reading 
(Elect)]], G68)</f>
        <v>1.2177599999999984</v>
      </c>
      <c r="L69" s="12">
        <f>(electricity_cost3[[#This Row],[Consumption to date (KWh)]] - F68)/_xlfn.DAYS(electricity_cost3[[#This Row],[Date of reading 
(Elect)]], G68)</f>
        <v>6</v>
      </c>
      <c r="M69" s="7">
        <v>8105</v>
      </c>
      <c r="P69">
        <v>8513</v>
      </c>
      <c r="Q69" s="11">
        <f>gas_cost107[[#This Row],[ Index (m3)]] - gas_cost107[[#This Row],[Original index 
(m3)]]</f>
        <v>408</v>
      </c>
      <c r="R69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69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153</v>
      </c>
      <c r="T69" s="12">
        <f xml:space="preserve"> gas_cost107[[#This Row],[Gas Net cost to date
(TND)]]* (1 + E$5)</f>
        <v>180.54</v>
      </c>
      <c r="U69" s="12">
        <f>(gas_cost107[[#This Row],[Gas Cost to date  VAT included
(TND)
]] - T68)/_xlfn.DAYS(electricity_cost3[[#This Row],[Date of reading 
(Elect)]], G68)</f>
        <v>3.9824999999999875</v>
      </c>
      <c r="V69" s="20">
        <f xml:space="preserve"> E$8 + ((electricity_cost3[[#This Row],[Elect. Net cost to date
(TND)]] + E$6 + gas_cost107[[#This Row],[Gas Net cost to date
(TND)]] + E$7) * (1 + E$5))</f>
        <v>329.27495999999996</v>
      </c>
      <c r="W69" s="38"/>
    </row>
    <row r="70" spans="2:23" x14ac:dyDescent="0.25">
      <c r="B70">
        <v>16715</v>
      </c>
      <c r="C70" s="6">
        <v>42983</v>
      </c>
      <c r="D70" s="6">
        <v>43110</v>
      </c>
      <c r="E70">
        <v>17329</v>
      </c>
      <c r="F70" s="11">
        <f>electricity_cost3[[#This Row],[ Index (KWh)]]-electricity_cost3[[#This Row],[Original index 
(KWh)]]</f>
        <v>614</v>
      </c>
      <c r="G70" s="6">
        <v>43092</v>
      </c>
      <c r="H70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0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105.608</v>
      </c>
      <c r="J70" s="10">
        <f xml:space="preserve"> (E$6 + electricity_cost3[[#This Row],[Elect. Net cost to date
(TND)]]) * (1 + E$5)</f>
        <v>141.13744</v>
      </c>
      <c r="K70" s="12">
        <f>(electricity_cost3[[#This Row],[Elect. Cost  VAT included
(TND)
]]-J69)/_xlfn.DAYS(electricity_cost3[[#This Row],[Date of reading 
(Elect)]], G69)</f>
        <v>1.3192400000000077</v>
      </c>
      <c r="L70" s="12">
        <f>(electricity_cost3[[#This Row],[Consumption to date (KWh)]] - F69)/_xlfn.DAYS(electricity_cost3[[#This Row],[Date of reading 
(Elect)]], G69)</f>
        <v>6.5</v>
      </c>
      <c r="M70" s="7">
        <v>8105</v>
      </c>
      <c r="P70">
        <v>8530</v>
      </c>
      <c r="Q70" s="11">
        <f>gas_cost107[[#This Row],[ Index (m3)]] - gas_cost107[[#This Row],[Original index 
(m3)]]</f>
        <v>425</v>
      </c>
      <c r="R70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0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159.375</v>
      </c>
      <c r="T70" s="12">
        <f xml:space="preserve"> gas_cost107[[#This Row],[Gas Net cost to date
(TND)]]* (1 + E$5)</f>
        <v>188.0625</v>
      </c>
      <c r="U70" s="12">
        <f>(gas_cost107[[#This Row],[Gas Cost to date  VAT included
(TND)
]] - T69)/_xlfn.DAYS(electricity_cost3[[#This Row],[Date of reading 
(Elect)]], G69)</f>
        <v>3.761250000000004</v>
      </c>
      <c r="V70" s="20">
        <f xml:space="preserve"> E$8 + ((electricity_cost3[[#This Row],[Elect. Net cost to date
(TND)]] + E$6 + gas_cost107[[#This Row],[Gas Net cost to date
(TND)]] + E$7) * (1 + E$5))</f>
        <v>339.43593999999996</v>
      </c>
      <c r="W70" s="38"/>
    </row>
    <row r="71" spans="2:23" x14ac:dyDescent="0.25">
      <c r="B71">
        <v>16715</v>
      </c>
      <c r="C71" s="6">
        <v>42983</v>
      </c>
      <c r="D71" s="6">
        <v>43110</v>
      </c>
      <c r="E71">
        <v>17351</v>
      </c>
      <c r="F71" s="11">
        <f>electricity_cost3[[#This Row],[ Index (KWh)]]-electricity_cost3[[#This Row],[Original index 
(KWh)]]</f>
        <v>636</v>
      </c>
      <c r="G71" s="6">
        <v>43096</v>
      </c>
      <c r="H71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1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109.392</v>
      </c>
      <c r="J71" s="10">
        <f xml:space="preserve"> (E$6 + electricity_cost3[[#This Row],[Elect. Net cost to date
(TND)]]) * (1 + E$5)</f>
        <v>145.60255999999998</v>
      </c>
      <c r="K71" s="12">
        <f>(electricity_cost3[[#This Row],[Elect. Cost  VAT included
(TND)
]]-J70)/_xlfn.DAYS(electricity_cost3[[#This Row],[Date of reading 
(Elect)]], G70)</f>
        <v>1.1162799999999962</v>
      </c>
      <c r="L71" s="12">
        <f>(electricity_cost3[[#This Row],[Consumption to date (KWh)]] - F70)/_xlfn.DAYS(electricity_cost3[[#This Row],[Date of reading 
(Elect)]], G70)</f>
        <v>5.5</v>
      </c>
      <c r="M71" s="7">
        <v>8105</v>
      </c>
      <c r="P71">
        <v>8561</v>
      </c>
      <c r="Q71" s="11">
        <f>gas_cost107[[#This Row],[ Index (m3)]] - gas_cost107[[#This Row],[Original index 
(m3)]]</f>
        <v>456</v>
      </c>
      <c r="R71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1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171</v>
      </c>
      <c r="T71" s="12">
        <f xml:space="preserve"> gas_cost107[[#This Row],[Gas Net cost to date
(TND)]]* (1 + E$5)</f>
        <v>201.78</v>
      </c>
      <c r="U71" s="12">
        <f>(gas_cost107[[#This Row],[Gas Cost to date  VAT included
(TND)
]] - T70)/_xlfn.DAYS(electricity_cost3[[#This Row],[Date of reading 
(Elect)]], G70)</f>
        <v>3.4293750000000003</v>
      </c>
      <c r="V71" s="20">
        <f xml:space="preserve"> E$8 + ((electricity_cost3[[#This Row],[Elect. Net cost to date
(TND)]] + E$6 + gas_cost107[[#This Row],[Gas Net cost to date
(TND)]] + E$7) * (1 + E$5))</f>
        <v>357.61855999999995</v>
      </c>
      <c r="W71" s="38"/>
    </row>
    <row r="72" spans="2:23" x14ac:dyDescent="0.25">
      <c r="B72">
        <v>16715</v>
      </c>
      <c r="C72" s="6">
        <v>42983</v>
      </c>
      <c r="D72" s="6">
        <v>43110</v>
      </c>
      <c r="E72">
        <v>17356</v>
      </c>
      <c r="F72" s="11">
        <f>electricity_cost3[[#This Row],[ Index (KWh)]]-electricity_cost3[[#This Row],[Original index 
(KWh)]]</f>
        <v>641</v>
      </c>
      <c r="G72" s="6">
        <v>43097</v>
      </c>
      <c r="H72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2" s="10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110.252</v>
      </c>
      <c r="J72" s="10">
        <f xml:space="preserve"> (E$6 + electricity_cost3[[#This Row],[Elect. Net cost to date
(TND)]]) * (1 + E$5)</f>
        <v>146.61735999999999</v>
      </c>
      <c r="K72" s="12">
        <f>(electricity_cost3[[#This Row],[Elect. Cost  VAT included
(TND)
]]-J71)/_xlfn.DAYS(electricity_cost3[[#This Row],[Date of reading 
(Elect)]], G71)</f>
        <v>1.0148000000000081</v>
      </c>
      <c r="L72" s="12">
        <f>(electricity_cost3[[#This Row],[Consumption to date (KWh)]] - F71)/_xlfn.DAYS(electricity_cost3[[#This Row],[Date of reading 
(Elect)]], G71)</f>
        <v>5</v>
      </c>
      <c r="M72" s="7">
        <v>8105</v>
      </c>
      <c r="P72">
        <v>8569</v>
      </c>
      <c r="Q72" s="11">
        <f>gas_cost107[[#This Row],[ Index (m3)]] - gas_cost107[[#This Row],[Original index 
(m3)]]</f>
        <v>464</v>
      </c>
      <c r="R72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2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174</v>
      </c>
      <c r="T72" s="12">
        <f xml:space="preserve"> gas_cost107[[#This Row],[Gas Net cost to date
(TND)]]* (1 + E$5)</f>
        <v>205.32</v>
      </c>
      <c r="U72" s="12">
        <f>(gas_cost107[[#This Row],[Gas Cost to date  VAT included
(TND)
]] - T71)/_xlfn.DAYS(electricity_cost3[[#This Row],[Date of reading 
(Elect)]], G71)</f>
        <v>3.539999999999992</v>
      </c>
      <c r="V72" s="20">
        <f xml:space="preserve"> E$8 + ((electricity_cost3[[#This Row],[Elect. Net cost to date
(TND)]] + E$6 + gas_cost107[[#This Row],[Gas Net cost to date
(TND)]] + E$7) * (1 + E$5))</f>
        <v>362.17335999999995</v>
      </c>
      <c r="W72" s="38"/>
    </row>
    <row r="73" spans="2:23" x14ac:dyDescent="0.25">
      <c r="B73">
        <v>16715</v>
      </c>
      <c r="C73" s="6">
        <v>42983</v>
      </c>
      <c r="D73" s="6">
        <v>43110</v>
      </c>
      <c r="E73">
        <v>17370</v>
      </c>
      <c r="F73" s="11">
        <f>electricity_cost3[[#This Row],[ Index (KWh)]]-electricity_cost3[[#This Row],[Original index 
(KWh)]]</f>
        <v>655</v>
      </c>
      <c r="G73" s="6">
        <v>43099</v>
      </c>
      <c r="H73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3" s="12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112.66</v>
      </c>
      <c r="J73" s="10">
        <f xml:space="preserve"> (E$6 + electricity_cost3[[#This Row],[Elect. Net cost to date
(TND)]]) * (1 + E$5)</f>
        <v>149.4588</v>
      </c>
      <c r="K73" s="12">
        <f>(electricity_cost3[[#This Row],[Elect. Cost  VAT included
(TND)
]]-J72)/_xlfn.DAYS(electricity_cost3[[#This Row],[Date of reading 
(Elect)]], G72)</f>
        <v>1.4207200000000029</v>
      </c>
      <c r="L73" s="12">
        <f>(electricity_cost3[[#This Row],[Consumption to date (KWh)]] - F72)/_xlfn.DAYS(electricity_cost3[[#This Row],[Date of reading 
(Elect)]], G72)</f>
        <v>7</v>
      </c>
      <c r="M73" s="7">
        <v>8105</v>
      </c>
      <c r="P73">
        <v>8585</v>
      </c>
      <c r="Q73" s="11">
        <f>gas_cost107[[#This Row],[ Index (m3)]] - gas_cost107[[#This Row],[Original index 
(m3)]]</f>
        <v>480</v>
      </c>
      <c r="R73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3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180</v>
      </c>
      <c r="T73" s="12">
        <f xml:space="preserve"> gas_cost107[[#This Row],[Gas Net cost to date
(TND)]]* (1 + E$5)</f>
        <v>212.39999999999998</v>
      </c>
      <c r="U73" s="12">
        <f>(gas_cost107[[#This Row],[Gas Cost to date  VAT included
(TND)
]] - T72)/_xlfn.DAYS(electricity_cost3[[#This Row],[Date of reading 
(Elect)]], G72)</f>
        <v>3.539999999999992</v>
      </c>
      <c r="V73" s="20">
        <f xml:space="preserve"> E$8 + ((electricity_cost3[[#This Row],[Elect. Net cost to date
(TND)]] + E$6 + gas_cost107[[#This Row],[Gas Net cost to date
(TND)]] + E$7) * (1 + E$5))</f>
        <v>372.09479999999991</v>
      </c>
      <c r="W73" s="38"/>
    </row>
    <row r="74" spans="2:23" x14ac:dyDescent="0.25">
      <c r="B74">
        <v>16715</v>
      </c>
      <c r="C74" s="6">
        <v>42983</v>
      </c>
      <c r="D74" s="6">
        <v>43110</v>
      </c>
      <c r="E74">
        <v>17377</v>
      </c>
      <c r="F74" s="11">
        <f>electricity_cost3[[#This Row],[ Index (KWh)]]-electricity_cost3[[#This Row],[Original index 
(KWh)]]</f>
        <v>662</v>
      </c>
      <c r="G74" s="6">
        <v>43100</v>
      </c>
      <c r="H74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4" s="12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113.864</v>
      </c>
      <c r="J74" s="10">
        <f xml:space="preserve"> (E$6 + electricity_cost3[[#This Row],[Elect. Net cost to date
(TND)]]) * (1 + E$5)</f>
        <v>150.87951999999999</v>
      </c>
      <c r="K74" s="12">
        <f>electricity_cost3[[#This Row],[Elect. Cost  VAT included
(TND)
]]-J73/(electricity_cost3[[#This Row],[Date of reading 
(Elect)]]-G73)</f>
        <v>1.4207199999999887</v>
      </c>
      <c r="L74" s="12">
        <f>(electricity_cost3[[#This Row],[Consumption to date (KWh)]] - F73)/_xlfn.DAYS(electricity_cost3[[#This Row],[Date of reading 
(Elect)]], G73)</f>
        <v>7</v>
      </c>
      <c r="M74" s="7">
        <v>8105</v>
      </c>
      <c r="P74">
        <v>8594</v>
      </c>
      <c r="Q74" s="11">
        <f>gas_cost107[[#This Row],[ Index (m3)]] - gas_cost107[[#This Row],[Original index 
(m3)]]</f>
        <v>489</v>
      </c>
      <c r="R74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4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183.375</v>
      </c>
      <c r="T74" s="12">
        <f xml:space="preserve"> gas_cost107[[#This Row],[Gas Net cost to date
(TND)]]* (1 + E$5)</f>
        <v>216.38249999999999</v>
      </c>
      <c r="U74" s="12">
        <f>(gas_cost107[[#This Row],[Gas Cost to date  VAT included
(TND)
]] - T73)/_xlfn.DAYS(electricity_cost3[[#This Row],[Date of reading 
(Elect)]], G73)</f>
        <v>3.9825000000000159</v>
      </c>
      <c r="V74" s="20">
        <f xml:space="preserve"> E$8 + ((electricity_cost3[[#This Row],[Elect. Net cost to date
(TND)]] + E$6 + gas_cost107[[#This Row],[Gas Net cost to date
(TND)]] + E$7) * (1 + E$5))</f>
        <v>377.49802</v>
      </c>
      <c r="W74" s="38"/>
    </row>
    <row r="75" spans="2:23" x14ac:dyDescent="0.25">
      <c r="B75">
        <v>16715</v>
      </c>
      <c r="C75" s="6">
        <v>42983</v>
      </c>
      <c r="D75" s="6">
        <v>43110</v>
      </c>
      <c r="E75">
        <v>17404</v>
      </c>
      <c r="F75" s="11">
        <f>electricity_cost3[[#This Row],[ Index (KWh)]]-electricity_cost3[[#This Row],[Original index 
(KWh)]]</f>
        <v>689</v>
      </c>
      <c r="G75" s="6">
        <v>43104</v>
      </c>
      <c r="H75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5" s="12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118.508</v>
      </c>
      <c r="J75" s="10">
        <f xml:space="preserve"> (E$6 + electricity_cost3[[#This Row],[Elect. Net cost to date
(TND)]]) * (1 + E$5)</f>
        <v>156.35943999999998</v>
      </c>
      <c r="K75" s="12">
        <f>(electricity_cost3[[#This Row],[Elect. Cost  VAT included
(TND)
]]-J74)/_xlfn.DAYS(electricity_cost3[[#This Row],[Date of reading 
(Elect)]], G74)</f>
        <v>1.3699799999999982</v>
      </c>
      <c r="L75" s="12">
        <f>(electricity_cost3[[#This Row],[Consumption to date (KWh)]] - F74)/_xlfn.DAYS(electricity_cost3[[#This Row],[Date of reading 
(Elect)]], G74)</f>
        <v>6.75</v>
      </c>
      <c r="M75" s="7">
        <v>8105</v>
      </c>
      <c r="P75">
        <v>8625</v>
      </c>
      <c r="Q75" s="11">
        <f>gas_cost107[[#This Row],[ Index (m3)]] - gas_cost107[[#This Row],[Original index 
(m3)]]</f>
        <v>520</v>
      </c>
      <c r="R75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5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195</v>
      </c>
      <c r="T75" s="12">
        <f xml:space="preserve"> gas_cost107[[#This Row],[Gas Net cost to date
(TND)]]* (1 + E$5)</f>
        <v>230.1</v>
      </c>
      <c r="U75" s="12">
        <f>(gas_cost107[[#This Row],[Gas Cost to date  VAT included
(TND)
]] - T74)/_xlfn.DAYS(electricity_cost3[[#This Row],[Date of reading 
(Elect)]], G74)</f>
        <v>3.4293750000000003</v>
      </c>
      <c r="V75" s="20">
        <f xml:space="preserve"> E$8 + ((electricity_cost3[[#This Row],[Elect. Net cost to date
(TND)]] + E$6 + gas_cost107[[#This Row],[Gas Net cost to date
(TND)]] + E$7) * (1 + E$5))</f>
        <v>396.69543999999991</v>
      </c>
      <c r="W75" s="38"/>
    </row>
    <row r="76" spans="2:23" x14ac:dyDescent="0.25">
      <c r="B76">
        <v>16715</v>
      </c>
      <c r="C76" s="6">
        <v>42983</v>
      </c>
      <c r="D76" s="6">
        <v>43110</v>
      </c>
      <c r="E76">
        <v>17426</v>
      </c>
      <c r="F76" s="11">
        <f>electricity_cost3[[#This Row],[ Index (KWh)]]-electricity_cost3[[#This Row],[Original index 
(KWh)]]</f>
        <v>711</v>
      </c>
      <c r="G76" s="6">
        <v>43108</v>
      </c>
      <c r="H76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6" s="12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122.292</v>
      </c>
      <c r="J76" s="10">
        <f xml:space="preserve"> (E$6 + electricity_cost3[[#This Row],[Elect. Net cost to date
(TND)]]) * (1 + E$5)</f>
        <v>160.82455999999999</v>
      </c>
      <c r="K76" s="12">
        <f>(electricity_cost3[[#This Row],[Elect. Cost  VAT included
(TND)
]]-J75)/_xlfn.DAYS(electricity_cost3[[#This Row],[Date of reading 
(Elect)]], G75)</f>
        <v>1.1162800000000033</v>
      </c>
      <c r="L76" s="12">
        <f>(electricity_cost3[[#This Row],[Consumption to date (KWh)]] - F75)/_xlfn.DAYS(electricity_cost3[[#This Row],[Date of reading 
(Elect)]], G75)</f>
        <v>5.5</v>
      </c>
      <c r="M76" s="7">
        <v>8105</v>
      </c>
      <c r="P76">
        <v>8645</v>
      </c>
      <c r="Q76" s="11">
        <f>gas_cost107[[#This Row],[ Index (m3)]] - gas_cost107[[#This Row],[Original index 
(m3)]]</f>
        <v>540</v>
      </c>
      <c r="R76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6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202.5</v>
      </c>
      <c r="T76" s="12">
        <f xml:space="preserve"> gas_cost107[[#This Row],[Gas Net cost to date
(TND)]]* (1 + E$5)</f>
        <v>238.95</v>
      </c>
      <c r="U76" s="12">
        <f>(gas_cost107[[#This Row],[Gas Cost to date  VAT included
(TND)
]] - T75)/_xlfn.DAYS(electricity_cost3[[#This Row],[Date of reading 
(Elect)]], G75)</f>
        <v>2.2124999999999986</v>
      </c>
      <c r="V76" s="20">
        <f xml:space="preserve"> E$8 + ((electricity_cost3[[#This Row],[Elect. Net cost to date
(TND)]] + E$6 + gas_cost107[[#This Row],[Gas Net cost to date
(TND)]] + E$7) * (1 + E$5))</f>
        <v>410.01056</v>
      </c>
      <c r="W76" s="38"/>
    </row>
    <row r="77" spans="2:23" x14ac:dyDescent="0.25">
      <c r="B77">
        <v>16715</v>
      </c>
      <c r="C77" s="6">
        <v>42983</v>
      </c>
      <c r="D77" s="6">
        <v>43110</v>
      </c>
      <c r="E77">
        <v>17432</v>
      </c>
      <c r="F77" s="11">
        <f>electricity_cost3[[#This Row],[ Index (KWh)]]-electricity_cost3[[#This Row],[Original index 
(KWh)]]</f>
        <v>717</v>
      </c>
      <c r="G77" s="6">
        <v>43109</v>
      </c>
      <c r="H77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7" s="12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123.324</v>
      </c>
      <c r="J77" s="10">
        <f xml:space="preserve"> (E$6 + electricity_cost3[[#This Row],[Elect. Net cost to date
(TND)]]) * (1 + E$5)</f>
        <v>162.04232000000002</v>
      </c>
      <c r="K77" s="12">
        <f>(electricity_cost3[[#This Row],[Elect. Cost  VAT included
(TND)
]]-J76)/_xlfn.DAYS(electricity_cost3[[#This Row],[Date of reading 
(Elect)]], G76)</f>
        <v>1.2177600000000268</v>
      </c>
      <c r="L77" s="12">
        <f>(electricity_cost3[[#This Row],[Consumption to date (KWh)]] - F76)/_xlfn.DAYS(electricity_cost3[[#This Row],[Date of reading 
(Elect)]], G76)</f>
        <v>6</v>
      </c>
      <c r="M77" s="7">
        <v>8105</v>
      </c>
      <c r="P77">
        <v>8650</v>
      </c>
      <c r="Q77" s="11">
        <f>gas_cost107[[#This Row],[ Index (m3)]] - gas_cost107[[#This Row],[Original index 
(m3)]]</f>
        <v>545</v>
      </c>
      <c r="R77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7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204.375</v>
      </c>
      <c r="T77" s="12">
        <f xml:space="preserve"> gas_cost107[[#This Row],[Gas Net cost to date
(TND)]]* (1 + E$5)</f>
        <v>241.16249999999999</v>
      </c>
      <c r="U77" s="12">
        <f>(gas_cost107[[#This Row],[Gas Cost to date  VAT included
(TND)
]] - T76)/_xlfn.DAYS(electricity_cost3[[#This Row],[Date of reading 
(Elect)]], G76)</f>
        <v>2.2125000000000057</v>
      </c>
      <c r="V77" s="20">
        <f xml:space="preserve"> E$8 + ((electricity_cost3[[#This Row],[Elect. Net cost to date
(TND)]] + E$6 + gas_cost107[[#This Row],[Gas Net cost to date
(TND)]] + E$7) * (1 + E$5))</f>
        <v>413.44081999999997</v>
      </c>
      <c r="W77" s="38"/>
    </row>
    <row r="78" spans="2:23" x14ac:dyDescent="0.25">
      <c r="B78" s="9">
        <v>16715</v>
      </c>
      <c r="C78" s="41">
        <v>42983</v>
      </c>
      <c r="D78" s="41">
        <v>43110</v>
      </c>
      <c r="E78" s="9">
        <v>17438</v>
      </c>
      <c r="F78" s="42">
        <f>electricity_cost3[[#This Row],[ Index (KWh)]]-electricity_cost3[[#This Row],[Original index 
(KWh)]]</f>
        <v>723</v>
      </c>
      <c r="G78" s="41">
        <v>43110</v>
      </c>
      <c r="H78" s="43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8" s="45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124.35599999999999</v>
      </c>
      <c r="J78" s="44">
        <f xml:space="preserve"> (E$6 + electricity_cost3[[#This Row],[Elect. Net cost to date
(TND)]]) * (1 + E$5)</f>
        <v>163.26007999999999</v>
      </c>
      <c r="K78" s="45">
        <f>electricity_cost3[[#This Row],[Elect. Cost  VAT included
(TND)
]]-J77/(electricity_cost3[[#This Row],[Date of reading 
(Elect)]]-G77)</f>
        <v>1.21775999999997</v>
      </c>
      <c r="L78" s="45">
        <f>(electricity_cost3[[#This Row],[Consumption to date (KWh)]] - F77)/_xlfn.DAYS(electricity_cost3[[#This Row],[Date of reading 
(Elect)]], G77)</f>
        <v>6</v>
      </c>
      <c r="M78" s="46">
        <v>8105</v>
      </c>
      <c r="N78" s="9"/>
      <c r="O78" s="9"/>
      <c r="P78" s="9">
        <v>8661</v>
      </c>
      <c r="Q78" s="42">
        <f>gas_cost107[[#This Row],[ Index (m3)]] - gas_cost107[[#This Row],[Original index 
(m3)]]</f>
        <v>556</v>
      </c>
      <c r="R78" s="42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8" s="45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208.5</v>
      </c>
      <c r="T78" s="45">
        <f xml:space="preserve"> gas_cost107[[#This Row],[Gas Net cost to date
(TND)]]* (1 + E$5)</f>
        <v>246.03</v>
      </c>
      <c r="U78" s="45">
        <f>(gas_cost107[[#This Row],[Gas Cost to date  VAT included
(TND)
]] - T77)/_xlfn.DAYS(electricity_cost3[[#This Row],[Date of reading 
(Elect)]], G77)</f>
        <v>4.8675000000000068</v>
      </c>
      <c r="V78" s="47">
        <f xml:space="preserve"> E$8 + ((electricity_cost3[[#This Row],[Elect. Net cost to date
(TND)]] + E$6 + gas_cost107[[#This Row],[Gas Net cost to date
(TND)]] + E$7) * (1 + E$5))</f>
        <v>419.52607999999992</v>
      </c>
      <c r="W78" s="47">
        <v>414</v>
      </c>
    </row>
    <row r="79" spans="2:23" x14ac:dyDescent="0.25">
      <c r="B79">
        <v>16715</v>
      </c>
      <c r="C79" s="6">
        <v>42983</v>
      </c>
      <c r="D79" s="6">
        <v>43110</v>
      </c>
      <c r="E79">
        <v>17444</v>
      </c>
      <c r="F79" s="11">
        <f>electricity_cost3[[#This Row],[ Index (KWh)]]-electricity_cost3[[#This Row],[Original index 
(KWh)]]</f>
        <v>729</v>
      </c>
      <c r="G79" s="6">
        <v>43111</v>
      </c>
      <c r="H79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79" s="12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125.38800000000001</v>
      </c>
      <c r="J79" s="10">
        <f xml:space="preserve"> (E$6 + electricity_cost3[[#This Row],[Elect. Net cost to date
(TND)]]) * (1 + E$5)</f>
        <v>164.47783999999999</v>
      </c>
      <c r="K79" s="12">
        <f>(electricity_cost3[[#This Row],[Elect. Cost  VAT included
(TND)
]]-J78)/_xlfn.DAYS(electricity_cost3[[#This Row],[Date of reading 
(Elect)]], G78)</f>
        <v>1.2177599999999984</v>
      </c>
      <c r="L79" s="12">
        <f>(electricity_cost3[[#This Row],[Consumption to date (KWh)]] - F78)/_xlfn.DAYS(electricity_cost3[[#This Row],[Date of reading 
(Elect)]], G78)</f>
        <v>6</v>
      </c>
      <c r="M79" s="7">
        <v>8105</v>
      </c>
      <c r="P79">
        <v>8668</v>
      </c>
      <c r="Q79" s="11">
        <f>gas_cost107[[#This Row],[ Index (m3)]] - gas_cost107[[#This Row],[Original index 
(m3)]]</f>
        <v>563</v>
      </c>
      <c r="R79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79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211.125</v>
      </c>
      <c r="T79" s="12">
        <f xml:space="preserve"> gas_cost107[[#This Row],[Gas Net cost to date
(TND)]]* (1 + E$5)</f>
        <v>249.1275</v>
      </c>
      <c r="U79" s="12">
        <f>(gas_cost107[[#This Row],[Gas Cost to date  VAT included
(TND)
]] - T78)/_xlfn.DAYS(electricity_cost3[[#This Row],[Date of reading 
(Elect)]], G78)</f>
        <v>3.0974999999999966</v>
      </c>
      <c r="V79" s="20">
        <f xml:space="preserve"> E$8 + ((electricity_cost3[[#This Row],[Elect. Net cost to date
(TND)]] + E$6 + gas_cost107[[#This Row],[Gas Net cost to date
(TND)]] + E$7) * (1 + E$5))</f>
        <v>423.84134</v>
      </c>
      <c r="W79" s="38"/>
    </row>
    <row r="80" spans="2:23" x14ac:dyDescent="0.25">
      <c r="B80">
        <v>16715</v>
      </c>
      <c r="C80" s="6">
        <v>42983</v>
      </c>
      <c r="D80" s="6">
        <v>43110</v>
      </c>
      <c r="E80">
        <v>17452</v>
      </c>
      <c r="F80" s="11">
        <f>electricity_cost3[[#This Row],[ Index (KWh)]]-electricity_cost3[[#This Row],[Original index 
(KWh)]]</f>
        <v>737</v>
      </c>
      <c r="G80" s="6">
        <v>43112</v>
      </c>
      <c r="H80" s="21">
        <f xml:space="preserve"> _xlfn.IFS(electricity_cost3[[#This Row],[Consumption to date (KWh)]] &lt;= K$4, 1, AND(K$4 &lt; electricity_cost3[[#This Row],[Consumption to date (KWh)]],  electricity_cost3[[#This Row],[Consumption to date (KWh)]]&lt;= K$5), 2, AND(K$5 &lt; electricity_cost3[[#This Row],[Consumption to date (KWh)]],  electricity_cost3[[#This Row],[Consumption to date (KWh)]]&lt;= K$6), 3, electricity_cost3[[#This Row],[Consumption to date (KWh)]] &gt; K$6, 4)</f>
        <v>1</v>
      </c>
      <c r="I80" s="12">
        <f>_xlfn.IFS(electricity_cost3[[#This Row],[Level (Elect)]]= 1, (electricity_cost3[[#This Row],[Consumption to date (KWh)]] * L$4)/1000, electricity_cost3[[#This Row],[Level (Elect)]] = 2, (K$4 * L$4 +((electricity_cost3[[#This Row],[Consumption to date (KWh)]] - K$4) * L$5))/1000,electricity_cost3[[#This Row],[Level (Elect)]] = 3, (K$4 * L$4 + (K$5-J$5) * L$5 + ((electricity_cost3[[#This Row],[Consumption to date (KWh)]] - K$5) * L$6))/1000, electricity_cost3[[#This Row],[Level (Elect)]] = 4, (K$4 * L$4 + (K$5-J$5) * L$5 + (K$6-J$6) * L$6 + ((electricity_cost3[[#This Row],[Consumption to date (KWh)]] - K$6) * L$7))/1000)</f>
        <v>126.764</v>
      </c>
      <c r="J80" s="10">
        <f xml:space="preserve"> (E$6 + electricity_cost3[[#This Row],[Elect. Net cost to date
(TND)]]) * (1 + E$5)</f>
        <v>166.10151999999999</v>
      </c>
      <c r="K80" s="12">
        <f>electricity_cost3[[#This Row],[Elect. Cost  VAT included
(TND)
]]-J79/(electricity_cost3[[#This Row],[Date of reading 
(Elect)]]-G79)</f>
        <v>1.6236800000000073</v>
      </c>
      <c r="L80" s="12">
        <f>(electricity_cost3[[#This Row],[Consumption to date (KWh)]] - F79)/_xlfn.DAYS(electricity_cost3[[#This Row],[Date of reading 
(Elect)]], G79)</f>
        <v>8</v>
      </c>
      <c r="M80" s="7">
        <v>8105</v>
      </c>
      <c r="P80">
        <v>8679</v>
      </c>
      <c r="Q80" s="11">
        <f>gas_cost107[[#This Row],[ Index (m3)]] - gas_cost107[[#This Row],[Original index 
(m3)]]</f>
        <v>574</v>
      </c>
      <c r="R80" s="11">
        <f xml:space="preserve"> _xlfn.IFS(gas_cost107[[#This Row],[Consumption (m3)]] &lt;= R$4, 1, AND(R$4 &lt; gas_cost107[[#This Row],[Consumption (m3)]], gas_cost107[[#This Row],[Consumption (m3)]] &lt;= R$5), 2, AND(R$5 &lt; gas_cost107[[#This Row],[Consumption (m3)]], gas_cost107[[#This Row],[Consumption (m3)]] &lt;= R$6), 3, gas_cost107[[#This Row],[Consumption (m3)]] &gt; R$6, 4)</f>
        <v>3</v>
      </c>
      <c r="S80" s="12">
        <f>_xlfn.IFS(gas_cost107[[#This Row],[Level (Gas)]]= 1, (gas_cost107[[#This Row],[Consumption (m3)]] * S$4)/1000, gas_cost107[[#This Row],[Level (Gas)]] = 2, (gas_cost107[[#This Row],[Consumption (m3)]] * S$5)/1000,gas_cost107[[#This Row],[Level (Gas)]] = 3, (gas_cost107[[#This Row],[Consumption (m3)]] * S$6)/1000, gas_cost107[[#This Row],[Level (Gas)]] = 4, (gas_cost107[[#This Row],[Consumption (m3)]] * S$7)/1000)</f>
        <v>215.25</v>
      </c>
      <c r="T80" s="12">
        <f xml:space="preserve"> gas_cost107[[#This Row],[Gas Net cost to date
(TND)]]* (1 + E$5)</f>
        <v>253.99499999999998</v>
      </c>
      <c r="U80" s="12">
        <f>(gas_cost107[[#This Row],[Gas Cost to date  VAT included
(TND)
]] - T79)/_xlfn.DAYS(electricity_cost3[[#This Row],[Date of reading 
(Elect)]], G79)</f>
        <v>4.8674999999999784</v>
      </c>
      <c r="V80" s="20">
        <f xml:space="preserve"> E$8 + ((electricity_cost3[[#This Row],[Elect. Net cost to date
(TND)]] + E$6 + gas_cost107[[#This Row],[Gas Net cost to date
(TND)]] + E$7) * (1 + E$5))</f>
        <v>430.33251999999999</v>
      </c>
      <c r="W80" s="38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Y39"/>
  <sheetViews>
    <sheetView topLeftCell="A34" zoomScale="70" zoomScaleNormal="70" workbookViewId="0">
      <selection activeCell="AA40" sqref="AA40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5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33.140625" customWidth="1"/>
    <col min="24" max="24" width="13.57031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172</v>
      </c>
      <c r="P4">
        <v>1</v>
      </c>
      <c r="Q4">
        <v>1</v>
      </c>
      <c r="R4">
        <v>120</v>
      </c>
      <c r="S4">
        <v>231</v>
      </c>
      <c r="U4" s="19">
        <v>43223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203</v>
      </c>
      <c r="P5">
        <v>2</v>
      </c>
      <c r="Q5">
        <v>1</v>
      </c>
      <c r="R5">
        <v>240</v>
      </c>
      <c r="S5">
        <v>290</v>
      </c>
      <c r="U5" s="19">
        <v>43223</v>
      </c>
      <c r="V5" s="19"/>
      <c r="W5">
        <v>800</v>
      </c>
      <c r="X5">
        <v>1000</v>
      </c>
    </row>
    <row r="6" spans="2:24" x14ac:dyDescent="0.25">
      <c r="D6" s="16" t="s">
        <v>14</v>
      </c>
      <c r="E6" s="14">
        <v>14</v>
      </c>
      <c r="I6">
        <v>3</v>
      </c>
      <c r="J6">
        <v>1201</v>
      </c>
      <c r="K6">
        <v>2000</v>
      </c>
      <c r="L6">
        <v>290</v>
      </c>
      <c r="P6">
        <v>3</v>
      </c>
      <c r="Q6">
        <v>1</v>
      </c>
      <c r="R6">
        <v>600</v>
      </c>
      <c r="S6">
        <v>375</v>
      </c>
    </row>
    <row r="7" spans="2:24" x14ac:dyDescent="0.25">
      <c r="D7" s="16" t="s">
        <v>15</v>
      </c>
      <c r="E7" s="14">
        <v>2</v>
      </c>
      <c r="I7">
        <v>4</v>
      </c>
      <c r="J7">
        <v>2001</v>
      </c>
      <c r="L7">
        <v>355</v>
      </c>
      <c r="P7">
        <v>4</v>
      </c>
      <c r="Q7">
        <v>1</v>
      </c>
      <c r="S7">
        <v>439</v>
      </c>
    </row>
    <row r="8" spans="2:24" x14ac:dyDescent="0.25">
      <c r="D8" s="16" t="s">
        <v>12</v>
      </c>
      <c r="E8" s="14">
        <v>7.8760000000000003</v>
      </c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INDEX(electricity_cost311[Elect. Net cost to date
(TND)], COUNTA(I18:I39), 1) + E6</f>
        <v>130.27199999999999</v>
      </c>
      <c r="G10" s="67" t="s">
        <v>38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48</v>
      </c>
      <c r="I11" s="33" t="s">
        <v>47</v>
      </c>
      <c r="J11" s="33" t="s">
        <v>49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500</v>
      </c>
      <c r="I12" s="34">
        <v>600</v>
      </c>
      <c r="J12" s="51">
        <v>369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600</v>
      </c>
      <c r="I13" s="35">
        <v>800</v>
      </c>
      <c r="J13" s="52">
        <v>412</v>
      </c>
    </row>
    <row r="14" spans="2:24" x14ac:dyDescent="0.25">
      <c r="G14" s="3" t="s">
        <v>54</v>
      </c>
      <c r="H14" s="3">
        <v>678</v>
      </c>
      <c r="I14" s="3">
        <v>845</v>
      </c>
      <c r="J14" s="3">
        <v>598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60</v>
      </c>
    </row>
    <row r="18" spans="2:25" x14ac:dyDescent="0.25">
      <c r="B18">
        <v>17440</v>
      </c>
      <c r="C18" s="6">
        <v>43110</v>
      </c>
      <c r="D18" s="50">
        <v>43223</v>
      </c>
      <c r="E18">
        <v>17440</v>
      </c>
      <c r="F18" s="11">
        <f>electricity_cost311[[#This Row],[ Index (KWh)]]-electricity_cost311[[#This Row],[Original index 
(KWh)]]</f>
        <v>0</v>
      </c>
      <c r="G18" s="6">
        <v>43110</v>
      </c>
      <c r="H18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18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0</v>
      </c>
      <c r="J18" s="10">
        <f xml:space="preserve"> (E$6 + electricity_cost311[[#This Row],[Elect. Net cost to date
(TND)]]) * (1 + E$5)</f>
        <v>16.52</v>
      </c>
      <c r="K18" s="12"/>
      <c r="L18" s="12"/>
      <c r="M18">
        <v>8661</v>
      </c>
      <c r="P18">
        <v>8661</v>
      </c>
      <c r="Q18" s="11">
        <f>gas_cost10713[[#This Row],[ Index (m3)]] - gas_cost10713[[#This Row],[Original index 
(m3)]]</f>
        <v>0</v>
      </c>
      <c r="R18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1</v>
      </c>
      <c r="S18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0</v>
      </c>
      <c r="T18" s="12">
        <f xml:space="preserve"> gas_cost10713[[#This Row],[Gas Net cost to date
(TND)]]* (1 + E$5)</f>
        <v>0</v>
      </c>
      <c r="U18" s="12"/>
      <c r="V18" s="12"/>
      <c r="W18" s="20">
        <f xml:space="preserve"> E$8 + ((electricity_cost311[[#This Row],[Elect. Net cost to date
(TND)]] + E$6 + gas_cost10713[[#This Row],[Gas Net cost to date
(TND)]] + E$7) * (1 + E$5))</f>
        <v>26.756</v>
      </c>
      <c r="X18" s="38"/>
      <c r="Y18" s="37"/>
    </row>
    <row r="19" spans="2:25" x14ac:dyDescent="0.25">
      <c r="B19">
        <v>17440</v>
      </c>
      <c r="C19" s="6">
        <v>43110</v>
      </c>
      <c r="D19" s="49">
        <v>43223</v>
      </c>
      <c r="E19">
        <v>17444</v>
      </c>
      <c r="F19" s="11">
        <f>electricity_cost311[[#This Row],[ Index (KWh)]]-electricity_cost311[[#This Row],[Original index 
(KWh)]]</f>
        <v>4</v>
      </c>
      <c r="G19" s="6">
        <v>43111</v>
      </c>
      <c r="H19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19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0.68799999999999994</v>
      </c>
      <c r="J19" s="10">
        <f xml:space="preserve"> (E$6 + electricity_cost311[[#This Row],[Elect. Net cost to date
(TND)]]) * (1 + E$5)</f>
        <v>17.33184</v>
      </c>
      <c r="K19" s="12">
        <f>(electricity_cost311[[#This Row],[Elect. Cost  VAT included
(TND)
]]-J18)/_xlfn.DAYS(electricity_cost311[[#This Row],[Date of reading 
(Elect + Gas)]], G18)</f>
        <v>0.81184000000000012</v>
      </c>
      <c r="L19" s="12">
        <f>(electricity_cost311[[#This Row],[Consumption to date (KWh)]] - F18)/_xlfn.DAYS(electricity_cost311[[#This Row],[Date of reading 
(Elect + Gas)]], G18)</f>
        <v>4</v>
      </c>
      <c r="M19">
        <v>8661</v>
      </c>
      <c r="P19">
        <v>8668</v>
      </c>
      <c r="Q19" s="11">
        <f>gas_cost10713[[#This Row],[ Index (m3)]] - gas_cost10713[[#This Row],[Original index 
(m3)]]</f>
        <v>7</v>
      </c>
      <c r="R19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1</v>
      </c>
      <c r="S19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1.617</v>
      </c>
      <c r="T19" s="12">
        <f xml:space="preserve"> gas_cost10713[[#This Row],[Gas Net cost to date
(TND)]]* (1 + E$5)</f>
        <v>1.9080599999999999</v>
      </c>
      <c r="U19" s="12">
        <f>(gas_cost10713[[#This Row],[Gas Cost to date  VAT included
(TND)
]] - T18)/_xlfn.DAYS(electricity_cost311[[#This Row],[Date of reading 
(Elect + Gas)]], G18)</f>
        <v>1.9080599999999999</v>
      </c>
      <c r="V19" s="12">
        <f>(gas_cost10713[[#This Row],[Consumption (m3)]] - Q18)/_xlfn.DAYS(electricity_cost311[[#This Row],[Date of reading 
(Elect + Gas)]], G18)</f>
        <v>7</v>
      </c>
      <c r="W19" s="20">
        <f xml:space="preserve"> E$8 + ((electricity_cost311[[#This Row],[Elect. Net cost to date
(TND)]] + E$6 + gas_cost10713[[#This Row],[Gas Net cost to date
(TND)]] + E$7) * (1 + E$5))</f>
        <v>29.475899999999999</v>
      </c>
      <c r="X19" s="38"/>
    </row>
    <row r="20" spans="2:25" x14ac:dyDescent="0.25">
      <c r="B20">
        <v>17440</v>
      </c>
      <c r="C20" s="6">
        <v>43110</v>
      </c>
      <c r="D20" s="50">
        <v>43223</v>
      </c>
      <c r="E20">
        <v>17452</v>
      </c>
      <c r="F20" s="11">
        <f>electricity_cost311[[#This Row],[ Index (KWh)]]-electricity_cost311[[#This Row],[Original index 
(KWh)]]</f>
        <v>12</v>
      </c>
      <c r="G20" s="6">
        <v>43112</v>
      </c>
      <c r="H20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0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2.0640000000000001</v>
      </c>
      <c r="J20" s="10">
        <f xml:space="preserve"> (E$6 + electricity_cost311[[#This Row],[Elect. Net cost to date
(TND)]]) * (1 + E$5)</f>
        <v>18.95552</v>
      </c>
      <c r="K20" s="12">
        <f>electricity_cost311[[#This Row],[Elect. Cost  VAT included
(TND)
]]-J19/(electricity_cost311[[#This Row],[Date of reading 
(Elect + Gas)]]-G19)</f>
        <v>1.6236800000000002</v>
      </c>
      <c r="L20" s="12">
        <f>(electricity_cost311[[#This Row],[Consumption to date (KWh)]] - F19)/_xlfn.DAYS(electricity_cost311[[#This Row],[Date of reading 
(Elect + Gas)]], G19)</f>
        <v>8</v>
      </c>
      <c r="M20">
        <v>8661</v>
      </c>
      <c r="P20">
        <v>8679</v>
      </c>
      <c r="Q20" s="11">
        <f>gas_cost10713[[#This Row],[ Index (m3)]] - gas_cost10713[[#This Row],[Original index 
(m3)]]</f>
        <v>18</v>
      </c>
      <c r="R20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1</v>
      </c>
      <c r="S20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4.1580000000000004</v>
      </c>
      <c r="T20" s="12">
        <f xml:space="preserve"> gas_cost10713[[#This Row],[Gas Net cost to date
(TND)]]* (1 + E$5)</f>
        <v>4.9064399999999999</v>
      </c>
      <c r="U20" s="12">
        <f>(gas_cost10713[[#This Row],[Gas Cost to date  VAT included
(TND)
]] - T19)/_xlfn.DAYS(electricity_cost311[[#This Row],[Date of reading 
(Elect + Gas)]], G19)</f>
        <v>2.99838</v>
      </c>
      <c r="V20" s="12">
        <f>(gas_cost10713[[#This Row],[Consumption (m3)]] - Q19)/_xlfn.DAYS(electricity_cost311[[#This Row],[Date of reading 
(Elect + Gas)]], G19)</f>
        <v>11</v>
      </c>
      <c r="W20" s="20">
        <f xml:space="preserve"> E$8 + ((electricity_cost311[[#This Row],[Elect. Net cost to date
(TND)]] + E$6 + gas_cost10713[[#This Row],[Gas Net cost to date
(TND)]] + E$7) * (1 + E$5))</f>
        <v>34.09796</v>
      </c>
      <c r="X20" s="38"/>
    </row>
    <row r="21" spans="2:25" x14ac:dyDescent="0.25">
      <c r="B21">
        <v>17440</v>
      </c>
      <c r="C21" s="6">
        <v>43110</v>
      </c>
      <c r="D21" s="49">
        <v>43223</v>
      </c>
      <c r="E21">
        <v>17460</v>
      </c>
      <c r="F21" s="11">
        <f>electricity_cost311[[#This Row],[ Index (KWh)]]-electricity_cost311[[#This Row],[Original index 
(KWh)]]</f>
        <v>20</v>
      </c>
      <c r="G21" s="6">
        <v>43113</v>
      </c>
      <c r="H21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1" s="10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3.44</v>
      </c>
      <c r="J21" s="10">
        <f xml:space="preserve"> (E$6 + electricity_cost311[[#This Row],[Elect. Net cost to date
(TND)]]) * (1 + E$5)</f>
        <v>20.5792</v>
      </c>
      <c r="K21" s="12">
        <f>(electricity_cost311[[#This Row],[Elect. Cost  VAT included
(TND)
]]-J20)/_xlfn.DAYS(electricity_cost311[[#This Row],[Date of reading 
(Elect + Gas)]], G20)</f>
        <v>1.6236800000000002</v>
      </c>
      <c r="L21" s="12">
        <f>(electricity_cost311[[#This Row],[Consumption to date (KWh)]] - F20)/_xlfn.DAYS(electricity_cost311[[#This Row],[Date of reading 
(Elect + Gas)]], G20)</f>
        <v>8</v>
      </c>
      <c r="M21">
        <v>8661</v>
      </c>
      <c r="P21">
        <v>8689</v>
      </c>
      <c r="Q21" s="11">
        <f>gas_cost10713[[#This Row],[ Index (m3)]] - gas_cost10713[[#This Row],[Original index 
(m3)]]</f>
        <v>28</v>
      </c>
      <c r="R21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1</v>
      </c>
      <c r="S21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6.468</v>
      </c>
      <c r="T21" s="12">
        <f xml:space="preserve"> gas_cost10713[[#This Row],[Gas Net cost to date
(TND)]]* (1 + E$5)</f>
        <v>7.6322399999999995</v>
      </c>
      <c r="U21" s="12">
        <f>(gas_cost10713[[#This Row],[Gas Cost to date  VAT included
(TND)
]] - T20)/_xlfn.DAYS(electricity_cost311[[#This Row],[Date of reading 
(Elect + Gas)]], G20)</f>
        <v>2.7257999999999996</v>
      </c>
      <c r="V21" s="12">
        <f>(gas_cost10713[[#This Row],[Consumption (m3)]] - Q20)/_xlfn.DAYS(electricity_cost311[[#This Row],[Date of reading 
(Elect + Gas)]], G20)</f>
        <v>10</v>
      </c>
      <c r="W21" s="20">
        <f xml:space="preserve"> E$8 + ((electricity_cost311[[#This Row],[Elect. Net cost to date
(TND)]] + E$6 + gas_cost10713[[#This Row],[Gas Net cost to date
(TND)]] + E$7) * (1 + E$5))</f>
        <v>38.44744</v>
      </c>
      <c r="X21" s="38"/>
    </row>
    <row r="22" spans="2:25" x14ac:dyDescent="0.25">
      <c r="B22">
        <v>17440</v>
      </c>
      <c r="C22" s="6">
        <v>43110</v>
      </c>
      <c r="D22" s="50">
        <v>43223</v>
      </c>
      <c r="E22" s="53">
        <v>17478</v>
      </c>
      <c r="F22" s="11">
        <f>electricity_cost311[[#This Row],[ Index (KWh)]]-electricity_cost311[[#This Row],[Original index 
(KWh)]]</f>
        <v>38</v>
      </c>
      <c r="G22" s="6">
        <v>43116</v>
      </c>
      <c r="H22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2" s="10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6.5359999999999996</v>
      </c>
      <c r="J22" s="10">
        <f xml:space="preserve"> (E$6 + electricity_cost311[[#This Row],[Elect. Net cost to date
(TND)]]) * (1 + E$5)</f>
        <v>24.232479999999999</v>
      </c>
      <c r="K22" s="12">
        <f>(electricity_cost311[[#This Row],[Elect. Cost  VAT included
(TND)
]]-J21)/_xlfn.DAYS(electricity_cost311[[#This Row],[Date of reading 
(Elect + Gas)]], G21)</f>
        <v>1.2177599999999995</v>
      </c>
      <c r="L22" s="12">
        <f>(electricity_cost311[[#This Row],[Consumption to date (KWh)]] - F21)/_xlfn.DAYS(electricity_cost311[[#This Row],[Date of reading 
(Elect + Gas)]], G21)</f>
        <v>6</v>
      </c>
      <c r="M22">
        <v>8661</v>
      </c>
      <c r="P22">
        <v>8717</v>
      </c>
      <c r="Q22" s="11">
        <f>gas_cost10713[[#This Row],[ Index (m3)]] - gas_cost10713[[#This Row],[Original index 
(m3)]]</f>
        <v>56</v>
      </c>
      <c r="R22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1</v>
      </c>
      <c r="S22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12.936</v>
      </c>
      <c r="T22" s="12">
        <f xml:space="preserve"> gas_cost10713[[#This Row],[Gas Net cost to date
(TND)]]* (1 + E$5)</f>
        <v>15.264479999999999</v>
      </c>
      <c r="U22" s="12">
        <f>(gas_cost10713[[#This Row],[Gas Cost to date  VAT included
(TND)
]] - T21)/_xlfn.DAYS(electricity_cost311[[#This Row],[Date of reading 
(Elect + Gas)]], G21)</f>
        <v>2.5440799999999997</v>
      </c>
      <c r="V22" s="12">
        <f>(gas_cost10713[[#This Row],[Consumption (m3)]] - Q21)/_xlfn.DAYS(electricity_cost311[[#This Row],[Date of reading 
(Elect + Gas)]], G21)</f>
        <v>9.3333333333333339</v>
      </c>
      <c r="W22" s="20">
        <f xml:space="preserve"> E$8 + ((electricity_cost311[[#This Row],[Elect. Net cost to date
(TND)]] + E$6 + gas_cost10713[[#This Row],[Gas Net cost to date
(TND)]] + E$7) * (1 + E$5))</f>
        <v>49.732959999999999</v>
      </c>
      <c r="X22" s="38"/>
    </row>
    <row r="23" spans="2:25" x14ac:dyDescent="0.25">
      <c r="B23">
        <v>17440</v>
      </c>
      <c r="C23" s="6">
        <v>43110</v>
      </c>
      <c r="D23" s="49">
        <v>43223</v>
      </c>
      <c r="E23">
        <v>17491</v>
      </c>
      <c r="F23" s="11">
        <f>electricity_cost311[[#This Row],[ Index (KWh)]]-electricity_cost311[[#This Row],[Original index 
(KWh)]]</f>
        <v>51</v>
      </c>
      <c r="G23" s="6">
        <v>43118</v>
      </c>
      <c r="H23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3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8.7720000000000002</v>
      </c>
      <c r="J23" s="10">
        <f xml:space="preserve"> (E$6 + electricity_cost311[[#This Row],[Elect. Net cost to date
(TND)]]) * (1 + E$5)</f>
        <v>26.870959999999997</v>
      </c>
      <c r="K23" s="12">
        <f>(electricity_cost311[[#This Row],[Elect. Cost  VAT included
(TND)
]]-J22)/_xlfn.DAYS(electricity_cost311[[#This Row],[Date of reading 
(Elect + Gas)]], G22)</f>
        <v>1.3192399999999989</v>
      </c>
      <c r="L23" s="12">
        <f>(electricity_cost311[[#This Row],[Consumption to date (KWh)]] - F22)/_xlfn.DAYS(electricity_cost311[[#This Row],[Date of reading 
(Elect + Gas)]], G22)</f>
        <v>6.5</v>
      </c>
      <c r="M23">
        <v>8661</v>
      </c>
      <c r="P23">
        <v>8737</v>
      </c>
      <c r="Q23" s="11">
        <f>gas_cost10713[[#This Row],[ Index (m3)]] - gas_cost10713[[#This Row],[Original index 
(m3)]]</f>
        <v>76</v>
      </c>
      <c r="R23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1</v>
      </c>
      <c r="S23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17.556000000000001</v>
      </c>
      <c r="T23" s="12">
        <f xml:space="preserve"> gas_cost10713[[#This Row],[Gas Net cost to date
(TND)]]* (1 + E$5)</f>
        <v>20.716080000000002</v>
      </c>
      <c r="U23" s="12">
        <f>(gas_cost10713[[#This Row],[Gas Cost to date  VAT included
(TND)
]] - T22)/_xlfn.DAYS(electricity_cost311[[#This Row],[Date of reading 
(Elect + Gas)]], G22)</f>
        <v>2.7258000000000013</v>
      </c>
      <c r="V23" s="12">
        <f>(gas_cost10713[[#This Row],[Consumption (m3)]] - Q22)/_xlfn.DAYS(electricity_cost311[[#This Row],[Date of reading 
(Elect + Gas)]], G22)</f>
        <v>10</v>
      </c>
      <c r="W23" s="20">
        <f xml:space="preserve"> E$8 + ((electricity_cost311[[#This Row],[Elect. Net cost to date
(TND)]] + E$6 + gas_cost10713[[#This Row],[Gas Net cost to date
(TND)]] + E$7) * (1 + E$5))</f>
        <v>57.823039999999999</v>
      </c>
      <c r="X23" s="38"/>
    </row>
    <row r="24" spans="2:25" x14ac:dyDescent="0.25">
      <c r="B24">
        <v>17440</v>
      </c>
      <c r="C24" s="6">
        <v>43110</v>
      </c>
      <c r="D24" s="50">
        <v>43223</v>
      </c>
      <c r="E24">
        <v>17515</v>
      </c>
      <c r="F24" s="11">
        <f>electricity_cost311[[#This Row],[ Index (KWh)]]-electricity_cost311[[#This Row],[Original index 
(KWh)]]</f>
        <v>75</v>
      </c>
      <c r="G24" s="6">
        <v>43122</v>
      </c>
      <c r="H24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4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12.9</v>
      </c>
      <c r="J24" s="10">
        <f xml:space="preserve"> (E$6 + electricity_cost311[[#This Row],[Elect. Net cost to date
(TND)]]) * (1 + E$5)</f>
        <v>31.741999999999997</v>
      </c>
      <c r="K24" s="12">
        <f>(electricity_cost311[[#This Row],[Elect. Cost  VAT included
(TND)
]]-J23)/_xlfn.DAYS(electricity_cost311[[#This Row],[Date of reading 
(Elect + Gas)]], G23)</f>
        <v>1.2177600000000002</v>
      </c>
      <c r="L24" s="12">
        <f>(electricity_cost311[[#This Row],[Consumption to date (KWh)]] - F23)/_xlfn.DAYS(electricity_cost311[[#This Row],[Date of reading 
(Elect + Gas)]], G23)</f>
        <v>6</v>
      </c>
      <c r="M24">
        <v>8661</v>
      </c>
      <c r="P24">
        <v>8774</v>
      </c>
      <c r="Q24" s="11">
        <f>gas_cost10713[[#This Row],[ Index (m3)]] - gas_cost10713[[#This Row],[Original index 
(m3)]]</f>
        <v>113</v>
      </c>
      <c r="R24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1</v>
      </c>
      <c r="S24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26.103000000000002</v>
      </c>
      <c r="T24" s="12">
        <f xml:space="preserve"> gas_cost10713[[#This Row],[Gas Net cost to date
(TND)]]* (1 + E$5)</f>
        <v>30.801539999999999</v>
      </c>
      <c r="U24" s="12">
        <f>(gas_cost10713[[#This Row],[Gas Cost to date  VAT included
(TND)
]] - T23)/_xlfn.DAYS(electricity_cost311[[#This Row],[Date of reading 
(Elect + Gas)]], G23)</f>
        <v>2.5213649999999994</v>
      </c>
      <c r="V24" s="12">
        <f>(gas_cost10713[[#This Row],[Consumption (m3)]] - Q23)/_xlfn.DAYS(electricity_cost311[[#This Row],[Date of reading 
(Elect + Gas)]], G23)</f>
        <v>9.25</v>
      </c>
      <c r="W24" s="20">
        <f xml:space="preserve"> E$8 + ((electricity_cost311[[#This Row],[Elect. Net cost to date
(TND)]] + E$6 + gas_cost10713[[#This Row],[Gas Net cost to date
(TND)]] + E$7) * (1 + E$5))</f>
        <v>72.779539999999997</v>
      </c>
      <c r="X24" s="38"/>
    </row>
    <row r="25" spans="2:25" x14ac:dyDescent="0.25">
      <c r="B25">
        <v>17440</v>
      </c>
      <c r="C25" s="6">
        <v>43110</v>
      </c>
      <c r="D25" s="49">
        <v>43223</v>
      </c>
      <c r="E25">
        <v>17521</v>
      </c>
      <c r="F25" s="11">
        <f>electricity_cost311[[#This Row],[ Index (KWh)]]-electricity_cost311[[#This Row],[Original index 
(KWh)]]</f>
        <v>81</v>
      </c>
      <c r="G25" s="6">
        <v>43123</v>
      </c>
      <c r="H25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5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13.932</v>
      </c>
      <c r="J25" s="10">
        <f xml:space="preserve"> (E$6 + electricity_cost311[[#This Row],[Elect. Net cost to date
(TND)]]) * (1 + E$5)</f>
        <v>32.959760000000003</v>
      </c>
      <c r="K25" s="12">
        <f>(electricity_cost311[[#This Row],[Elect. Cost  VAT included
(TND)
]]-J24)/_xlfn.DAYS(electricity_cost311[[#This Row],[Date of reading 
(Elect + Gas)]], G24)</f>
        <v>1.2177600000000055</v>
      </c>
      <c r="L25" s="12">
        <f>(electricity_cost311[[#This Row],[Consumption to date (KWh)]] - F24)/_xlfn.DAYS(electricity_cost311[[#This Row],[Date of reading 
(Elect + Gas)]], G24)</f>
        <v>6</v>
      </c>
      <c r="M25">
        <v>8661</v>
      </c>
      <c r="P25">
        <v>8781</v>
      </c>
      <c r="Q25" s="11">
        <f>gas_cost10713[[#This Row],[ Index (m3)]] - gas_cost10713[[#This Row],[Original index 
(m3)]]</f>
        <v>120</v>
      </c>
      <c r="R25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1</v>
      </c>
      <c r="S25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27.72</v>
      </c>
      <c r="T25" s="12">
        <f xml:space="preserve"> gas_cost10713[[#This Row],[Gas Net cost to date
(TND)]]* (1 + E$5)</f>
        <v>32.709599999999995</v>
      </c>
      <c r="U25" s="12">
        <f>(gas_cost10713[[#This Row],[Gas Cost to date  VAT included
(TND)
]] - T24)/_xlfn.DAYS(electricity_cost311[[#This Row],[Date of reading 
(Elect + Gas)]], G24)</f>
        <v>1.9080599999999954</v>
      </c>
      <c r="V25" s="12">
        <f>(gas_cost10713[[#This Row],[Consumption (m3)]] - Q24)/_xlfn.DAYS(electricity_cost311[[#This Row],[Date of reading 
(Elect + Gas)]], G24)</f>
        <v>7</v>
      </c>
      <c r="W25" s="20">
        <f xml:space="preserve"> E$8 + ((electricity_cost311[[#This Row],[Elect. Net cost to date
(TND)]] + E$6 + gas_cost10713[[#This Row],[Gas Net cost to date
(TND)]] + E$7) * (1 + E$5))</f>
        <v>75.905360000000002</v>
      </c>
      <c r="X25" s="38"/>
    </row>
    <row r="26" spans="2:25" x14ac:dyDescent="0.25">
      <c r="B26">
        <v>17440</v>
      </c>
      <c r="C26" s="6">
        <v>43110</v>
      </c>
      <c r="D26" s="50">
        <v>43223</v>
      </c>
      <c r="E26">
        <v>17540</v>
      </c>
      <c r="F26" s="11">
        <f>electricity_cost311[[#This Row],[ Index (KWh)]]-electricity_cost311[[#This Row],[Original index 
(KWh)]]</f>
        <v>100</v>
      </c>
      <c r="G26" s="6">
        <v>43125</v>
      </c>
      <c r="H26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6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17.2</v>
      </c>
      <c r="J26" s="10">
        <f xml:space="preserve"> (E$6 + electricity_cost311[[#This Row],[Elect. Net cost to date
(TND)]]) * (1 + E$5)</f>
        <v>36.815999999999995</v>
      </c>
      <c r="K26" s="12">
        <f>(electricity_cost311[[#This Row],[Elect. Cost  VAT included
(TND)
]]-J25)/_xlfn.DAYS(electricity_cost311[[#This Row],[Date of reading 
(Elect + Gas)]], G25)</f>
        <v>1.9281199999999963</v>
      </c>
      <c r="L26" s="12">
        <f>(electricity_cost311[[#This Row],[Consumption to date (KWh)]] - F25)/_xlfn.DAYS(electricity_cost311[[#This Row],[Date of reading 
(Elect + Gas)]], G25)</f>
        <v>9.5</v>
      </c>
      <c r="M26">
        <v>8661</v>
      </c>
      <c r="P26">
        <v>8805</v>
      </c>
      <c r="Q26" s="11">
        <f>gas_cost10713[[#This Row],[ Index (m3)]] - gas_cost10713[[#This Row],[Original index 
(m3)]]</f>
        <v>144</v>
      </c>
      <c r="R26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2</v>
      </c>
      <c r="S26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41.76</v>
      </c>
      <c r="T26" s="12">
        <f xml:space="preserve"> gas_cost10713[[#This Row],[Gas Net cost to date
(TND)]]* (1 + E$5)</f>
        <v>49.276799999999994</v>
      </c>
      <c r="U26" s="12">
        <f>(gas_cost10713[[#This Row],[Gas Cost to date  VAT included
(TND)
]] - T25)/_xlfn.DAYS(electricity_cost311[[#This Row],[Date of reading 
(Elect + Gas)]], G25)</f>
        <v>8.2835999999999999</v>
      </c>
      <c r="V26" s="12">
        <f>(gas_cost10713[[#This Row],[Consumption (m3)]] - Q25)/_xlfn.DAYS(electricity_cost311[[#This Row],[Date of reading 
(Elect + Gas)]], G25)</f>
        <v>12</v>
      </c>
      <c r="W26" s="20">
        <f xml:space="preserve"> E$8 + ((electricity_cost311[[#This Row],[Elect. Net cost to date
(TND)]] + E$6 + gas_cost10713[[#This Row],[Gas Net cost to date
(TND)]] + E$7) * (1 + E$5))</f>
        <v>96.328799999999987</v>
      </c>
      <c r="X26" s="38"/>
    </row>
    <row r="27" spans="2:25" x14ac:dyDescent="0.25">
      <c r="B27">
        <v>17440</v>
      </c>
      <c r="C27" s="6">
        <v>43110</v>
      </c>
      <c r="D27" s="54">
        <v>43223</v>
      </c>
      <c r="E27" s="53">
        <v>17565</v>
      </c>
      <c r="F27" s="11">
        <f>electricity_cost311[[#This Row],[ Index (KWh)]]-electricity_cost311[[#This Row],[Original index 
(KWh)]]</f>
        <v>125</v>
      </c>
      <c r="G27" s="6">
        <v>43130</v>
      </c>
      <c r="H27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7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21.5</v>
      </c>
      <c r="J27" s="10">
        <f xml:space="preserve"> (E$6 + electricity_cost311[[#This Row],[Elect. Net cost to date
(TND)]]) * (1 + E$5)</f>
        <v>41.89</v>
      </c>
      <c r="K27" s="12">
        <f>(electricity_cost311[[#This Row],[Elect. Cost  VAT included
(TND)
]]-J26)/_xlfn.DAYS(electricity_cost311[[#This Row],[Date of reading 
(Elect + Gas)]], G26)</f>
        <v>1.014800000000001</v>
      </c>
      <c r="L27" s="12">
        <f>(electricity_cost311[[#This Row],[Consumption to date (KWh)]] - F26)/_xlfn.DAYS(electricity_cost311[[#This Row],[Date of reading 
(Elect + Gas)]], G26)</f>
        <v>5</v>
      </c>
      <c r="M27">
        <v>8661</v>
      </c>
      <c r="P27">
        <v>8838</v>
      </c>
      <c r="Q27" s="11">
        <f>gas_cost10713[[#This Row],[ Index (m3)]] - gas_cost10713[[#This Row],[Original index 
(m3)]]</f>
        <v>177</v>
      </c>
      <c r="R27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2</v>
      </c>
      <c r="S27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51.33</v>
      </c>
      <c r="T27" s="12">
        <f xml:space="preserve"> gas_cost10713[[#This Row],[Gas Net cost to date
(TND)]]* (1 + E$5)</f>
        <v>60.569399999999995</v>
      </c>
      <c r="U27" s="12">
        <f>(gas_cost10713[[#This Row],[Gas Cost to date  VAT included
(TND)
]] - T26)/_xlfn.DAYS(electricity_cost311[[#This Row],[Date of reading 
(Elect + Gas)]], G26)</f>
        <v>2.2585199999999999</v>
      </c>
      <c r="V27" s="12">
        <f>(gas_cost10713[[#This Row],[Consumption (m3)]] - Q26)/_xlfn.DAYS(electricity_cost311[[#This Row],[Date of reading 
(Elect + Gas)]], G26)</f>
        <v>6.6</v>
      </c>
      <c r="W27" s="20">
        <f xml:space="preserve"> E$8 + ((electricity_cost311[[#This Row],[Elect. Net cost to date
(TND)]] + E$6 + gas_cost10713[[#This Row],[Gas Net cost to date
(TND)]] + E$7) * (1 + E$5))</f>
        <v>112.69539999999999</v>
      </c>
      <c r="X27" s="38"/>
    </row>
    <row r="28" spans="2:25" x14ac:dyDescent="0.25">
      <c r="B28">
        <v>17440</v>
      </c>
      <c r="C28" s="6">
        <v>43110</v>
      </c>
      <c r="D28" s="50">
        <v>43223</v>
      </c>
      <c r="E28">
        <v>17579</v>
      </c>
      <c r="F28" s="11">
        <f>electricity_cost311[[#This Row],[ Index (KWh)]]-electricity_cost311[[#This Row],[Original index 
(KWh)]]</f>
        <v>139</v>
      </c>
      <c r="G28" s="6">
        <v>43132</v>
      </c>
      <c r="H28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8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23.908000000000001</v>
      </c>
      <c r="J28" s="10">
        <f xml:space="preserve"> (E$6 + electricity_cost311[[#This Row],[Elect. Net cost to date
(TND)]]) * (1 + E$5)</f>
        <v>44.731439999999999</v>
      </c>
      <c r="K28" s="12">
        <f>(electricity_cost311[[#This Row],[Elect. Cost  VAT included
(TND)
]]-J27)/_xlfn.DAYS(electricity_cost311[[#This Row],[Date of reading 
(Elect + Gas)]], G27)</f>
        <v>1.4207199999999993</v>
      </c>
      <c r="L28" s="12">
        <f>(electricity_cost311[[#This Row],[Consumption to date (KWh)]] - F27)/_xlfn.DAYS(electricity_cost311[[#This Row],[Date of reading 
(Elect + Gas)]], G27)</f>
        <v>7</v>
      </c>
      <c r="M28">
        <v>8661</v>
      </c>
      <c r="P28">
        <v>8860</v>
      </c>
      <c r="Q28" s="11">
        <f>gas_cost10713[[#This Row],[ Index (m3)]] - gas_cost10713[[#This Row],[Original index 
(m3)]]</f>
        <v>199</v>
      </c>
      <c r="R28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2</v>
      </c>
      <c r="S28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57.71</v>
      </c>
      <c r="T28" s="12">
        <f xml:space="preserve"> gas_cost10713[[#This Row],[Gas Net cost to date
(TND)]]* (1 + E$5)</f>
        <v>68.097799999999992</v>
      </c>
      <c r="U28" s="12">
        <f>(gas_cost10713[[#This Row],[Gas Cost to date  VAT included
(TND)
]] - T27)/_xlfn.DAYS(electricity_cost311[[#This Row],[Date of reading 
(Elect + Gas)]], G27)</f>
        <v>3.7641999999999989</v>
      </c>
      <c r="V28" s="12">
        <f>(gas_cost10713[[#This Row],[Consumption (m3)]] - Q27)/_xlfn.DAYS(electricity_cost311[[#This Row],[Date of reading 
(Elect + Gas)]], G27)</f>
        <v>11</v>
      </c>
      <c r="W28" s="20">
        <f xml:space="preserve"> E$8 + ((electricity_cost311[[#This Row],[Elect. Net cost to date
(TND)]] + E$6 + gas_cost10713[[#This Row],[Gas Net cost to date
(TND)]] + E$7) * (1 + E$5))</f>
        <v>123.06523999999999</v>
      </c>
      <c r="X28" s="38"/>
    </row>
    <row r="29" spans="2:25" x14ac:dyDescent="0.25">
      <c r="B29">
        <v>17440</v>
      </c>
      <c r="C29" s="6">
        <v>43110</v>
      </c>
      <c r="D29" s="54">
        <v>43223</v>
      </c>
      <c r="E29">
        <v>17620</v>
      </c>
      <c r="F29" s="11">
        <f>electricity_cost311[[#This Row],[ Index (KWh)]]-electricity_cost311[[#This Row],[Original index 
(KWh)]]</f>
        <v>180</v>
      </c>
      <c r="G29" s="6">
        <v>43138</v>
      </c>
      <c r="H29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29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30.96</v>
      </c>
      <c r="J29" s="10">
        <f xml:space="preserve"> (E$6 + electricity_cost311[[#This Row],[Elect. Net cost to date
(TND)]]) * (1 + E$5)</f>
        <v>53.052799999999998</v>
      </c>
      <c r="K29" s="12">
        <f>(electricity_cost311[[#This Row],[Elect. Cost  VAT included
(TND)
]]-J28)/_xlfn.DAYS(electricity_cost311[[#This Row],[Date of reading 
(Elect + Gas)]], G28)</f>
        <v>1.3868933333333331</v>
      </c>
      <c r="L29" s="12">
        <f>(electricity_cost311[[#This Row],[Consumption to date (KWh)]] - F28)/_xlfn.DAYS(electricity_cost311[[#This Row],[Date of reading 
(Elect + Gas)]], G28)</f>
        <v>6.833333333333333</v>
      </c>
      <c r="M29">
        <v>8661</v>
      </c>
      <c r="P29">
        <v>8921</v>
      </c>
      <c r="Q29" s="11">
        <f>gas_cost10713[[#This Row],[ Index (m3)]] - gas_cost10713[[#This Row],[Original index 
(m3)]]</f>
        <v>260</v>
      </c>
      <c r="R29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3</v>
      </c>
      <c r="S29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97.5</v>
      </c>
      <c r="T29" s="12">
        <f xml:space="preserve"> gas_cost10713[[#This Row],[Gas Net cost to date
(TND)]]* (1 + E$5)</f>
        <v>115.05</v>
      </c>
      <c r="U29" s="12">
        <f>(gas_cost10713[[#This Row],[Gas Cost to date  VAT included
(TND)
]] - T28)/_xlfn.DAYS(electricity_cost311[[#This Row],[Date of reading 
(Elect + Gas)]], G28)</f>
        <v>7.8253666666666675</v>
      </c>
      <c r="V29" s="12">
        <f>(gas_cost10713[[#This Row],[Consumption (m3)]] - Q28)/_xlfn.DAYS(electricity_cost311[[#This Row],[Date of reading 
(Elect + Gas)]], G28)</f>
        <v>10.166666666666666</v>
      </c>
      <c r="W29" s="20">
        <f xml:space="preserve"> E$8 + ((electricity_cost311[[#This Row],[Elect. Net cost to date
(TND)]] + E$6 + gas_cost10713[[#This Row],[Gas Net cost to date
(TND)]] + E$7) * (1 + E$5))</f>
        <v>178.33879999999999</v>
      </c>
      <c r="X29" s="38"/>
    </row>
    <row r="30" spans="2:25" x14ac:dyDescent="0.25">
      <c r="B30">
        <v>17440</v>
      </c>
      <c r="C30" s="6">
        <v>43110</v>
      </c>
      <c r="D30" s="50">
        <v>43223</v>
      </c>
      <c r="E30">
        <v>17626</v>
      </c>
      <c r="F30" s="11">
        <f>electricity_cost311[[#This Row],[ Index (KWh)]]-electricity_cost311[[#This Row],[Original index 
(KWh)]]</f>
        <v>186</v>
      </c>
      <c r="G30" s="6">
        <v>43139</v>
      </c>
      <c r="H30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0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31.992000000000001</v>
      </c>
      <c r="J30" s="10">
        <f xml:space="preserve"> (E$6 + electricity_cost311[[#This Row],[Elect. Net cost to date
(TND)]]) * (1 + E$5)</f>
        <v>54.270560000000003</v>
      </c>
      <c r="K30" s="12">
        <f>(electricity_cost311[[#This Row],[Elect. Cost  VAT included
(TND)
]]-J29)/_xlfn.DAYS(electricity_cost311[[#This Row],[Date of reading 
(Elect + Gas)]], G29)</f>
        <v>1.2177600000000055</v>
      </c>
      <c r="L30" s="12">
        <f>(electricity_cost311[[#This Row],[Consumption to date (KWh)]] - F29)/_xlfn.DAYS(electricity_cost311[[#This Row],[Date of reading 
(Elect + Gas)]], G29)</f>
        <v>6</v>
      </c>
      <c r="M30">
        <v>8661</v>
      </c>
      <c r="P30">
        <v>8932</v>
      </c>
      <c r="Q30" s="11">
        <f>gas_cost10713[[#This Row],[ Index (m3)]] - gas_cost10713[[#This Row],[Original index 
(m3)]]</f>
        <v>271</v>
      </c>
      <c r="R30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3</v>
      </c>
      <c r="S30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101.625</v>
      </c>
      <c r="T30" s="12">
        <f xml:space="preserve"> gas_cost10713[[#This Row],[Gas Net cost to date
(TND)]]* (1 + E$5)</f>
        <v>119.91749999999999</v>
      </c>
      <c r="U30" s="12">
        <f>(gas_cost10713[[#This Row],[Gas Cost to date  VAT included
(TND)
]] - T29)/_xlfn.DAYS(electricity_cost311[[#This Row],[Date of reading 
(Elect + Gas)]], G29)</f>
        <v>4.8674999999999926</v>
      </c>
      <c r="V30" s="12">
        <f>(gas_cost10713[[#This Row],[Consumption (m3)]] - Q29)/_xlfn.DAYS(electricity_cost311[[#This Row],[Date of reading 
(Elect + Gas)]], G29)</f>
        <v>11</v>
      </c>
      <c r="W30" s="20">
        <f xml:space="preserve"> E$8 + ((electricity_cost311[[#This Row],[Elect. Net cost to date
(TND)]] + E$6 + gas_cost10713[[#This Row],[Gas Net cost to date
(TND)]] + E$7) * (1 + E$5))</f>
        <v>184.42406000000003</v>
      </c>
      <c r="X30" s="38"/>
    </row>
    <row r="31" spans="2:25" x14ac:dyDescent="0.25">
      <c r="B31">
        <v>17440</v>
      </c>
      <c r="C31" s="6">
        <v>43110</v>
      </c>
      <c r="D31" s="54">
        <v>43223</v>
      </c>
      <c r="E31">
        <v>17659</v>
      </c>
      <c r="F31" s="11">
        <f>electricity_cost311[[#This Row],[ Index (KWh)]]-electricity_cost311[[#This Row],[Original index 
(KWh)]]</f>
        <v>219</v>
      </c>
      <c r="G31" s="6">
        <v>43144</v>
      </c>
      <c r="H31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1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37.667999999999999</v>
      </c>
      <c r="J31" s="10">
        <f xml:space="preserve"> (E$6 + electricity_cost311[[#This Row],[Elect. Net cost to date
(TND)]]) * (1 + E$5)</f>
        <v>60.968239999999994</v>
      </c>
      <c r="K31" s="12">
        <f>(electricity_cost311[[#This Row],[Elect. Cost  VAT included
(TND)
]]-J30)/_xlfn.DAYS(electricity_cost311[[#This Row],[Date of reading 
(Elect + Gas)]], G30)</f>
        <v>1.3395359999999983</v>
      </c>
      <c r="L31" s="12">
        <f>(electricity_cost311[[#This Row],[Consumption to date (KWh)]] - F30)/_xlfn.DAYS(electricity_cost311[[#This Row],[Date of reading 
(Elect + Gas)]], G30)</f>
        <v>6.6</v>
      </c>
      <c r="M31">
        <v>8661</v>
      </c>
      <c r="P31">
        <v>8987</v>
      </c>
      <c r="Q31" s="11">
        <f>gas_cost10713[[#This Row],[ Index (m3)]] - gas_cost10713[[#This Row],[Original index 
(m3)]]</f>
        <v>326</v>
      </c>
      <c r="R31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3</v>
      </c>
      <c r="S31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122.25</v>
      </c>
      <c r="T31" s="12">
        <f xml:space="preserve"> gas_cost10713[[#This Row],[Gas Net cost to date
(TND)]]* (1 + E$5)</f>
        <v>144.255</v>
      </c>
      <c r="U31" s="12">
        <f>(gas_cost10713[[#This Row],[Gas Cost to date  VAT included
(TND)
]] - T30)/_xlfn.DAYS(electricity_cost311[[#This Row],[Date of reading 
(Elect + Gas)]], G30)</f>
        <v>4.8675000000000015</v>
      </c>
      <c r="V31" s="12">
        <f>(gas_cost10713[[#This Row],[Consumption (m3)]] - Q30)/_xlfn.DAYS(electricity_cost311[[#This Row],[Date of reading 
(Elect + Gas)]], G30)</f>
        <v>11</v>
      </c>
      <c r="W31" s="20">
        <f xml:space="preserve"> E$8 + ((electricity_cost311[[#This Row],[Elect. Net cost to date
(TND)]] + E$6 + gas_cost10713[[#This Row],[Gas Net cost to date
(TND)]] + E$7) * (1 + E$5))</f>
        <v>215.45923999999999</v>
      </c>
      <c r="X31" s="38"/>
    </row>
    <row r="32" spans="2:25" x14ac:dyDescent="0.25">
      <c r="B32">
        <v>17440</v>
      </c>
      <c r="C32" s="6">
        <v>43110</v>
      </c>
      <c r="D32" s="50">
        <v>43223</v>
      </c>
      <c r="E32" s="11">
        <v>17666</v>
      </c>
      <c r="F32" s="11">
        <f>electricity_cost311[[#This Row],[ Index (KWh)]]-electricity_cost311[[#This Row],[Original index 
(KWh)]]</f>
        <v>226</v>
      </c>
      <c r="G32" s="6">
        <v>43145</v>
      </c>
      <c r="H32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2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38.872</v>
      </c>
      <c r="J32" s="10">
        <f xml:space="preserve"> (E$6 + electricity_cost311[[#This Row],[Elect. Net cost to date
(TND)]]) * (1 + E$5)</f>
        <v>62.388959999999997</v>
      </c>
      <c r="K32" s="12">
        <f>(electricity_cost311[[#This Row],[Elect. Cost  VAT included
(TND)
]]-J31)/_xlfn.DAYS(electricity_cost311[[#This Row],[Date of reading 
(Elect + Gas)]], G31)</f>
        <v>1.4207200000000029</v>
      </c>
      <c r="L32" s="12">
        <f>(electricity_cost311[[#This Row],[Consumption to date (KWh)]] - F31)/_xlfn.DAYS(electricity_cost311[[#This Row],[Date of reading 
(Elect + Gas)]], G31)</f>
        <v>7</v>
      </c>
      <c r="M32">
        <v>8661</v>
      </c>
      <c r="P32">
        <v>9001</v>
      </c>
      <c r="Q32" s="11">
        <f>gas_cost10713[[#This Row],[ Index (m3)]] - gas_cost10713[[#This Row],[Original index 
(m3)]]</f>
        <v>340</v>
      </c>
      <c r="R32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3</v>
      </c>
      <c r="S32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127.5</v>
      </c>
      <c r="T32" s="12">
        <f xml:space="preserve"> gas_cost10713[[#This Row],[Gas Net cost to date
(TND)]]* (1 + E$5)</f>
        <v>150.44999999999999</v>
      </c>
      <c r="U32" s="12">
        <f>(gas_cost10713[[#This Row],[Gas Cost to date  VAT included
(TND)
]] - T31)/_xlfn.DAYS(electricity_cost311[[#This Row],[Date of reading 
(Elect + Gas)]], G31)</f>
        <v>6.1949999999999932</v>
      </c>
      <c r="V32" s="12">
        <f>(gas_cost10713[[#This Row],[Consumption (m3)]] - Q31)/_xlfn.DAYS(electricity_cost311[[#This Row],[Date of reading 
(Elect + Gas)]], G31)</f>
        <v>14</v>
      </c>
      <c r="W32" s="20">
        <f xml:space="preserve"> E$8 + ((electricity_cost311[[#This Row],[Elect. Net cost to date
(TND)]] + E$6 + gas_cost10713[[#This Row],[Gas Net cost to date
(TND)]] + E$7) * (1 + E$5))</f>
        <v>223.07496</v>
      </c>
      <c r="X32" s="38"/>
    </row>
    <row r="33" spans="2:24" x14ac:dyDescent="0.25">
      <c r="B33">
        <v>17440</v>
      </c>
      <c r="C33" s="6">
        <v>43110</v>
      </c>
      <c r="D33" s="54">
        <v>43223</v>
      </c>
      <c r="E33" s="11">
        <v>17702</v>
      </c>
      <c r="F33" s="11">
        <f>electricity_cost311[[#This Row],[ Index (KWh)]]-electricity_cost311[[#This Row],[Original index 
(KWh)]]</f>
        <v>262</v>
      </c>
      <c r="G33" s="6">
        <v>43151</v>
      </c>
      <c r="H33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3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45.064</v>
      </c>
      <c r="J33" s="10">
        <f xml:space="preserve"> (E$6 + electricity_cost311[[#This Row],[Elect. Net cost to date
(TND)]]) * (1 + E$5)</f>
        <v>69.695520000000002</v>
      </c>
      <c r="K33" s="12">
        <f>(electricity_cost311[[#This Row],[Elect. Cost  VAT included
(TND)
]]-J32)/_xlfn.DAYS(electricity_cost311[[#This Row],[Date of reading 
(Elect + Gas)]], G32)</f>
        <v>1.2177600000000008</v>
      </c>
      <c r="L33" s="12">
        <f>(electricity_cost311[[#This Row],[Consumption to date (KWh)]] - F32)/_xlfn.DAYS(electricity_cost311[[#This Row],[Date of reading 
(Elect + Gas)]], G32)</f>
        <v>6</v>
      </c>
      <c r="M33">
        <v>8661</v>
      </c>
      <c r="P33">
        <v>9071</v>
      </c>
      <c r="Q33" s="11">
        <f>gas_cost10713[[#This Row],[ Index (m3)]] - gas_cost10713[[#This Row],[Original index 
(m3)]]</f>
        <v>410</v>
      </c>
      <c r="R33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3</v>
      </c>
      <c r="S33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153.75</v>
      </c>
      <c r="T33" s="12">
        <f xml:space="preserve"> gas_cost10713[[#This Row],[Gas Net cost to date
(TND)]]* (1 + E$5)</f>
        <v>181.42499999999998</v>
      </c>
      <c r="U33" s="12">
        <f>(gas_cost10713[[#This Row],[Gas Cost to date  VAT included
(TND)
]] - T32)/_xlfn.DAYS(electricity_cost311[[#This Row],[Date of reading 
(Elect + Gas)]], G32)</f>
        <v>5.1624999999999988</v>
      </c>
      <c r="V33" s="12">
        <f>(gas_cost10713[[#This Row],[Consumption (m3)]] - Q32)/_xlfn.DAYS(electricity_cost311[[#This Row],[Date of reading 
(Elect + Gas)]], G32)</f>
        <v>11.666666666666666</v>
      </c>
      <c r="W33" s="20">
        <f xml:space="preserve"> E$8 + ((electricity_cost311[[#This Row],[Elect. Net cost to date
(TND)]] + E$6 + gas_cost10713[[#This Row],[Gas Net cost to date
(TND)]] + E$7) * (1 + E$5))</f>
        <v>261.35651999999999</v>
      </c>
      <c r="X33" s="38"/>
    </row>
    <row r="34" spans="2:24" x14ac:dyDescent="0.25">
      <c r="B34">
        <v>17440</v>
      </c>
      <c r="C34" s="6">
        <v>43110</v>
      </c>
      <c r="D34" s="54">
        <v>43223</v>
      </c>
      <c r="E34">
        <v>17894</v>
      </c>
      <c r="F34" s="11">
        <f>electricity_cost311[[#This Row],[ Index (KWh)]]-electricity_cost311[[#This Row],[Original index 
(KWh)]]</f>
        <v>454</v>
      </c>
      <c r="G34" s="6">
        <v>43180</v>
      </c>
      <c r="H34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4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78.087999999999994</v>
      </c>
      <c r="J34" s="10">
        <f xml:space="preserve"> (E$6 + electricity_cost311[[#This Row],[Elect. Net cost to date
(TND)]]) * (1 + E$5)</f>
        <v>108.66383999999999</v>
      </c>
      <c r="K34" s="12">
        <f>(electricity_cost311[[#This Row],[Elect. Cost  VAT included
(TND)
]]-J33)/_xlfn.DAYS(electricity_cost311[[#This Row],[Date of reading 
(Elect + Gas)]], G33)</f>
        <v>1.3437351724137927</v>
      </c>
      <c r="L34" s="12">
        <f>(electricity_cost311[[#This Row],[Consumption to date (KWh)]] - F33)/_xlfn.DAYS(electricity_cost311[[#This Row],[Date of reading 
(Elect + Gas)]], G33)</f>
        <v>6.6206896551724137</v>
      </c>
      <c r="M34">
        <v>8661</v>
      </c>
      <c r="P34">
        <v>9320</v>
      </c>
      <c r="Q34" s="11">
        <f>gas_cost10713[[#This Row],[ Index (m3)]] - gas_cost10713[[#This Row],[Original index 
(m3)]]</f>
        <v>659</v>
      </c>
      <c r="R34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4</v>
      </c>
      <c r="S34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289.30099999999999</v>
      </c>
      <c r="T34" s="12">
        <f xml:space="preserve"> gas_cost10713[[#This Row],[Gas Net cost to date
(TND)]]* (1 + E$5)</f>
        <v>341.37517999999994</v>
      </c>
      <c r="U34" s="12">
        <f>(gas_cost10713[[#This Row],[Gas Cost to date  VAT included
(TND)
]] - T33)/_xlfn.DAYS(electricity_cost311[[#This Row],[Date of reading 
(Elect + Gas)]], G33)</f>
        <v>5.5155234482758608</v>
      </c>
      <c r="V34" s="12">
        <f>(gas_cost10713[[#This Row],[Consumption (m3)]] - Q33)/_xlfn.DAYS(electricity_cost311[[#This Row],[Date of reading 
(Elect + Gas)]], G33)</f>
        <v>8.5862068965517242</v>
      </c>
      <c r="W34" s="20">
        <f xml:space="preserve"> E$8 + ((electricity_cost311[[#This Row],[Elect. Net cost to date
(TND)]] + E$6 + gas_cost10713[[#This Row],[Gas Net cost to date
(TND)]] + E$7) * (1 + E$5))</f>
        <v>460.27501999999998</v>
      </c>
      <c r="X34" s="38"/>
    </row>
    <row r="35" spans="2:24" x14ac:dyDescent="0.25">
      <c r="B35">
        <v>17440</v>
      </c>
      <c r="C35" s="6">
        <v>43110</v>
      </c>
      <c r="D35" s="54">
        <v>43223</v>
      </c>
      <c r="E35">
        <v>17990</v>
      </c>
      <c r="F35" s="11">
        <f>electricity_cost311[[#This Row],[ Index (KWh)]]-electricity_cost311[[#This Row],[Original index 
(KWh)]]</f>
        <v>550</v>
      </c>
      <c r="G35" s="6">
        <v>43197</v>
      </c>
      <c r="H35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5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94.6</v>
      </c>
      <c r="J35" s="10">
        <f xml:space="preserve"> (E$6 + electricity_cost311[[#This Row],[Elect. Net cost to date
(TND)]]) * (1 + E$5)</f>
        <v>128.148</v>
      </c>
      <c r="K35" s="12">
        <f>(electricity_cost311[[#This Row],[Elect. Cost  VAT included
(TND)
]]-J34)/_xlfn.DAYS(electricity_cost311[[#This Row],[Date of reading 
(Elect + Gas)]], G34)</f>
        <v>1.1461270588235295</v>
      </c>
      <c r="L35" s="12">
        <f>(electricity_cost311[[#This Row],[Consumption to date (KWh)]] - F34)/_xlfn.DAYS(electricity_cost311[[#This Row],[Date of reading 
(Elect + Gas)]], G34)</f>
        <v>5.6470588235294121</v>
      </c>
      <c r="M35">
        <v>8661</v>
      </c>
      <c r="P35">
        <v>9450</v>
      </c>
      <c r="Q35" s="11">
        <f>gas_cost10713[[#This Row],[ Index (m3)]] - gas_cost10713[[#This Row],[Original index 
(m3)]]</f>
        <v>789</v>
      </c>
      <c r="R35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4</v>
      </c>
      <c r="S35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346.37099999999998</v>
      </c>
      <c r="T35" s="12">
        <f xml:space="preserve"> gas_cost10713[[#This Row],[Gas Net cost to date
(TND)]]* (1 + E$5)</f>
        <v>408.71777999999995</v>
      </c>
      <c r="U35" s="12">
        <f>(gas_cost10713[[#This Row],[Gas Cost to date  VAT included
(TND)
]] - T34)/_xlfn.DAYS(electricity_cost311[[#This Row],[Date of reading 
(Elect + Gas)]], G34)</f>
        <v>3.961329411764706</v>
      </c>
      <c r="V35" s="12">
        <f>(gas_cost10713[[#This Row],[Consumption (m3)]] - Q34)/_xlfn.DAYS(electricity_cost311[[#This Row],[Date of reading 
(Elect + Gas)]], G34)</f>
        <v>7.6470588235294121</v>
      </c>
      <c r="W35" s="20">
        <f xml:space="preserve"> E$8 + ((electricity_cost311[[#This Row],[Elect. Net cost to date
(TND)]] + E$6 + gas_cost10713[[#This Row],[Gas Net cost to date
(TND)]] + E$7) * (1 + E$5))</f>
        <v>547.10177999999996</v>
      </c>
      <c r="X35" s="38"/>
    </row>
    <row r="36" spans="2:24" x14ac:dyDescent="0.25">
      <c r="B36">
        <v>17440</v>
      </c>
      <c r="C36" s="6">
        <v>43110</v>
      </c>
      <c r="D36" s="54">
        <v>43223</v>
      </c>
      <c r="E36">
        <v>17993</v>
      </c>
      <c r="F36" s="11">
        <f>electricity_cost311[[#This Row],[ Index (KWh)]]-electricity_cost311[[#This Row],[Original index 
(KWh)]]</f>
        <v>553</v>
      </c>
      <c r="G36" s="6">
        <v>43198</v>
      </c>
      <c r="H36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6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95.116</v>
      </c>
      <c r="J36" s="10">
        <f xml:space="preserve"> (E$6 + electricity_cost311[[#This Row],[Elect. Net cost to date
(TND)]]) * (1 + E$5)</f>
        <v>128.75688</v>
      </c>
      <c r="K36" s="12">
        <f>(electricity_cost311[[#This Row],[Elect. Cost  VAT included
(TND)
]]-J35)/_xlfn.DAYS(electricity_cost311[[#This Row],[Date of reading 
(Elect + Gas)]], G35)</f>
        <v>0.6088799999999992</v>
      </c>
      <c r="L36" s="12">
        <f>(electricity_cost311[[#This Row],[Consumption to date (KWh)]] - F35)/_xlfn.DAYS(electricity_cost311[[#This Row],[Date of reading 
(Elect + Gas)]], G35)</f>
        <v>3</v>
      </c>
      <c r="M36">
        <v>8661</v>
      </c>
      <c r="P36">
        <v>9451</v>
      </c>
      <c r="Q36" s="11">
        <f>gas_cost10713[[#This Row],[ Index (m3)]] - gas_cost10713[[#This Row],[Original index 
(m3)]]</f>
        <v>790</v>
      </c>
      <c r="R36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4</v>
      </c>
      <c r="S36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346.81</v>
      </c>
      <c r="T36" s="12">
        <f xml:space="preserve"> gas_cost10713[[#This Row],[Gas Net cost to date
(TND)]]* (1 + E$5)</f>
        <v>409.23579999999998</v>
      </c>
      <c r="U36" s="12">
        <f>(gas_cost10713[[#This Row],[Gas Cost to date  VAT included
(TND)
]] - T35)/_xlfn.DAYS(electricity_cost311[[#This Row],[Date of reading 
(Elect + Gas)]], G35)</f>
        <v>0.51802000000003545</v>
      </c>
      <c r="V36" s="12">
        <f>(gas_cost10713[[#This Row],[Consumption (m3)]] - Q35)/_xlfn.DAYS(electricity_cost311[[#This Row],[Date of reading 
(Elect + Gas)]], G35)</f>
        <v>1</v>
      </c>
      <c r="W36" s="20">
        <f xml:space="preserve"> E$8 + ((electricity_cost311[[#This Row],[Elect. Net cost to date
(TND)]] + E$6 + gas_cost10713[[#This Row],[Gas Net cost to date
(TND)]] + E$7) * (1 + E$5))</f>
        <v>548.22867999999994</v>
      </c>
      <c r="X36" s="38"/>
    </row>
    <row r="37" spans="2:24" x14ac:dyDescent="0.25">
      <c r="B37">
        <v>17440</v>
      </c>
      <c r="C37" s="6">
        <v>43110</v>
      </c>
      <c r="D37" s="54">
        <v>43223</v>
      </c>
      <c r="E37">
        <v>18026</v>
      </c>
      <c r="F37" s="11">
        <f>electricity_cost311[[#This Row],[ Index (KWh)]]-electricity_cost311[[#This Row],[Original index 
(KWh)]]</f>
        <v>586</v>
      </c>
      <c r="G37" s="6">
        <v>43204</v>
      </c>
      <c r="H37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7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100.792</v>
      </c>
      <c r="J37" s="12">
        <f xml:space="preserve"> (E$6 + electricity_cost311[[#This Row],[Elect. Net cost to date
(TND)]]) * (1 + E$5)</f>
        <v>135.45455999999999</v>
      </c>
      <c r="K37" s="12">
        <f>(electricity_cost311[[#This Row],[Elect. Cost  VAT included
(TND)
]]-J36)/_xlfn.DAYS(electricity_cost311[[#This Row],[Date of reading 
(Elect + Gas)]], G36)</f>
        <v>1.1162799999999986</v>
      </c>
      <c r="L37" s="12">
        <f>(electricity_cost311[[#This Row],[Consumption to date (KWh)]] - F36)/_xlfn.DAYS(electricity_cost311[[#This Row],[Date of reading 
(Elect + Gas)]], G36)</f>
        <v>5.5</v>
      </c>
      <c r="M37">
        <v>8661</v>
      </c>
      <c r="P37">
        <v>9481</v>
      </c>
      <c r="Q37" s="11">
        <f>gas_cost10713[[#This Row],[ Index (m3)]] - gas_cost10713[[#This Row],[Original index 
(m3)]]</f>
        <v>820</v>
      </c>
      <c r="R37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4</v>
      </c>
      <c r="S37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359.98</v>
      </c>
      <c r="T37" s="12">
        <f xml:space="preserve"> gas_cost10713[[#This Row],[Gas Net cost to date
(TND)]]* (1 + E$5)</f>
        <v>424.77640000000002</v>
      </c>
      <c r="U37" s="12">
        <f>(gas_cost10713[[#This Row],[Gas Cost to date  VAT included
(TND)
]] - T36)/_xlfn.DAYS(electricity_cost311[[#This Row],[Date of reading 
(Elect + Gas)]], G36)</f>
        <v>2.5901000000000067</v>
      </c>
      <c r="V37" s="12">
        <f>(gas_cost10713[[#This Row],[Consumption (m3)]] - Q36)/_xlfn.DAYS(electricity_cost311[[#This Row],[Date of reading 
(Elect + Gas)]], G36)</f>
        <v>5</v>
      </c>
      <c r="W37" s="20">
        <f xml:space="preserve"> E$8 + ((electricity_cost311[[#This Row],[Elect. Net cost to date
(TND)]] + E$6 + gas_cost10713[[#This Row],[Gas Net cost to date
(TND)]] + E$7) * (1 + E$5))</f>
        <v>570.46695999999997</v>
      </c>
      <c r="X37" s="38"/>
    </row>
    <row r="38" spans="2:24" x14ac:dyDescent="0.25">
      <c r="B38">
        <v>17440</v>
      </c>
      <c r="C38" s="6">
        <v>43110</v>
      </c>
      <c r="D38" s="54">
        <v>43223</v>
      </c>
      <c r="E38">
        <v>18051</v>
      </c>
      <c r="F38" s="11">
        <f>electricity_cost311[[#This Row],[ Index (KWh)]]-electricity_cost311[[#This Row],[Original index 
(KWh)]]</f>
        <v>611</v>
      </c>
      <c r="G38" s="6">
        <v>43209</v>
      </c>
      <c r="H38" s="21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8" s="12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105.092</v>
      </c>
      <c r="J38" s="10">
        <f xml:space="preserve"> (E$6 + electricity_cost311[[#This Row],[Elect. Net cost to date
(TND)]]) * (1 + E$5)</f>
        <v>140.52856</v>
      </c>
      <c r="K38" s="12">
        <f>(electricity_cost311[[#This Row],[Elect. Cost  VAT included
(TND)
]]-J37)/_xlfn.DAYS(electricity_cost311[[#This Row],[Date of reading 
(Elect + Gas)]], G37)</f>
        <v>1.0148000000000024</v>
      </c>
      <c r="L38" s="12">
        <f>(electricity_cost311[[#This Row],[Consumption to date (KWh)]] - F37)/_xlfn.DAYS(electricity_cost311[[#This Row],[Date of reading 
(Elect + Gas)]], G37)</f>
        <v>5</v>
      </c>
      <c r="M38">
        <v>8661</v>
      </c>
      <c r="P38">
        <v>9489</v>
      </c>
      <c r="Q38" s="11">
        <f>gas_cost10713[[#This Row],[ Index (m3)]] - gas_cost10713[[#This Row],[Original index 
(m3)]]</f>
        <v>828</v>
      </c>
      <c r="R38" s="11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4</v>
      </c>
      <c r="S38" s="12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363.49200000000002</v>
      </c>
      <c r="T38" s="12">
        <f xml:space="preserve"> gas_cost10713[[#This Row],[Gas Net cost to date
(TND)]]* (1 + E$5)</f>
        <v>428.92056000000002</v>
      </c>
      <c r="U38" s="12">
        <f>(gas_cost10713[[#This Row],[Gas Cost to date  VAT included
(TND)
]] - T37)/_xlfn.DAYS(electricity_cost311[[#This Row],[Date of reading 
(Elect + Gas)]], G37)</f>
        <v>0.8288319999999999</v>
      </c>
      <c r="V38" s="12">
        <f>(gas_cost10713[[#This Row],[Consumption (m3)]] - Q37)/_xlfn.DAYS(electricity_cost311[[#This Row],[Date of reading 
(Elect + Gas)]], G37)</f>
        <v>1.6</v>
      </c>
      <c r="W38" s="20">
        <f xml:space="preserve"> E$8 + ((electricity_cost311[[#This Row],[Elect. Net cost to date
(TND)]] + E$6 + gas_cost10713[[#This Row],[Gas Net cost to date
(TND)]] + E$7) * (1 + E$5))</f>
        <v>579.68511999999998</v>
      </c>
      <c r="X38" s="38"/>
    </row>
    <row r="39" spans="2:24" x14ac:dyDescent="0.25">
      <c r="B39" s="9">
        <v>17440</v>
      </c>
      <c r="C39" s="41">
        <v>43110</v>
      </c>
      <c r="D39" s="56">
        <v>43223</v>
      </c>
      <c r="E39" s="9">
        <v>18116</v>
      </c>
      <c r="F39" s="42">
        <f>electricity_cost311[[#This Row],[ Index (KWh)]]-electricity_cost311[[#This Row],[Original index 
(KWh)]]</f>
        <v>676</v>
      </c>
      <c r="G39" s="41">
        <v>43223</v>
      </c>
      <c r="H39" s="43">
        <f xml:space="preserve"> _xlfn.IFS(electricity_cost311[[#This Row],[Consumption to date (KWh)]] &lt;= K$4, 1, AND(K$4 &lt; electricity_cost311[[#This Row],[Consumption to date (KWh)]],  electricity_cost311[[#This Row],[Consumption to date (KWh)]]&lt;= K$5), 2, AND(K$5 &lt; electricity_cost311[[#This Row],[Consumption to date (KWh)]],  electricity_cost311[[#This Row],[Consumption to date (KWh)]]&lt;= K$6), 3, electricity_cost311[[#This Row],[Consumption to date (KWh)]] &gt; K$6, 4)</f>
        <v>1</v>
      </c>
      <c r="I39" s="45">
        <f>_xlfn.IFS(electricity_cost311[[#This Row],[Level (Elect)]]= 1, (electricity_cost311[[#This Row],[Consumption to date (KWh)]] * L$4)/1000, electricity_cost311[[#This Row],[Level (Elect)]] = 2, (K$4 * L$4 +((electricity_cost311[[#This Row],[Consumption to date (KWh)]] - K$4) * L$5))/1000,electricity_cost311[[#This Row],[Level (Elect)]] = 3, (K$4 * L$4 + (K$5-J$5) * L$5 + ((electricity_cost311[[#This Row],[Consumption to date (KWh)]] - K$5) * L$6))/1000, electricity_cost311[[#This Row],[Level (Elect)]] = 4, (K$4 * L$4 + (K$5-J$5) * L$5 + (K$6-J$6) * L$6 + ((electricity_cost311[[#This Row],[Consumption to date (KWh)]] - K$6) * L$7))/1000)</f>
        <v>116.27200000000001</v>
      </c>
      <c r="J39" s="44">
        <f xml:space="preserve"> (E$6 + electricity_cost311[[#This Row],[Elect. Net cost to date
(TND)]]) * (1 + E$5)</f>
        <v>153.72095999999999</v>
      </c>
      <c r="K39" s="45">
        <f>(electricity_cost311[[#This Row],[Elect. Cost  VAT included
(TND)
]]-J38)/_xlfn.DAYS(electricity_cost311[[#This Row],[Date of reading 
(Elect + Gas)]], G38)</f>
        <v>0.9423142857142851</v>
      </c>
      <c r="L39" s="45">
        <f>(electricity_cost311[[#This Row],[Consumption to date (KWh)]] - F38)/_xlfn.DAYS(electricity_cost311[[#This Row],[Date of reading 
(Elect + Gas)]], G38)</f>
        <v>4.6428571428571432</v>
      </c>
      <c r="M39" s="9">
        <v>8661</v>
      </c>
      <c r="N39" s="9"/>
      <c r="O39" s="9"/>
      <c r="P39" s="9">
        <v>9506</v>
      </c>
      <c r="Q39" s="42">
        <f>gas_cost10713[[#This Row],[ Index (m3)]] - gas_cost10713[[#This Row],[Original index 
(m3)]]</f>
        <v>845</v>
      </c>
      <c r="R39" s="42">
        <f xml:space="preserve"> _xlfn.IFS(gas_cost10713[[#This Row],[Consumption (m3)]] &lt;= R$4, 1, AND(R$4 &lt; gas_cost10713[[#This Row],[Consumption (m3)]], gas_cost10713[[#This Row],[Consumption (m3)]] &lt;= R$5), 2, AND(R$5 &lt; gas_cost10713[[#This Row],[Consumption (m3)]], gas_cost10713[[#This Row],[Consumption (m3)]] &lt;= R$6), 3, gas_cost10713[[#This Row],[Consumption (m3)]] &gt; R$6, 4)</f>
        <v>4</v>
      </c>
      <c r="S39" s="45">
        <f>_xlfn.IFS(gas_cost10713[[#This Row],[Level (Gas)]]= 1, (gas_cost10713[[#This Row],[Consumption (m3)]] * S$4)/1000, gas_cost10713[[#This Row],[Level (Gas)]] = 2, (gas_cost10713[[#This Row],[Consumption (m3)]] * S$5)/1000,gas_cost10713[[#This Row],[Level (Gas)]] = 3, (gas_cost10713[[#This Row],[Consumption (m3)]] * S$6)/1000, gas_cost10713[[#This Row],[Level (Gas)]] = 4, (gas_cost10713[[#This Row],[Consumption (m3)]] * S$7)/1000)</f>
        <v>370.95499999999998</v>
      </c>
      <c r="T39" s="45">
        <f xml:space="preserve"> gas_cost10713[[#This Row],[Gas Net cost to date
(TND)]]* (1 + E$5)</f>
        <v>437.72689999999994</v>
      </c>
      <c r="U39" s="45">
        <f>(gas_cost10713[[#This Row],[Gas Cost to date  VAT included
(TND)
]] - T38)/_xlfn.DAYS(electricity_cost311[[#This Row],[Date of reading 
(Elect + Gas)]], G38)</f>
        <v>0.62902428571428004</v>
      </c>
      <c r="V39" s="45">
        <f>(gas_cost10713[[#This Row],[Consumption (m3)]] - Q38)/_xlfn.DAYS(electricity_cost311[[#This Row],[Date of reading 
(Elect + Gas)]], G38)</f>
        <v>1.2142857142857142</v>
      </c>
      <c r="W39" s="47">
        <f xml:space="preserve"> E$8 + ((electricity_cost311[[#This Row],[Elect. Net cost to date
(TND)]] + E$6 + gas_cost10713[[#This Row],[Gas Net cost to date
(TND)]] + E$7) * (1 + E$5))</f>
        <v>601.68385999999987</v>
      </c>
      <c r="X39" s="47">
        <v>598</v>
      </c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Y38"/>
  <sheetViews>
    <sheetView topLeftCell="J32" zoomScale="85" zoomScaleNormal="85" workbookViewId="0">
      <selection activeCell="Y35" sqref="Y35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5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33.1406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43346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290</v>
      </c>
      <c r="U5" s="19">
        <v>43346</v>
      </c>
      <c r="V5" s="19"/>
      <c r="W5">
        <v>500</v>
      </c>
      <c r="X5">
        <v>1500</v>
      </c>
    </row>
    <row r="6" spans="2:24" x14ac:dyDescent="0.25">
      <c r="D6" s="16" t="s">
        <v>14</v>
      </c>
      <c r="E6" s="14">
        <v>14</v>
      </c>
      <c r="I6">
        <v>3</v>
      </c>
      <c r="J6">
        <v>1201</v>
      </c>
      <c r="K6">
        <v>2000</v>
      </c>
      <c r="L6">
        <v>290</v>
      </c>
      <c r="P6">
        <v>3</v>
      </c>
      <c r="Q6">
        <v>1</v>
      </c>
      <c r="R6">
        <v>600</v>
      </c>
      <c r="S6">
        <v>375</v>
      </c>
    </row>
    <row r="7" spans="2:24" x14ac:dyDescent="0.25">
      <c r="D7" s="16" t="s">
        <v>15</v>
      </c>
      <c r="E7" s="14">
        <v>2</v>
      </c>
      <c r="I7">
        <v>4</v>
      </c>
      <c r="J7">
        <v>2001</v>
      </c>
      <c r="L7">
        <v>355</v>
      </c>
      <c r="P7">
        <v>4</v>
      </c>
      <c r="Q7">
        <v>1</v>
      </c>
      <c r="S7">
        <v>439</v>
      </c>
    </row>
    <row r="8" spans="2:24" x14ac:dyDescent="0.25">
      <c r="D8" s="16" t="s">
        <v>12</v>
      </c>
      <c r="E8" s="14">
        <v>7.8760000000000003</v>
      </c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INDEX(electricity_cost3114[Elect. Net cost to date
(TND)], COUNTA(I18:I32), 1) + E6</f>
        <v>219.90199999999999</v>
      </c>
      <c r="G10" s="67" t="s">
        <v>38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58</v>
      </c>
      <c r="I11" s="33" t="s">
        <v>57</v>
      </c>
      <c r="J11" s="33" t="s">
        <v>56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1200</v>
      </c>
      <c r="I12" s="34">
        <v>126</v>
      </c>
      <c r="J12" s="51">
        <v>320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1500</v>
      </c>
      <c r="I13" s="35">
        <v>170</v>
      </c>
      <c r="J13" s="52">
        <v>445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 t="s">
        <v>55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>
        <v>18118</v>
      </c>
      <c r="C18" s="6">
        <v>43223</v>
      </c>
      <c r="D18" s="54">
        <v>43346</v>
      </c>
      <c r="E18">
        <v>18118</v>
      </c>
      <c r="F18" s="11">
        <f>electricity_cost3114[[#This Row],[ Index (KWh)]]-electricity_cost3114[[#This Row],[Original index 
(KWh)]]</f>
        <v>0</v>
      </c>
      <c r="G18" s="6">
        <v>43223</v>
      </c>
      <c r="H18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18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0</v>
      </c>
      <c r="J18" s="10">
        <f xml:space="preserve"> (E$6 + electricity_cost3114[[#This Row],[Elect. Net cost to date
(TND)]]) * (1 + E$5)</f>
        <v>16.52</v>
      </c>
      <c r="K18" s="12"/>
      <c r="L18" s="12"/>
      <c r="M18">
        <v>9506</v>
      </c>
      <c r="P18">
        <v>9506</v>
      </c>
      <c r="Q18" s="11">
        <f>gas_cost107135[[#This Row],[ Index (m3)]] - gas_cost107135[[#This Row],[Original index 
(m3)]]</f>
        <v>0</v>
      </c>
      <c r="R18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18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0</v>
      </c>
      <c r="T18" s="12">
        <f xml:space="preserve"> gas_cost107135[[#This Row],[Gas Net cost to date
(TND)]]* (1 + E$5)</f>
        <v>0</v>
      </c>
      <c r="U18" s="12"/>
      <c r="V18" s="12"/>
      <c r="W18" s="20">
        <f xml:space="preserve"> E$8 + ((electricity_cost3114[[#This Row],[Elect. Net cost to date
(TND)]] + E$6 + gas_cost107135[[#This Row],[Gas Net cost to date
(TND)]] + E$7) * (1 + E$5))</f>
        <v>26.756</v>
      </c>
      <c r="X18" s="38"/>
      <c r="Y18" s="37"/>
    </row>
    <row r="19" spans="2:25" x14ac:dyDescent="0.25">
      <c r="B19">
        <v>18118</v>
      </c>
      <c r="C19" s="6">
        <v>43223</v>
      </c>
      <c r="D19" s="54">
        <v>43346</v>
      </c>
      <c r="E19">
        <v>18121</v>
      </c>
      <c r="F19" s="11">
        <f>electricity_cost3114[[#This Row],[ Index (KWh)]]-electricity_cost3114[[#This Row],[Original index 
(KWh)]]</f>
        <v>3</v>
      </c>
      <c r="G19" s="6">
        <v>43225</v>
      </c>
      <c r="H19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19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0.54300000000000004</v>
      </c>
      <c r="J19" s="10">
        <f xml:space="preserve"> (E$6 + electricity_cost3114[[#This Row],[Elect. Net cost to date
(TND)]]) * (1 + E$5)</f>
        <v>17.160739999999997</v>
      </c>
      <c r="K19" s="12">
        <f>(electricity_cost3114[[#This Row],[Elect. Cost  VAT included
(TND)
]]-J18)/_xlfn.DAYS(electricity_cost3114[[#This Row],[Date of reading 
(Elect + Gas)]], G18)</f>
        <v>0.32036999999999871</v>
      </c>
      <c r="L19" s="12">
        <f>(electricity_cost3114[[#This Row],[Consumption to date (KWh)]] - F18)/_xlfn.DAYS(electricity_cost3114[[#This Row],[Date of reading 
(Elect + Gas)]], G18)</f>
        <v>1.5</v>
      </c>
      <c r="M19">
        <v>9506</v>
      </c>
      <c r="P19">
        <v>9510</v>
      </c>
      <c r="Q19" s="11">
        <f>gas_cost107135[[#This Row],[ Index (m3)]] - gas_cost107135[[#This Row],[Original index 
(m3)]]</f>
        <v>4</v>
      </c>
      <c r="R19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19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0.92400000000000004</v>
      </c>
      <c r="T19" s="12">
        <f xml:space="preserve"> gas_cost107135[[#This Row],[Gas Net cost to date
(TND)]]* (1 + E$5)</f>
        <v>1.09032</v>
      </c>
      <c r="U19" s="12">
        <f>(gas_cost107135[[#This Row],[Gas Cost to date  VAT included
(TND)
]] - T18)/_xlfn.DAYS(electricity_cost3114[[#This Row],[Date of reading 
(Elect + Gas)]], G18)</f>
        <v>0.54515999999999998</v>
      </c>
      <c r="V19" s="12">
        <f>(gas_cost107135[[#This Row],[Consumption (m3)]] - Q18)/_xlfn.DAYS(electricity_cost3114[[#This Row],[Date of reading 
(Elect + Gas)]], G18)</f>
        <v>2</v>
      </c>
      <c r="W19" s="20">
        <f xml:space="preserve"> E$8 + ((electricity_cost3114[[#This Row],[Elect. Net cost to date
(TND)]] + E$6 + gas_cost107135[[#This Row],[Gas Net cost to date
(TND)]] + E$7) * (1 + E$5))</f>
        <v>28.48706</v>
      </c>
      <c r="X19" s="38"/>
    </row>
    <row r="20" spans="2:25" x14ac:dyDescent="0.25">
      <c r="B20">
        <v>18118</v>
      </c>
      <c r="C20" s="6">
        <v>43223</v>
      </c>
      <c r="D20" s="54">
        <v>43346</v>
      </c>
      <c r="E20">
        <v>18186</v>
      </c>
      <c r="F20" s="11">
        <f>electricity_cost3114[[#This Row],[ Index (KWh)]]-electricity_cost3114[[#This Row],[Original index 
(KWh)]]</f>
        <v>68</v>
      </c>
      <c r="G20" s="6">
        <v>43237</v>
      </c>
      <c r="H20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0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12.308</v>
      </c>
      <c r="J20" s="10">
        <f xml:space="preserve"> (E$6 + electricity_cost3114[[#This Row],[Elect. Net cost to date
(TND)]]) * (1 + E$5)</f>
        <v>31.043439999999997</v>
      </c>
      <c r="K20" s="12">
        <f>(electricity_cost3114[[#This Row],[Elect. Cost  VAT included
(TND)
]]-J19)/_xlfn.DAYS(electricity_cost3114[[#This Row],[Date of reading 
(Elect + Gas)]], G19)</f>
        <v>1.1568916666666667</v>
      </c>
      <c r="L20" s="12">
        <f>(electricity_cost3114[[#This Row],[Consumption to date (KWh)]] - F19)/_xlfn.DAYS(electricity_cost3114[[#This Row],[Date of reading 
(Elect + Gas)]], G19)</f>
        <v>5.416666666666667</v>
      </c>
      <c r="M20">
        <v>9506</v>
      </c>
      <c r="P20">
        <v>9522</v>
      </c>
      <c r="Q20" s="11">
        <f>gas_cost107135[[#This Row],[ Index (m3)]] - gas_cost107135[[#This Row],[Original index 
(m3)]]</f>
        <v>16</v>
      </c>
      <c r="R20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0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3.6960000000000002</v>
      </c>
      <c r="T20" s="12">
        <f xml:space="preserve"> gas_cost107135[[#This Row],[Gas Net cost to date
(TND)]]* (1 + E$5)</f>
        <v>4.3612799999999998</v>
      </c>
      <c r="U20" s="12">
        <f>(gas_cost107135[[#This Row],[Gas Cost to date  VAT included
(TND)
]] - T19)/_xlfn.DAYS(electricity_cost3114[[#This Row],[Date of reading 
(Elect + Gas)]], G19)</f>
        <v>0.27257999999999999</v>
      </c>
      <c r="V20" s="12">
        <f>(gas_cost107135[[#This Row],[Consumption (m3)]] - Q19)/_xlfn.DAYS(electricity_cost3114[[#This Row],[Date of reading 
(Elect + Gas)]], G19)</f>
        <v>1</v>
      </c>
      <c r="W20" s="20">
        <f xml:space="preserve"> E$8 + ((electricity_cost3114[[#This Row],[Elect. Net cost to date
(TND)]] + E$6 + gas_cost107135[[#This Row],[Gas Net cost to date
(TND)]] + E$7) * (1 + E$5))</f>
        <v>45.640720000000002</v>
      </c>
      <c r="X20" s="38"/>
    </row>
    <row r="21" spans="2:25" x14ac:dyDescent="0.25">
      <c r="B21">
        <v>18118</v>
      </c>
      <c r="C21" s="6">
        <v>43223</v>
      </c>
      <c r="D21" s="54">
        <v>43346</v>
      </c>
      <c r="E21">
        <v>18200</v>
      </c>
      <c r="F21" s="11">
        <f>electricity_cost3114[[#This Row],[ Index (KWh)]]-electricity_cost3114[[#This Row],[Original index 
(KWh)]]</f>
        <v>82</v>
      </c>
      <c r="G21" s="6">
        <v>43239</v>
      </c>
      <c r="H21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1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14.842000000000001</v>
      </c>
      <c r="J21" s="10">
        <f xml:space="preserve"> (E$6 + electricity_cost3114[[#This Row],[Elect. Net cost to date
(TND)]]) * (1 + E$5)</f>
        <v>34.033559999999994</v>
      </c>
      <c r="K21" s="12">
        <f>(electricity_cost3114[[#This Row],[Elect. Cost  VAT included
(TND)
]]-J20)/_xlfn.DAYS(electricity_cost3114[[#This Row],[Date of reading 
(Elect + Gas)]], G20)</f>
        <v>1.4950599999999987</v>
      </c>
      <c r="L21" s="12">
        <f>(electricity_cost3114[[#This Row],[Consumption to date (KWh)]] - F20)/_xlfn.DAYS(electricity_cost3114[[#This Row],[Date of reading 
(Elect + Gas)]], G20)</f>
        <v>7</v>
      </c>
      <c r="M21">
        <v>9506</v>
      </c>
      <c r="P21">
        <v>9526</v>
      </c>
      <c r="Q21" s="11">
        <f>gas_cost107135[[#This Row],[ Index (m3)]] - gas_cost107135[[#This Row],[Original index 
(m3)]]</f>
        <v>20</v>
      </c>
      <c r="R21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1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4.62</v>
      </c>
      <c r="T21" s="12">
        <f xml:space="preserve"> gas_cost107135[[#This Row],[Gas Net cost to date
(TND)]]* (1 + E$5)</f>
        <v>5.4516</v>
      </c>
      <c r="U21" s="12">
        <f>(gas_cost107135[[#This Row],[Gas Cost to date  VAT included
(TND)
]] - T20)/_xlfn.DAYS(electricity_cost3114[[#This Row],[Date of reading 
(Elect + Gas)]], G20)</f>
        <v>0.54516000000000009</v>
      </c>
      <c r="V21" s="12">
        <f>(gas_cost107135[[#This Row],[Consumption (m3)]] - Q20)/_xlfn.DAYS(electricity_cost3114[[#This Row],[Date of reading 
(Elect + Gas)]], G20)</f>
        <v>2</v>
      </c>
      <c r="W21" s="20">
        <f xml:space="preserve"> E$8 + ((electricity_cost3114[[#This Row],[Elect. Net cost to date
(TND)]] + E$6 + gas_cost107135[[#This Row],[Gas Net cost to date
(TND)]] + E$7) * (1 + E$5))</f>
        <v>49.72115999999999</v>
      </c>
      <c r="X21" s="38"/>
    </row>
    <row r="22" spans="2:25" x14ac:dyDescent="0.25">
      <c r="B22">
        <v>18118</v>
      </c>
      <c r="C22" s="6">
        <v>43223</v>
      </c>
      <c r="D22" s="54">
        <v>43346</v>
      </c>
      <c r="E22">
        <v>18217</v>
      </c>
      <c r="F22" s="11">
        <f>electricity_cost3114[[#This Row],[ Index (KWh)]]-electricity_cost3114[[#This Row],[Original index 
(KWh)]]</f>
        <v>99</v>
      </c>
      <c r="G22" s="6">
        <v>43242</v>
      </c>
      <c r="H22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2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17.919</v>
      </c>
      <c r="J22" s="10">
        <f xml:space="preserve"> (E$6 + electricity_cost3114[[#This Row],[Elect. Net cost to date
(TND)]]) * (1 + E$5)</f>
        <v>37.66442</v>
      </c>
      <c r="K22" s="12">
        <f>(electricity_cost3114[[#This Row],[Elect. Cost  VAT included
(TND)
]]-J21)/_xlfn.DAYS(electricity_cost3114[[#This Row],[Date of reading 
(Elect + Gas)]], G21)</f>
        <v>1.2102866666666685</v>
      </c>
      <c r="L22" s="12">
        <f>(electricity_cost3114[[#This Row],[Consumption to date (KWh)]] - F21)/_xlfn.DAYS(electricity_cost3114[[#This Row],[Date of reading 
(Elect + Gas)]], G21)</f>
        <v>5.666666666666667</v>
      </c>
      <c r="M22">
        <v>9506</v>
      </c>
      <c r="P22">
        <v>9531</v>
      </c>
      <c r="Q22" s="11">
        <f>gas_cost107135[[#This Row],[ Index (m3)]] - gas_cost107135[[#This Row],[Original index 
(m3)]]</f>
        <v>25</v>
      </c>
      <c r="R22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2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5.7750000000000004</v>
      </c>
      <c r="T22" s="12">
        <f xml:space="preserve"> gas_cost107135[[#This Row],[Gas Net cost to date
(TND)]]* (1 + E$5)</f>
        <v>6.8144999999999998</v>
      </c>
      <c r="U22" s="12">
        <f>(gas_cost107135[[#This Row],[Gas Cost to date  VAT included
(TND)
]] - T21)/_xlfn.DAYS(electricity_cost3114[[#This Row],[Date of reading 
(Elect + Gas)]], G21)</f>
        <v>0.45429999999999993</v>
      </c>
      <c r="V22" s="12">
        <f>(gas_cost107135[[#This Row],[Consumption (m3)]] - Q21)/_xlfn.DAYS(electricity_cost3114[[#This Row],[Date of reading 
(Elect + Gas)]], G21)</f>
        <v>1.6666666666666667</v>
      </c>
      <c r="W22" s="20">
        <f xml:space="preserve"> E$8 + ((electricity_cost3114[[#This Row],[Elect. Net cost to date
(TND)]] + E$6 + gas_cost107135[[#This Row],[Gas Net cost to date
(TND)]] + E$7) * (1 + E$5))</f>
        <v>54.714919999999999</v>
      </c>
      <c r="X22" s="38"/>
    </row>
    <row r="23" spans="2:25" x14ac:dyDescent="0.25">
      <c r="B23">
        <v>18118</v>
      </c>
      <c r="C23" s="6">
        <v>43223</v>
      </c>
      <c r="D23" s="54">
        <v>43346</v>
      </c>
      <c r="E23">
        <v>18224</v>
      </c>
      <c r="F23" s="11">
        <f>electricity_cost3114[[#This Row],[ Index (KWh)]]-electricity_cost3114[[#This Row],[Original index 
(KWh)]]</f>
        <v>106</v>
      </c>
      <c r="G23" s="6">
        <v>43243</v>
      </c>
      <c r="H23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3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19.186</v>
      </c>
      <c r="J23" s="10">
        <f xml:space="preserve"> (E$6 + electricity_cost3114[[#This Row],[Elect. Net cost to date
(TND)]]) * (1 + E$5)</f>
        <v>39.159479999999995</v>
      </c>
      <c r="K23" s="12">
        <f>(electricity_cost3114[[#This Row],[Elect. Cost  VAT included
(TND)
]]-J22)/_xlfn.DAYS(electricity_cost3114[[#This Row],[Date of reading 
(Elect + Gas)]], G22)</f>
        <v>1.4950599999999952</v>
      </c>
      <c r="L23" s="12">
        <f>(electricity_cost3114[[#This Row],[Consumption to date (KWh)]] - F22)/_xlfn.DAYS(electricity_cost3114[[#This Row],[Date of reading 
(Elect + Gas)]], G22)</f>
        <v>7</v>
      </c>
      <c r="M23">
        <v>9506</v>
      </c>
      <c r="P23">
        <v>9533</v>
      </c>
      <c r="Q23" s="11">
        <f>gas_cost107135[[#This Row],[ Index (m3)]] - gas_cost107135[[#This Row],[Original index 
(m3)]]</f>
        <v>27</v>
      </c>
      <c r="R23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3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6.2370000000000001</v>
      </c>
      <c r="T23" s="12">
        <f xml:space="preserve"> gas_cost107135[[#This Row],[Gas Net cost to date
(TND)]]* (1 + E$5)</f>
        <v>7.3596599999999999</v>
      </c>
      <c r="U23" s="12">
        <f>(gas_cost107135[[#This Row],[Gas Cost to date  VAT included
(TND)
]] - T22)/_xlfn.DAYS(electricity_cost3114[[#This Row],[Date of reading 
(Elect + Gas)]], G22)</f>
        <v>0.54516000000000009</v>
      </c>
      <c r="V23" s="12">
        <f>(gas_cost107135[[#This Row],[Consumption (m3)]] - Q22)/_xlfn.DAYS(electricity_cost3114[[#This Row],[Date of reading 
(Elect + Gas)]], G22)</f>
        <v>2</v>
      </c>
      <c r="W23" s="20">
        <f xml:space="preserve"> E$8 + ((electricity_cost3114[[#This Row],[Elect. Net cost to date
(TND)]] + E$6 + gas_cost107135[[#This Row],[Gas Net cost to date
(TND)]] + E$7) * (1 + E$5))</f>
        <v>56.755139999999997</v>
      </c>
      <c r="X23" s="38"/>
    </row>
    <row r="24" spans="2:25" x14ac:dyDescent="0.25">
      <c r="B24">
        <v>18118</v>
      </c>
      <c r="C24" s="6">
        <v>43223</v>
      </c>
      <c r="D24" s="54">
        <v>43346</v>
      </c>
      <c r="E24">
        <v>18253</v>
      </c>
      <c r="F24" s="11">
        <f>electricity_cost3114[[#This Row],[ Index (KWh)]]-electricity_cost3114[[#This Row],[Original index 
(KWh)]]</f>
        <v>135</v>
      </c>
      <c r="G24" s="6">
        <v>43249</v>
      </c>
      <c r="H24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4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24.434999999999999</v>
      </c>
      <c r="J24" s="10">
        <f xml:space="preserve"> (E$6 + electricity_cost3114[[#This Row],[Elect. Net cost to date
(TND)]]) * (1 + E$5)</f>
        <v>45.353299999999997</v>
      </c>
      <c r="K24" s="12">
        <f>(electricity_cost3114[[#This Row],[Elect. Cost  VAT included
(TND)
]]-J23)/_xlfn.DAYS(electricity_cost3114[[#This Row],[Date of reading 
(Elect + Gas)]], G23)</f>
        <v>1.0323033333333338</v>
      </c>
      <c r="L24" s="12">
        <f>(electricity_cost3114[[#This Row],[Consumption to date (KWh)]] - F23)/_xlfn.DAYS(electricity_cost3114[[#This Row],[Date of reading 
(Elect + Gas)]], G23)</f>
        <v>4.833333333333333</v>
      </c>
      <c r="M24">
        <v>9506</v>
      </c>
      <c r="P24">
        <v>9539</v>
      </c>
      <c r="Q24" s="11">
        <f>gas_cost107135[[#This Row],[ Index (m3)]] - gas_cost107135[[#This Row],[Original index 
(m3)]]</f>
        <v>33</v>
      </c>
      <c r="R24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4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7.6230000000000002</v>
      </c>
      <c r="T24" s="12">
        <f xml:space="preserve"> gas_cost107135[[#This Row],[Gas Net cost to date
(TND)]]* (1 + E$5)</f>
        <v>8.9951399999999992</v>
      </c>
      <c r="U24" s="12">
        <f>(gas_cost107135[[#This Row],[Gas Cost to date  VAT included
(TND)
]] - T23)/_xlfn.DAYS(electricity_cost3114[[#This Row],[Date of reading 
(Elect + Gas)]], G23)</f>
        <v>0.27257999999999988</v>
      </c>
      <c r="V24" s="12">
        <f>(gas_cost107135[[#This Row],[Consumption (m3)]] - Q23)/_xlfn.DAYS(electricity_cost3114[[#This Row],[Date of reading 
(Elect + Gas)]], G23)</f>
        <v>1</v>
      </c>
      <c r="W24" s="20">
        <f xml:space="preserve"> E$8 + ((electricity_cost3114[[#This Row],[Elect. Net cost to date
(TND)]] + E$6 + gas_cost107135[[#This Row],[Gas Net cost to date
(TND)]] + E$7) * (1 + E$5))</f>
        <v>64.584440000000001</v>
      </c>
      <c r="X24" s="38"/>
    </row>
    <row r="25" spans="2:25" x14ac:dyDescent="0.25">
      <c r="B25">
        <v>18118</v>
      </c>
      <c r="C25" s="6">
        <v>43223</v>
      </c>
      <c r="D25" s="54">
        <v>43346</v>
      </c>
      <c r="E25">
        <v>18260</v>
      </c>
      <c r="F25" s="11">
        <f>electricity_cost3114[[#This Row],[ Index (KWh)]]-electricity_cost3114[[#This Row],[Original index 
(KWh)]]</f>
        <v>142</v>
      </c>
      <c r="G25" s="6">
        <v>43250</v>
      </c>
      <c r="H25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5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25.702000000000002</v>
      </c>
      <c r="J25" s="10">
        <f xml:space="preserve"> (E$6 + electricity_cost3114[[#This Row],[Elect. Net cost to date
(TND)]]) * (1 + E$5)</f>
        <v>46.848359999999992</v>
      </c>
      <c r="K25" s="12">
        <f>(electricity_cost3114[[#This Row],[Elect. Cost  VAT included
(TND)
]]-J24)/_xlfn.DAYS(electricity_cost3114[[#This Row],[Date of reading 
(Elect + Gas)]], G24)</f>
        <v>1.4950599999999952</v>
      </c>
      <c r="L25" s="12">
        <f>(electricity_cost3114[[#This Row],[Consumption to date (KWh)]] - F24)/_xlfn.DAYS(electricity_cost3114[[#This Row],[Date of reading 
(Elect + Gas)]], G24)</f>
        <v>7</v>
      </c>
      <c r="M25">
        <v>9506</v>
      </c>
      <c r="P25">
        <v>9540</v>
      </c>
      <c r="Q25" s="11">
        <f>gas_cost107135[[#This Row],[ Index (m3)]] - gas_cost107135[[#This Row],[Original index 
(m3)]]</f>
        <v>34</v>
      </c>
      <c r="R25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5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7.8540000000000001</v>
      </c>
      <c r="T25" s="12">
        <f xml:space="preserve"> gas_cost107135[[#This Row],[Gas Net cost to date
(TND)]]* (1 + E$5)</f>
        <v>9.2677199999999988</v>
      </c>
      <c r="U25" s="12">
        <f>(gas_cost107135[[#This Row],[Gas Cost to date  VAT included
(TND)
]] - T24)/_xlfn.DAYS(electricity_cost3114[[#This Row],[Date of reading 
(Elect + Gas)]], G24)</f>
        <v>0.2725799999999996</v>
      </c>
      <c r="V25" s="12">
        <f>(gas_cost107135[[#This Row],[Consumption (m3)]] - Q24)/_xlfn.DAYS(electricity_cost3114[[#This Row],[Date of reading 
(Elect + Gas)]], G24)</f>
        <v>1</v>
      </c>
      <c r="W25" s="20">
        <f xml:space="preserve"> E$8 + ((electricity_cost3114[[#This Row],[Elect. Net cost to date
(TND)]] + E$6 + gas_cost107135[[#This Row],[Gas Net cost to date
(TND)]] + E$7) * (1 + E$5))</f>
        <v>66.352080000000001</v>
      </c>
      <c r="X25" s="38"/>
    </row>
    <row r="26" spans="2:25" x14ac:dyDescent="0.25">
      <c r="B26">
        <v>18118</v>
      </c>
      <c r="C26" s="6">
        <v>43223</v>
      </c>
      <c r="D26" s="54">
        <v>43346</v>
      </c>
      <c r="E26">
        <v>18294</v>
      </c>
      <c r="F26" s="11">
        <f>electricity_cost3114[[#This Row],[ Index (KWh)]]-electricity_cost3114[[#This Row],[Original index 
(KWh)]]</f>
        <v>176</v>
      </c>
      <c r="G26" s="6">
        <v>43255</v>
      </c>
      <c r="H26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6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31.856000000000002</v>
      </c>
      <c r="J26" s="10">
        <f xml:space="preserve"> (E$6 + electricity_cost3114[[#This Row],[Elect. Net cost to date
(TND)]]) * (1 + E$5)</f>
        <v>54.110079999999996</v>
      </c>
      <c r="K26" s="12">
        <f>(electricity_cost3114[[#This Row],[Elect. Cost  VAT included
(TND)
]]-J25)/_xlfn.DAYS(electricity_cost3114[[#This Row],[Date of reading 
(Elect + Gas)]], G25)</f>
        <v>1.4523440000000007</v>
      </c>
      <c r="L26" s="12">
        <f>(electricity_cost3114[[#This Row],[Consumption to date (KWh)]] - F25)/_xlfn.DAYS(electricity_cost3114[[#This Row],[Date of reading 
(Elect + Gas)]], G25)</f>
        <v>6.8</v>
      </c>
      <c r="M26">
        <v>9506</v>
      </c>
      <c r="P26">
        <v>9546</v>
      </c>
      <c r="Q26" s="11">
        <f>gas_cost107135[[#This Row],[ Index (m3)]] - gas_cost107135[[#This Row],[Original index 
(m3)]]</f>
        <v>40</v>
      </c>
      <c r="R26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6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9.24</v>
      </c>
      <c r="T26" s="12">
        <f xml:space="preserve"> gas_cost107135[[#This Row],[Gas Net cost to date
(TND)]]* (1 + E$5)</f>
        <v>10.9032</v>
      </c>
      <c r="U26" s="12">
        <f>(gas_cost107135[[#This Row],[Gas Cost to date  VAT included
(TND)
]] - T25)/_xlfn.DAYS(electricity_cost3114[[#This Row],[Date of reading 
(Elect + Gas)]], G25)</f>
        <v>0.32709600000000022</v>
      </c>
      <c r="V26" s="12">
        <f>(gas_cost107135[[#This Row],[Consumption (m3)]] - Q25)/_xlfn.DAYS(electricity_cost3114[[#This Row],[Date of reading 
(Elect + Gas)]], G25)</f>
        <v>1.2</v>
      </c>
      <c r="W26" s="20">
        <f xml:space="preserve"> E$8 + ((electricity_cost3114[[#This Row],[Elect. Net cost to date
(TND)]] + E$6 + gas_cost107135[[#This Row],[Gas Net cost to date
(TND)]] + E$7) * (1 + E$5))</f>
        <v>75.249279999999999</v>
      </c>
      <c r="X26" s="38"/>
    </row>
    <row r="27" spans="2:25" x14ac:dyDescent="0.25">
      <c r="B27">
        <v>18118</v>
      </c>
      <c r="C27" s="6">
        <v>43223</v>
      </c>
      <c r="D27" s="54">
        <v>43346</v>
      </c>
      <c r="E27">
        <v>18347</v>
      </c>
      <c r="F27" s="11">
        <f>electricity_cost3114[[#This Row],[ Index (KWh)]]-electricity_cost3114[[#This Row],[Original index 
(KWh)]]</f>
        <v>229</v>
      </c>
      <c r="G27" s="6">
        <v>43264</v>
      </c>
      <c r="H27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7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41.448999999999998</v>
      </c>
      <c r="J27" s="10">
        <f xml:space="preserve"> (E$6 + electricity_cost3114[[#This Row],[Elect. Net cost to date
(TND)]]) * (1 + E$5)</f>
        <v>65.429819999999992</v>
      </c>
      <c r="K27" s="12">
        <f>(electricity_cost3114[[#This Row],[Elect. Cost  VAT included
(TND)
]]-J26)/_xlfn.DAYS(electricity_cost3114[[#This Row],[Date of reading 
(Elect + Gas)]], G26)</f>
        <v>1.2577488888888884</v>
      </c>
      <c r="L27" s="12">
        <f>(electricity_cost3114[[#This Row],[Consumption to date (KWh)]] - F26)/_xlfn.DAYS(electricity_cost3114[[#This Row],[Date of reading 
(Elect + Gas)]], G26)</f>
        <v>5.8888888888888893</v>
      </c>
      <c r="M27">
        <v>9506</v>
      </c>
      <c r="P27">
        <v>9554</v>
      </c>
      <c r="Q27" s="11">
        <f>gas_cost107135[[#This Row],[ Index (m3)]] - gas_cost107135[[#This Row],[Original index 
(m3)]]</f>
        <v>48</v>
      </c>
      <c r="R27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7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11.087999999999999</v>
      </c>
      <c r="T27" s="12">
        <f xml:space="preserve"> gas_cost107135[[#This Row],[Gas Net cost to date
(TND)]]* (1 + E$5)</f>
        <v>13.083839999999999</v>
      </c>
      <c r="U27" s="12">
        <f>(gas_cost107135[[#This Row],[Gas Cost to date  VAT included
(TND)
]] - T26)/_xlfn.DAYS(electricity_cost3114[[#This Row],[Date of reading 
(Elect + Gas)]], G26)</f>
        <v>0.24229333333333317</v>
      </c>
      <c r="V27" s="12">
        <f>(gas_cost107135[[#This Row],[Consumption (m3)]] - Q26)/_xlfn.DAYS(electricity_cost3114[[#This Row],[Date of reading 
(Elect + Gas)]], G26)</f>
        <v>0.88888888888888884</v>
      </c>
      <c r="W27" s="20">
        <f xml:space="preserve"> E$8 + ((electricity_cost3114[[#This Row],[Elect. Net cost to date
(TND)]] + E$6 + gas_cost107135[[#This Row],[Gas Net cost to date
(TND)]] + E$7) * (1 + E$5))</f>
        <v>88.749659999999992</v>
      </c>
      <c r="X27" s="38"/>
    </row>
    <row r="28" spans="2:25" x14ac:dyDescent="0.25">
      <c r="B28">
        <v>18118</v>
      </c>
      <c r="C28" s="6">
        <v>43223</v>
      </c>
      <c r="D28" s="54">
        <v>43346</v>
      </c>
      <c r="E28">
        <v>18401</v>
      </c>
      <c r="F28" s="11">
        <f>electricity_cost3114[[#This Row],[ Index (KWh)]]-electricity_cost3114[[#This Row],[Original index 
(KWh)]]</f>
        <v>283</v>
      </c>
      <c r="G28" s="6">
        <v>43279</v>
      </c>
      <c r="H28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8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51.222999999999999</v>
      </c>
      <c r="J28" s="10">
        <f xml:space="preserve"> (E$6 + electricity_cost3114[[#This Row],[Elect. Net cost to date
(TND)]]) * (1 + E$5)</f>
        <v>76.963139999999996</v>
      </c>
      <c r="K28" s="12">
        <f>(electricity_cost3114[[#This Row],[Elect. Cost  VAT included
(TND)
]]-J27)/_xlfn.DAYS(electricity_cost3114[[#This Row],[Date of reading 
(Elect + Gas)]], G27)</f>
        <v>0.76888800000000024</v>
      </c>
      <c r="L28" s="12">
        <f>(electricity_cost3114[[#This Row],[Consumption to date (KWh)]] - F27)/_xlfn.DAYS(electricity_cost3114[[#This Row],[Date of reading 
(Elect + Gas)]], G27)</f>
        <v>3.6</v>
      </c>
      <c r="M28">
        <v>9506</v>
      </c>
      <c r="P28">
        <v>9560</v>
      </c>
      <c r="Q28" s="11">
        <f>gas_cost107135[[#This Row],[ Index (m3)]] - gas_cost107135[[#This Row],[Original index 
(m3)]]</f>
        <v>54</v>
      </c>
      <c r="R28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8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12.474</v>
      </c>
      <c r="T28" s="12">
        <f xml:space="preserve"> gas_cost107135[[#This Row],[Gas Net cost to date
(TND)]]* (1 + E$5)</f>
        <v>14.71932</v>
      </c>
      <c r="U28" s="12">
        <f>(gas_cost107135[[#This Row],[Gas Cost to date  VAT included
(TND)
]] - T27)/_xlfn.DAYS(electricity_cost3114[[#This Row],[Date of reading 
(Elect + Gas)]], G27)</f>
        <v>0.10903200000000007</v>
      </c>
      <c r="V28" s="12">
        <f>(gas_cost107135[[#This Row],[Consumption (m3)]] - Q27)/_xlfn.DAYS(electricity_cost3114[[#This Row],[Date of reading 
(Elect + Gas)]], G27)</f>
        <v>0.4</v>
      </c>
      <c r="W28" s="20">
        <f xml:space="preserve"> E$8 + ((electricity_cost3114[[#This Row],[Elect. Net cost to date
(TND)]] + E$6 + gas_cost107135[[#This Row],[Gas Net cost to date
(TND)]] + E$7) * (1 + E$5))</f>
        <v>101.91846</v>
      </c>
      <c r="X28" s="38"/>
    </row>
    <row r="29" spans="2:25" x14ac:dyDescent="0.25">
      <c r="B29">
        <v>18118</v>
      </c>
      <c r="C29" s="6">
        <v>43223</v>
      </c>
      <c r="D29" s="54">
        <v>43346</v>
      </c>
      <c r="E29">
        <v>18678</v>
      </c>
      <c r="F29" s="11">
        <f>electricity_cost3114[[#This Row],[ Index (KWh)]]-electricity_cost3114[[#This Row],[Original index 
(KWh)]]</f>
        <v>560</v>
      </c>
      <c r="G29" s="6">
        <v>43296</v>
      </c>
      <c r="H29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29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101.36</v>
      </c>
      <c r="J29" s="10">
        <f xml:space="preserve"> (E$6 + electricity_cost3114[[#This Row],[Elect. Net cost to date
(TND)]]) * (1 + E$5)</f>
        <v>136.12479999999999</v>
      </c>
      <c r="K29" s="12">
        <f>(electricity_cost3114[[#This Row],[Elect. Cost  VAT included
(TND)
]]-J28)/_xlfn.DAYS(electricity_cost3114[[#This Row],[Date of reading 
(Elect + Gas)]], G28)</f>
        <v>3.4800976470588232</v>
      </c>
      <c r="L29" s="12">
        <f>(electricity_cost3114[[#This Row],[Consumption to date (KWh)]] - F28)/_xlfn.DAYS(electricity_cost3114[[#This Row],[Date of reading 
(Elect + Gas)]], G28)</f>
        <v>16.294117647058822</v>
      </c>
      <c r="M29">
        <v>9506</v>
      </c>
      <c r="P29">
        <v>9577</v>
      </c>
      <c r="Q29" s="11">
        <f>gas_cost107135[[#This Row],[ Index (m3)]] - gas_cost107135[[#This Row],[Original index 
(m3)]]</f>
        <v>71</v>
      </c>
      <c r="R29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29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16.401</v>
      </c>
      <c r="T29" s="12">
        <f xml:space="preserve"> gas_cost107135[[#This Row],[Gas Net cost to date
(TND)]]* (1 + E$5)</f>
        <v>19.353179999999998</v>
      </c>
      <c r="U29" s="12">
        <f>(gas_cost107135[[#This Row],[Gas Cost to date  VAT included
(TND)
]] - T28)/_xlfn.DAYS(electricity_cost3114[[#This Row],[Date of reading 
(Elect + Gas)]], G28)</f>
        <v>0.27257999999999993</v>
      </c>
      <c r="V29" s="12">
        <f>(gas_cost107135[[#This Row],[Consumption (m3)]] - Q28)/_xlfn.DAYS(electricity_cost3114[[#This Row],[Date of reading 
(Elect + Gas)]], G28)</f>
        <v>1</v>
      </c>
      <c r="W29" s="20">
        <f xml:space="preserve"> E$8 + ((electricity_cost3114[[#This Row],[Elect. Net cost to date
(TND)]] + E$6 + gas_cost107135[[#This Row],[Gas Net cost to date
(TND)]] + E$7) * (1 + E$5))</f>
        <v>165.71397999999999</v>
      </c>
      <c r="X29" s="38"/>
    </row>
    <row r="30" spans="2:25" x14ac:dyDescent="0.25">
      <c r="B30">
        <v>18118</v>
      </c>
      <c r="C30" s="6">
        <v>43223</v>
      </c>
      <c r="D30" s="54">
        <v>43346</v>
      </c>
      <c r="E30">
        <v>18730</v>
      </c>
      <c r="F30" s="11">
        <f>electricity_cost3114[[#This Row],[ Index (KWh)]]-electricity_cost3114[[#This Row],[Original index 
(KWh)]]</f>
        <v>612</v>
      </c>
      <c r="G30" s="6">
        <v>43299</v>
      </c>
      <c r="H30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1</v>
      </c>
      <c r="I30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110.77200000000001</v>
      </c>
      <c r="J30" s="10">
        <f xml:space="preserve"> (E$6 + electricity_cost3114[[#This Row],[Elect. Net cost to date
(TND)]]) * (1 + E$5)</f>
        <v>147.23096000000001</v>
      </c>
      <c r="K30" s="12">
        <f>(electricity_cost3114[[#This Row],[Elect. Cost  VAT included
(TND)
]]-J29)/_xlfn.DAYS(electricity_cost3114[[#This Row],[Date of reading 
(Elect + Gas)]], G29)</f>
        <v>3.702053333333339</v>
      </c>
      <c r="L30" s="12">
        <f>(electricity_cost3114[[#This Row],[Consumption to date (KWh)]] - F29)/_xlfn.DAYS(electricity_cost3114[[#This Row],[Date of reading 
(Elect + Gas)]], G29)</f>
        <v>17.333333333333332</v>
      </c>
      <c r="M30">
        <v>9506</v>
      </c>
      <c r="P30">
        <v>9580</v>
      </c>
      <c r="Q30" s="11">
        <f>gas_cost107135[[#This Row],[ Index (m3)]] - gas_cost107135[[#This Row],[Original index 
(m3)]]</f>
        <v>74</v>
      </c>
      <c r="R30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30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17.094000000000001</v>
      </c>
      <c r="T30" s="12">
        <f xml:space="preserve"> gas_cost107135[[#This Row],[Gas Net cost to date
(TND)]]* (1 + E$5)</f>
        <v>20.170919999999999</v>
      </c>
      <c r="U30" s="12">
        <f>(gas_cost107135[[#This Row],[Gas Cost to date  VAT included
(TND)
]] - T29)/_xlfn.DAYS(electricity_cost3114[[#This Row],[Date of reading 
(Elect + Gas)]], G29)</f>
        <v>0.27258000000000021</v>
      </c>
      <c r="V30" s="12">
        <f>(gas_cost107135[[#This Row],[Consumption (m3)]] - Q29)/_xlfn.DAYS(electricity_cost3114[[#This Row],[Date of reading 
(Elect + Gas)]], G29)</f>
        <v>1</v>
      </c>
      <c r="W30" s="20">
        <f xml:space="preserve"> E$8 + ((electricity_cost3114[[#This Row],[Elect. Net cost to date
(TND)]] + E$6 + gas_cost107135[[#This Row],[Gas Net cost to date
(TND)]] + E$7) * (1 + E$5))</f>
        <v>177.63788000000002</v>
      </c>
      <c r="X30" s="38"/>
    </row>
    <row r="31" spans="2:25" x14ac:dyDescent="0.25">
      <c r="B31">
        <v>18118</v>
      </c>
      <c r="C31" s="6">
        <v>43223</v>
      </c>
      <c r="D31" s="54">
        <v>43346</v>
      </c>
      <c r="E31">
        <v>19044</v>
      </c>
      <c r="F31" s="11">
        <f>electricity_cost3114[[#This Row],[ Index (KWh)]]-electricity_cost3114[[#This Row],[Original index 
(KWh)]]</f>
        <v>926</v>
      </c>
      <c r="G31" s="6">
        <v>43329</v>
      </c>
      <c r="H31" s="21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2</v>
      </c>
      <c r="I31" s="12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172.898</v>
      </c>
      <c r="J31" s="10">
        <f xml:space="preserve"> (E$6 + electricity_cost3114[[#This Row],[Elect. Net cost to date
(TND)]]) * (1 + E$5)</f>
        <v>220.53963999999999</v>
      </c>
      <c r="K31" s="12">
        <f>(electricity_cost3114[[#This Row],[Elect. Cost  VAT included
(TND)
]]-J30)/_xlfn.DAYS(electricity_cost3114[[#This Row],[Date of reading 
(Elect + Gas)]], G30)</f>
        <v>2.4436226666666658</v>
      </c>
      <c r="L31" s="12">
        <f>(electricity_cost3114[[#This Row],[Consumption to date (KWh)]] - F30)/_xlfn.DAYS(electricity_cost3114[[#This Row],[Date of reading 
(Elect + Gas)]], G30)</f>
        <v>10.466666666666667</v>
      </c>
      <c r="M31">
        <v>9506</v>
      </c>
      <c r="P31">
        <v>9599</v>
      </c>
      <c r="Q31" s="11">
        <f>gas_cost107135[[#This Row],[ Index (m3)]] - gas_cost107135[[#This Row],[Original index 
(m3)]]</f>
        <v>93</v>
      </c>
      <c r="R31" s="11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31" s="12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21.483000000000001</v>
      </c>
      <c r="T31" s="12">
        <f xml:space="preserve"> gas_cost107135[[#This Row],[Gas Net cost to date
(TND)]]* (1 + E$5)</f>
        <v>25.34994</v>
      </c>
      <c r="U31" s="12">
        <f>(gas_cost107135[[#This Row],[Gas Cost to date  VAT included
(TND)
]] - T30)/_xlfn.DAYS(electricity_cost3114[[#This Row],[Date of reading 
(Elect + Gas)]], G30)</f>
        <v>0.17263400000000004</v>
      </c>
      <c r="V31" s="12">
        <f>(gas_cost107135[[#This Row],[Consumption (m3)]] - Q30)/_xlfn.DAYS(electricity_cost3114[[#This Row],[Date of reading 
(Elect + Gas)]], G30)</f>
        <v>0.6333333333333333</v>
      </c>
      <c r="W31" s="20">
        <f xml:space="preserve"> E$8 + ((electricity_cost3114[[#This Row],[Elect. Net cost to date
(TND)]] + E$6 + gas_cost107135[[#This Row],[Gas Net cost to date
(TND)]] + E$7) * (1 + E$5))</f>
        <v>256.12557999999996</v>
      </c>
      <c r="X31" s="38"/>
    </row>
    <row r="32" spans="2:25" x14ac:dyDescent="0.25">
      <c r="B32" s="9">
        <v>18118</v>
      </c>
      <c r="C32" s="41">
        <v>43223</v>
      </c>
      <c r="D32" s="56">
        <v>43346</v>
      </c>
      <c r="E32" s="9">
        <v>19192</v>
      </c>
      <c r="F32" s="42">
        <f>electricity_cost3114[[#This Row],[ Index (KWh)]]-electricity_cost3114[[#This Row],[Original index 
(KWh)]]</f>
        <v>1074</v>
      </c>
      <c r="G32" s="41">
        <v>43346</v>
      </c>
      <c r="H32" s="43">
        <f xml:space="preserve"> _xlfn.IFS(electricity_cost3114[[#This Row],[Consumption to date (KWh)]] &lt;= K$4, 1, AND(K$4 &lt; electricity_cost3114[[#This Row],[Consumption to date (KWh)]],  electricity_cost3114[[#This Row],[Consumption to date (KWh)]]&lt;= K$5), 2, AND(K$5 &lt; electricity_cost3114[[#This Row],[Consumption to date (KWh)]],  electricity_cost3114[[#This Row],[Consumption to date (KWh)]]&lt;= K$6), 3, electricity_cost3114[[#This Row],[Consumption to date (KWh)]] &gt; K$6, 4)</f>
        <v>2</v>
      </c>
      <c r="I32" s="45">
        <f>_xlfn.IFS(electricity_cost3114[[#This Row],[Level (Elect)]]= 1, (electricity_cost3114[[#This Row],[Consumption to date (KWh)]] * L$4)/1000, electricity_cost3114[[#This Row],[Level (Elect)]] = 2, (K$4 * L$4 +((electricity_cost3114[[#This Row],[Consumption to date (KWh)]] - K$4) * L$5))/1000,electricity_cost3114[[#This Row],[Level (Elect)]] = 3, (K$4 * L$4 + (K$5-J$5) * L$5 + ((electricity_cost3114[[#This Row],[Consumption to date (KWh)]] - K$5) * L$6))/1000, electricity_cost3114[[#This Row],[Level (Elect)]] = 4, (K$4 * L$4 + (K$5-J$5) * L$5 + (K$6-J$6) * L$6 + ((electricity_cost3114[[#This Row],[Consumption to date (KWh)]] - K$6) * L$7))/1000)</f>
        <v>205.90199999999999</v>
      </c>
      <c r="J32" s="44">
        <f xml:space="preserve"> (E$6 + electricity_cost3114[[#This Row],[Elect. Net cost to date
(TND)]]) * (1 + E$5)</f>
        <v>259.48435999999998</v>
      </c>
      <c r="K32" s="45">
        <f>(electricity_cost3114[[#This Row],[Elect. Cost  VAT included
(TND)
]]-J31)/_xlfn.DAYS(electricity_cost3114[[#This Row],[Date of reading 
(Elect + Gas)]], G31)</f>
        <v>2.2908658823529406</v>
      </c>
      <c r="L32" s="45">
        <f>(electricity_cost3114[[#This Row],[Consumption to date (KWh)]] - F31)/_xlfn.DAYS(electricity_cost3114[[#This Row],[Date of reading 
(Elect + Gas)]], G31)</f>
        <v>8.7058823529411757</v>
      </c>
      <c r="M32" s="9">
        <v>9506</v>
      </c>
      <c r="N32" s="9"/>
      <c r="O32" s="9"/>
      <c r="P32" s="9">
        <v>9614</v>
      </c>
      <c r="Q32" s="42">
        <f>gas_cost107135[[#This Row],[ Index (m3)]] - gas_cost107135[[#This Row],[Original index 
(m3)]]</f>
        <v>108</v>
      </c>
      <c r="R32" s="42">
        <f xml:space="preserve"> _xlfn.IFS(gas_cost107135[[#This Row],[Consumption (m3)]] &lt;= R$4, 1, AND(R$4 &lt; gas_cost107135[[#This Row],[Consumption (m3)]], gas_cost107135[[#This Row],[Consumption (m3)]] &lt;= R$5), 2, AND(R$5 &lt; gas_cost107135[[#This Row],[Consumption (m3)]], gas_cost107135[[#This Row],[Consumption (m3)]] &lt;= R$6), 3, gas_cost107135[[#This Row],[Consumption (m3)]] &gt; R$6, 4)</f>
        <v>1</v>
      </c>
      <c r="S32" s="45">
        <f>_xlfn.IFS(gas_cost107135[[#This Row],[Level (Gas)]]= 1, (gas_cost107135[[#This Row],[Consumption (m3)]] * S$4)/1000, gas_cost107135[[#This Row],[Level (Gas)]] = 2, (gas_cost107135[[#This Row],[Consumption (m3)]] * S$5)/1000,gas_cost107135[[#This Row],[Level (Gas)]] = 3, (gas_cost107135[[#This Row],[Consumption (m3)]] * S$6)/1000, gas_cost107135[[#This Row],[Level (Gas)]] = 4, (gas_cost107135[[#This Row],[Consumption (m3)]] * S$7)/1000)</f>
        <v>24.948</v>
      </c>
      <c r="T32" s="45">
        <f xml:space="preserve"> gas_cost107135[[#This Row],[Gas Net cost to date
(TND)]]* (1 + E$5)</f>
        <v>29.438639999999999</v>
      </c>
      <c r="U32" s="12">
        <f>(gas_cost107135[[#This Row],[Gas Cost to date  VAT included
(TND)
]] - T31)/_xlfn.DAYS(electricity_cost3114[[#This Row],[Date of reading 
(Elect + Gas)]], G31)</f>
        <v>0.24051176470588231</v>
      </c>
      <c r="V32" s="12">
        <f>(gas_cost107135[[#This Row],[Consumption (m3)]] - Q31)/_xlfn.DAYS(electricity_cost3114[[#This Row],[Date of reading 
(Elect + Gas)]], G31)</f>
        <v>0.88235294117647056</v>
      </c>
      <c r="W32" s="47">
        <f xml:space="preserve"> E$8 + ((electricity_cost3114[[#This Row],[Elect. Net cost to date
(TND)]] + E$6 + gas_cost107135[[#This Row],[Gas Net cost to date
(TND)]] + E$7) * (1 + E$5))</f>
        <v>299.15899999999993</v>
      </c>
      <c r="X32" s="57">
        <v>296</v>
      </c>
    </row>
    <row r="33" spans="3:24" x14ac:dyDescent="0.25">
      <c r="C33" s="6"/>
      <c r="D33" s="55"/>
      <c r="F33" s="11"/>
      <c r="G33" s="6"/>
      <c r="H33" s="21"/>
      <c r="I33" s="12"/>
      <c r="J33" s="10"/>
      <c r="K33" s="12"/>
      <c r="L33" s="12"/>
      <c r="Q33" s="11"/>
      <c r="R33" s="11"/>
      <c r="S33" s="12"/>
      <c r="T33" s="12"/>
      <c r="U33" s="12"/>
      <c r="V33" s="12"/>
      <c r="W33" s="20"/>
      <c r="X33" s="38"/>
    </row>
    <row r="34" spans="3:24" x14ac:dyDescent="0.25">
      <c r="C34" s="6"/>
      <c r="D34" s="55"/>
      <c r="F34" s="11"/>
      <c r="G34" s="6"/>
      <c r="H34" s="21"/>
      <c r="I34" s="12"/>
      <c r="J34" s="10"/>
      <c r="K34" s="12"/>
      <c r="L34" s="12"/>
      <c r="Q34" s="11"/>
      <c r="R34" s="11"/>
      <c r="S34" s="12"/>
      <c r="T34" s="12"/>
      <c r="U34" s="12"/>
      <c r="V34" s="12"/>
      <c r="W34" s="20"/>
      <c r="X34" s="38"/>
    </row>
    <row r="35" spans="3:24" x14ac:dyDescent="0.25">
      <c r="C35" s="6"/>
      <c r="D35" s="55"/>
      <c r="F35" s="11"/>
      <c r="G35" s="6"/>
      <c r="H35" s="21"/>
      <c r="I35" s="12"/>
      <c r="J35" s="10"/>
      <c r="K35" s="12"/>
      <c r="L35" s="12"/>
      <c r="Q35" s="11"/>
      <c r="R35" s="11"/>
      <c r="S35" s="12"/>
      <c r="T35" s="12"/>
      <c r="U35" s="12"/>
      <c r="V35" s="12"/>
      <c r="W35" s="20"/>
      <c r="X35" s="38"/>
    </row>
    <row r="36" spans="3:24" x14ac:dyDescent="0.25">
      <c r="C36" s="6"/>
      <c r="D36" s="55"/>
      <c r="F36" s="11"/>
      <c r="G36" s="6"/>
      <c r="H36" s="21"/>
      <c r="I36" s="12"/>
      <c r="J36" s="10"/>
      <c r="K36" s="12"/>
      <c r="L36" s="12"/>
      <c r="Q36" s="11"/>
      <c r="R36" s="11"/>
      <c r="S36" s="12"/>
      <c r="T36" s="12"/>
      <c r="U36" s="12"/>
      <c r="V36" s="12"/>
      <c r="W36" s="20"/>
      <c r="X36" s="38"/>
    </row>
    <row r="37" spans="3:24" x14ac:dyDescent="0.25">
      <c r="C37" s="6"/>
      <c r="D37" s="55"/>
      <c r="F37" s="11"/>
      <c r="G37" s="6"/>
      <c r="H37" s="21"/>
      <c r="I37" s="12"/>
      <c r="J37" s="10"/>
      <c r="K37" s="12"/>
      <c r="L37" s="12"/>
      <c r="Q37" s="11"/>
      <c r="R37" s="11"/>
      <c r="S37" s="12"/>
      <c r="T37" s="12"/>
      <c r="U37" s="12"/>
      <c r="V37" s="12"/>
      <c r="W37" s="20"/>
      <c r="X37" s="38"/>
    </row>
    <row r="38" spans="3:24" x14ac:dyDescent="0.25">
      <c r="D38" s="6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Y37"/>
  <sheetViews>
    <sheetView topLeftCell="K1" zoomScale="70" zoomScaleNormal="70" workbookViewId="0">
      <selection activeCell="Q28" sqref="Q28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5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33.1406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43475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290</v>
      </c>
      <c r="U5" s="19">
        <v>43475</v>
      </c>
      <c r="V5" s="19"/>
      <c r="W5">
        <v>500</v>
      </c>
      <c r="X5">
        <v>1500</v>
      </c>
    </row>
    <row r="6" spans="2:24" x14ac:dyDescent="0.25">
      <c r="D6" s="16" t="s">
        <v>14</v>
      </c>
      <c r="E6" s="14">
        <v>14</v>
      </c>
      <c r="I6">
        <v>3</v>
      </c>
      <c r="J6">
        <v>1201</v>
      </c>
      <c r="K6">
        <v>2000</v>
      </c>
      <c r="L6">
        <v>290</v>
      </c>
      <c r="P6">
        <v>3</v>
      </c>
      <c r="Q6">
        <v>1</v>
      </c>
      <c r="R6">
        <v>600</v>
      </c>
      <c r="S6">
        <v>403</v>
      </c>
      <c r="T6" t="s">
        <v>65</v>
      </c>
    </row>
    <row r="7" spans="2:24" x14ac:dyDescent="0.25">
      <c r="D7" s="16" t="s">
        <v>15</v>
      </c>
      <c r="E7" s="14">
        <v>2</v>
      </c>
      <c r="I7">
        <v>4</v>
      </c>
      <c r="J7">
        <v>2001</v>
      </c>
      <c r="L7">
        <v>355</v>
      </c>
      <c r="P7">
        <v>4</v>
      </c>
      <c r="Q7">
        <v>1</v>
      </c>
      <c r="S7">
        <v>439</v>
      </c>
    </row>
    <row r="8" spans="2:24" x14ac:dyDescent="0.25">
      <c r="D8" s="16" t="s">
        <v>12</v>
      </c>
      <c r="E8" s="14">
        <v>7.8760000000000003</v>
      </c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INDEX(electricity_cost311418[Elect. Net cost to date
(TND)], COUNTA(I18:I36), 1) + E6</f>
        <v>165.93600000000001</v>
      </c>
      <c r="G10" s="67" t="s">
        <v>61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62</v>
      </c>
      <c r="I11" s="33" t="s">
        <v>63</v>
      </c>
      <c r="J11" s="33" t="s">
        <v>64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1200</v>
      </c>
      <c r="I12" s="34">
        <v>126</v>
      </c>
      <c r="J12" s="51">
        <v>320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1500</v>
      </c>
      <c r="I13" s="35">
        <v>170</v>
      </c>
      <c r="J13" s="52">
        <v>445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 t="s">
        <v>55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67</v>
      </c>
    </row>
    <row r="18" spans="2:25" x14ac:dyDescent="0.25">
      <c r="B18">
        <v>19192</v>
      </c>
      <c r="C18" s="6">
        <v>43346</v>
      </c>
      <c r="D18" s="54">
        <v>43475</v>
      </c>
      <c r="E18">
        <v>19192</v>
      </c>
      <c r="F18" s="11">
        <f>electricity_cost311418[[#This Row],[ Index (KWh)]]-electricity_cost311418[[#This Row],[Original index 
(KWh)]]</f>
        <v>0</v>
      </c>
      <c r="G18" s="6">
        <v>43346</v>
      </c>
      <c r="H18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18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0</v>
      </c>
      <c r="J18" s="10">
        <f xml:space="preserve"> (E$6 + electricity_cost311418[[#This Row],[Elect. Net cost to date
(TND)]]) * (1 + E$5)</f>
        <v>16.52</v>
      </c>
      <c r="K18" s="12"/>
      <c r="L18" s="12"/>
      <c r="M18">
        <v>9614</v>
      </c>
      <c r="P18">
        <v>9614</v>
      </c>
      <c r="Q18" s="11">
        <f>gas_cost10713519[[#This Row],[ Index (m3)]] - gas_cost10713519[[#This Row],[Original index 
(m3)]]</f>
        <v>0</v>
      </c>
      <c r="R18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18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0</v>
      </c>
      <c r="T18" s="12">
        <f xml:space="preserve"> gas_cost10713519[[#This Row],[Gas Net cost to date
(TND)]]* (1 + E$5)</f>
        <v>0</v>
      </c>
      <c r="U18" s="12"/>
      <c r="V18" s="12"/>
      <c r="W18" s="20">
        <f xml:space="preserve"> E$8 + ((electricity_cost311418[[#This Row],[Elect. Net cost to date
(TND)]] + E$6 + gas_cost10713519[[#This Row],[Gas Net cost to date
(TND)]] + E$7) * (1 + E$5))</f>
        <v>26.756</v>
      </c>
      <c r="X18" s="38"/>
      <c r="Y18" s="37"/>
    </row>
    <row r="19" spans="2:25" x14ac:dyDescent="0.25">
      <c r="B19">
        <v>19192</v>
      </c>
      <c r="C19" s="6">
        <v>43346</v>
      </c>
      <c r="D19" s="54">
        <v>43475</v>
      </c>
      <c r="E19">
        <v>19374</v>
      </c>
      <c r="F19" s="11">
        <f>electricity_cost311418[[#This Row],[ Index (KWh)]]-electricity_cost311418[[#This Row],[Original index 
(KWh)]]</f>
        <v>182</v>
      </c>
      <c r="G19" s="6">
        <v>43364</v>
      </c>
      <c r="H19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19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32.942</v>
      </c>
      <c r="J19" s="10">
        <f xml:space="preserve"> (E$6 + electricity_cost311418[[#This Row],[Elect. Net cost to date
(TND)]]) * (1 + E$5)</f>
        <v>55.391559999999998</v>
      </c>
      <c r="K19" s="12">
        <f>(electricity_cost311418[[#This Row],[Elect. Cost  VAT included
(TND)
]]-J18)/_xlfn.DAYS(electricity_cost311418[[#This Row],[Date of reading 
(Elect + Gas)]], G18)</f>
        <v>2.1595311111111113</v>
      </c>
      <c r="L19" s="12">
        <f>(electricity_cost311418[[#This Row],[Consumption to date (KWh)]] - F18)/_xlfn.DAYS(electricity_cost311418[[#This Row],[Date of reading 
(Elect + Gas)]], G18)</f>
        <v>10.111111111111111</v>
      </c>
      <c r="M19">
        <v>9614</v>
      </c>
      <c r="P19">
        <v>9626</v>
      </c>
      <c r="Q19" s="11">
        <f>gas_cost10713519[[#This Row],[ Index (m3)]] - gas_cost10713519[[#This Row],[Original index 
(m3)]]</f>
        <v>12</v>
      </c>
      <c r="R19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19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2.7719999999999998</v>
      </c>
      <c r="T19" s="12">
        <f xml:space="preserve"> gas_cost10713519[[#This Row],[Gas Net cost to date
(TND)]]* (1 + E$5)</f>
        <v>3.2709599999999996</v>
      </c>
      <c r="U19" s="12">
        <f>(gas_cost10713519[[#This Row],[Gas Cost to date  VAT included
(TND)
]] - T18)/_xlfn.DAYS(electricity_cost311418[[#This Row],[Date of reading 
(Elect + Gas)]], G18)</f>
        <v>0.18171999999999999</v>
      </c>
      <c r="V19" s="12">
        <f>(gas_cost10713519[[#This Row],[Consumption (m3)]] - Q18)/_xlfn.DAYS(electricity_cost311418[[#This Row],[Date of reading 
(Elect + Gas)]], G18)</f>
        <v>0.66666666666666663</v>
      </c>
      <c r="W19" s="20">
        <f xml:space="preserve"> E$8 + ((electricity_cost311418[[#This Row],[Elect. Net cost to date
(TND)]] + E$6 + gas_cost10713519[[#This Row],[Gas Net cost to date
(TND)]] + E$7) * (1 + E$5))</f>
        <v>68.898519999999991</v>
      </c>
      <c r="X19" s="38"/>
    </row>
    <row r="20" spans="2:25" x14ac:dyDescent="0.25">
      <c r="B20">
        <v>19192</v>
      </c>
      <c r="C20" s="6">
        <v>43346</v>
      </c>
      <c r="D20" s="54">
        <v>43475</v>
      </c>
      <c r="E20">
        <v>19380</v>
      </c>
      <c r="F20" s="11">
        <f>electricity_cost311418[[#This Row],[ Index (KWh)]]-electricity_cost311418[[#This Row],[Original index 
(KWh)]]</f>
        <v>188</v>
      </c>
      <c r="G20" s="6">
        <v>43365</v>
      </c>
      <c r="H20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0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34.027999999999999</v>
      </c>
      <c r="J20" s="10">
        <f xml:space="preserve"> (E$6 + electricity_cost311418[[#This Row],[Elect. Net cost to date
(TND)]]) * (1 + E$5)</f>
        <v>56.673039999999993</v>
      </c>
      <c r="K20" s="12">
        <f>electricity_cost311418[[#This Row],[Elect. Cost  VAT included
(TND)
]]-J19/(electricity_cost311418[[#This Row],[Date of reading 
(Elect + Gas)]]-G19)</f>
        <v>1.2814799999999948</v>
      </c>
      <c r="L20" s="12">
        <f>(electricity_cost311418[[#This Row],[Consumption to date (KWh)]] - F19)/_xlfn.DAYS(electricity_cost311418[[#This Row],[Date of reading 
(Elect + Gas)]], G19)</f>
        <v>6</v>
      </c>
      <c r="M20">
        <v>9614</v>
      </c>
      <c r="P20">
        <v>9629</v>
      </c>
      <c r="Q20" s="11">
        <f>gas_cost10713519[[#This Row],[ Index (m3)]] - gas_cost10713519[[#This Row],[Original index 
(m3)]]</f>
        <v>15</v>
      </c>
      <c r="R20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20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3.4649999999999999</v>
      </c>
      <c r="T20" s="12">
        <f xml:space="preserve"> gas_cost10713519[[#This Row],[Gas Net cost to date
(TND)]]* (1 + E$5)</f>
        <v>4.0886999999999993</v>
      </c>
      <c r="U20" s="12">
        <f>(gas_cost10713519[[#This Row],[Gas Cost to date  VAT included
(TND)
]] - T19)/_xlfn.DAYS(electricity_cost311418[[#This Row],[Date of reading 
(Elect + Gas)]], G19)</f>
        <v>0.81773999999999969</v>
      </c>
      <c r="V20" s="12">
        <f>(gas_cost10713519[[#This Row],[Consumption (m3)]] - Q19)/_xlfn.DAYS(electricity_cost311418[[#This Row],[Date of reading 
(Elect + Gas)]], G19)</f>
        <v>3</v>
      </c>
      <c r="W20" s="20">
        <f xml:space="preserve"> E$8 + ((electricity_cost311418[[#This Row],[Elect. Net cost to date
(TND)]] + E$6 + gas_cost10713519[[#This Row],[Gas Net cost to date
(TND)]] + E$7) * (1 + E$5))</f>
        <v>70.997739999999993</v>
      </c>
      <c r="X20" s="38"/>
    </row>
    <row r="21" spans="2:25" x14ac:dyDescent="0.25">
      <c r="B21" s="15">
        <v>19192</v>
      </c>
      <c r="C21" s="58">
        <v>43346</v>
      </c>
      <c r="D21" s="59">
        <v>43475</v>
      </c>
      <c r="E21" s="15">
        <v>19423</v>
      </c>
      <c r="F21" s="60">
        <f>electricity_cost311418[[#This Row],[ Index (KWh)]]-electricity_cost311418[[#This Row],[Original index 
(KWh)]]</f>
        <v>231</v>
      </c>
      <c r="G21" s="58">
        <v>43373</v>
      </c>
      <c r="H21" s="6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1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41.811</v>
      </c>
      <c r="J21" s="10">
        <f xml:space="preserve"> (E$6 + electricity_cost311418[[#This Row],[Elect. Net cost to date
(TND)]]) * (1 + E$5)</f>
        <v>65.856979999999993</v>
      </c>
      <c r="K21" s="12">
        <f>(electricity_cost311418[[#This Row],[Elect. Cost  VAT included
(TND)
]]-J20)/_xlfn.DAYS(electricity_cost311418[[#This Row],[Date of reading 
(Elect + Gas)]], G20)</f>
        <v>1.1479925</v>
      </c>
      <c r="L21" s="62">
        <f>(electricity_cost311418[[#This Row],[Consumption to date (KWh)]] - F20)/_xlfn.DAYS(electricity_cost311418[[#This Row],[Date of reading 
(Elect + Gas)]], G20)</f>
        <v>5.375</v>
      </c>
      <c r="M21">
        <v>9614</v>
      </c>
      <c r="P21">
        <v>9635</v>
      </c>
      <c r="Q21" s="11">
        <f>gas_cost10713519[[#This Row],[ Index (m3)]] - gas_cost10713519[[#This Row],[Original index 
(m3)]]</f>
        <v>21</v>
      </c>
      <c r="R21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21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4.851</v>
      </c>
      <c r="T21" s="12">
        <f xml:space="preserve"> gas_cost10713519[[#This Row],[Gas Net cost to date
(TND)]]* (1 + E$5)</f>
        <v>5.7241799999999996</v>
      </c>
      <c r="U21" s="12">
        <f>(gas_cost10713519[[#This Row],[Gas Cost to date  VAT included
(TND)
]] - T20)/_xlfn.DAYS(electricity_cost311418[[#This Row],[Date of reading 
(Elect + Gas)]], G20)</f>
        <v>0.20443500000000003</v>
      </c>
      <c r="V21" s="12">
        <f>(gas_cost10713519[[#This Row],[Consumption (m3)]] - Q20)/_xlfn.DAYS(electricity_cost311418[[#This Row],[Date of reading 
(Elect + Gas)]], G20)</f>
        <v>0.75</v>
      </c>
      <c r="W21" s="20">
        <f xml:space="preserve"> E$8 + ((electricity_cost311418[[#This Row],[Elect. Net cost to date
(TND)]] + E$6 + gas_cost10713519[[#This Row],[Gas Net cost to date
(TND)]] + E$7) * (1 + E$5))</f>
        <v>81.817160000000001</v>
      </c>
      <c r="X21" s="38"/>
    </row>
    <row r="22" spans="2:25" x14ac:dyDescent="0.25">
      <c r="B22">
        <v>19192</v>
      </c>
      <c r="C22" s="6">
        <v>43346</v>
      </c>
      <c r="D22" s="54">
        <v>43475</v>
      </c>
      <c r="E22">
        <v>19441</v>
      </c>
      <c r="F22" s="11">
        <f>electricity_cost311418[[#This Row],[ Index (KWh)]]-electricity_cost311418[[#This Row],[Original index 
(KWh)]]</f>
        <v>249</v>
      </c>
      <c r="G22" s="6">
        <v>43376</v>
      </c>
      <c r="H22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2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45.069000000000003</v>
      </c>
      <c r="J22" s="10">
        <f xml:space="preserve"> (E$6 + electricity_cost311418[[#This Row],[Elect. Net cost to date
(TND)]]) * (1 + E$5)</f>
        <v>69.701419999999999</v>
      </c>
      <c r="K22" s="12">
        <f>(electricity_cost311418[[#This Row],[Elect. Cost  VAT included
(TND)
]]-J21)/_xlfn.DAYS(electricity_cost311418[[#This Row],[Date of reading 
(Elect + Gas)]], G21)</f>
        <v>1.281480000000002</v>
      </c>
      <c r="L22" s="12">
        <f>(electricity_cost311418[[#This Row],[Consumption to date (KWh)]] - F21)/_xlfn.DAYS(electricity_cost311418[[#This Row],[Date of reading 
(Elect + Gas)]], G21)</f>
        <v>6</v>
      </c>
      <c r="M22">
        <v>9614</v>
      </c>
      <c r="P22">
        <v>9638</v>
      </c>
      <c r="Q22" s="11">
        <f>gas_cost10713519[[#This Row],[ Index (m3)]] - gas_cost10713519[[#This Row],[Original index 
(m3)]]</f>
        <v>24</v>
      </c>
      <c r="R22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22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5.5439999999999996</v>
      </c>
      <c r="T22" s="12">
        <f xml:space="preserve"> gas_cost10713519[[#This Row],[Gas Net cost to date
(TND)]]* (1 + E$5)</f>
        <v>6.5419199999999993</v>
      </c>
      <c r="U22" s="12">
        <f>(gas_cost10713519[[#This Row],[Gas Cost to date  VAT included
(TND)
]] - T21)/_xlfn.DAYS(electricity_cost311418[[#This Row],[Date of reading 
(Elect + Gas)]], G21)</f>
        <v>0.27257999999999988</v>
      </c>
      <c r="V22" s="12">
        <f>(gas_cost10713519[[#This Row],[Consumption (m3)]] - Q21)/_xlfn.DAYS(electricity_cost311418[[#This Row],[Date of reading 
(Elect + Gas)]], G21)</f>
        <v>1</v>
      </c>
      <c r="W22" s="20">
        <f xml:space="preserve"> E$8 + ((electricity_cost311418[[#This Row],[Elect. Net cost to date
(TND)]] + E$6 + gas_cost10713519[[#This Row],[Gas Net cost to date
(TND)]] + E$7) * (1 + E$5))</f>
        <v>86.479339999999993</v>
      </c>
      <c r="X22" s="38"/>
    </row>
    <row r="23" spans="2:25" x14ac:dyDescent="0.25">
      <c r="B23" s="15">
        <v>19192</v>
      </c>
      <c r="C23" s="58">
        <v>43346</v>
      </c>
      <c r="D23" s="59">
        <v>43475</v>
      </c>
      <c r="E23">
        <v>19516</v>
      </c>
      <c r="F23" s="11">
        <f>electricity_cost311418[[#This Row],[ Index (KWh)]]-electricity_cost311418[[#This Row],[Original index 
(KWh)]]</f>
        <v>324</v>
      </c>
      <c r="G23" s="6">
        <v>43390</v>
      </c>
      <c r="H23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3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58.643999999999998</v>
      </c>
      <c r="J23" s="10">
        <f xml:space="preserve"> (E$6 + electricity_cost311418[[#This Row],[Elect. Net cost to date
(TND)]]) * (1 + E$5)</f>
        <v>85.719920000000002</v>
      </c>
      <c r="K23" s="12">
        <f>(electricity_cost311418[[#This Row],[Elect. Cost  VAT included
(TND)
]]-J22)/_xlfn.DAYS(electricity_cost311418[[#This Row],[Date of reading 
(Elect + Gas)]], G22)</f>
        <v>1.1441785714285717</v>
      </c>
      <c r="L23" s="62">
        <f>(electricity_cost311418[[#This Row],[Consumption to date (KWh)]] - F22)/_xlfn.DAYS(electricity_cost311418[[#This Row],[Date of reading 
(Elect + Gas)]], G22)</f>
        <v>5.3571428571428568</v>
      </c>
      <c r="M23">
        <v>9614</v>
      </c>
      <c r="P23">
        <v>9650</v>
      </c>
      <c r="Q23" s="11">
        <f>gas_cost10713519[[#This Row],[ Index (m3)]] - gas_cost10713519[[#This Row],[Original index 
(m3)]]</f>
        <v>36</v>
      </c>
      <c r="R23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23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8.3160000000000007</v>
      </c>
      <c r="T23" s="12">
        <f xml:space="preserve"> gas_cost10713519[[#This Row],[Gas Net cost to date
(TND)]]* (1 + E$5)</f>
        <v>9.8128799999999998</v>
      </c>
      <c r="U23" s="12">
        <f>(gas_cost10713519[[#This Row],[Gas Cost to date  VAT included
(TND)
]] - T22)/_xlfn.DAYS(electricity_cost311418[[#This Row],[Date of reading 
(Elect + Gas)]], G22)</f>
        <v>0.23364000000000004</v>
      </c>
      <c r="V23" s="12">
        <f>(gas_cost10713519[[#This Row],[Consumption (m3)]] - Q22)/_xlfn.DAYS(electricity_cost311418[[#This Row],[Date of reading 
(Elect + Gas)]], G22)</f>
        <v>0.8571428571428571</v>
      </c>
      <c r="W23" s="20">
        <f xml:space="preserve"> E$8 + ((electricity_cost311418[[#This Row],[Elect. Net cost to date
(TND)]] + E$6 + gas_cost10713519[[#This Row],[Gas Net cost to date
(TND)]] + E$7) * (1 + E$5))</f>
        <v>105.76880000000001</v>
      </c>
      <c r="X23" s="38"/>
    </row>
    <row r="24" spans="2:25" x14ac:dyDescent="0.25">
      <c r="B24">
        <v>19192</v>
      </c>
      <c r="C24" s="6">
        <v>43346</v>
      </c>
      <c r="D24" s="54">
        <v>43475</v>
      </c>
      <c r="E24">
        <v>19551</v>
      </c>
      <c r="F24" s="11">
        <f>electricity_cost311418[[#This Row],[ Index (KWh)]]-electricity_cost311418[[#This Row],[Original index 
(KWh)]]</f>
        <v>359</v>
      </c>
      <c r="G24" s="6">
        <v>43396</v>
      </c>
      <c r="H24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4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64.978999999999999</v>
      </c>
      <c r="J24" s="10">
        <f xml:space="preserve"> (E$6 + electricity_cost311418[[#This Row],[Elect. Net cost to date
(TND)]]) * (1 + E$5)</f>
        <v>93.195219999999992</v>
      </c>
      <c r="K24" s="12">
        <f>(electricity_cost311418[[#This Row],[Elect. Cost  VAT included
(TND)
]]-J23)/_xlfn.DAYS(electricity_cost311418[[#This Row],[Date of reading 
(Elect + Gas)]], G23)</f>
        <v>1.2458833333333317</v>
      </c>
      <c r="L24" s="12">
        <f>(electricity_cost311418[[#This Row],[Consumption to date (KWh)]] - F23)/_xlfn.DAYS(electricity_cost311418[[#This Row],[Date of reading 
(Elect + Gas)]], G23)</f>
        <v>5.833333333333333</v>
      </c>
      <c r="M24">
        <v>9614</v>
      </c>
      <c r="P24">
        <v>9655</v>
      </c>
      <c r="Q24" s="11">
        <f>gas_cost10713519[[#This Row],[ Index (m3)]] - gas_cost10713519[[#This Row],[Original index 
(m3)]]</f>
        <v>41</v>
      </c>
      <c r="R24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24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9.4710000000000001</v>
      </c>
      <c r="T24" s="12">
        <f xml:space="preserve"> gas_cost10713519[[#This Row],[Gas Net cost to date
(TND)]]* (1 + E$5)</f>
        <v>11.17578</v>
      </c>
      <c r="U24" s="12">
        <f>(gas_cost10713519[[#This Row],[Gas Cost to date  VAT included
(TND)
]] - T23)/_xlfn.DAYS(electricity_cost311418[[#This Row],[Date of reading 
(Elect + Gas)]], G23)</f>
        <v>0.22714999999999996</v>
      </c>
      <c r="V24" s="12">
        <f>(gas_cost10713519[[#This Row],[Consumption (m3)]] - Q23)/_xlfn.DAYS(electricity_cost311418[[#This Row],[Date of reading 
(Elect + Gas)]], G23)</f>
        <v>0.83333333333333337</v>
      </c>
      <c r="W24" s="20">
        <f xml:space="preserve"> E$8 + ((electricity_cost311418[[#This Row],[Elect. Net cost to date
(TND)]] + E$6 + gas_cost10713519[[#This Row],[Gas Net cost to date
(TND)]] + E$7) * (1 + E$5))</f>
        <v>114.607</v>
      </c>
      <c r="X24" s="38"/>
    </row>
    <row r="25" spans="2:25" x14ac:dyDescent="0.25">
      <c r="B25" s="15">
        <v>19192</v>
      </c>
      <c r="C25" s="58">
        <v>43346</v>
      </c>
      <c r="D25" s="59">
        <v>43475</v>
      </c>
      <c r="E25">
        <v>19631</v>
      </c>
      <c r="F25" s="11">
        <f>electricity_cost311418[[#This Row],[ Index (KWh)]]-electricity_cost311418[[#This Row],[Original index 
(KWh)]]</f>
        <v>439</v>
      </c>
      <c r="G25" s="6">
        <v>43411</v>
      </c>
      <c r="H25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5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79.459000000000003</v>
      </c>
      <c r="J25" s="10">
        <f xml:space="preserve"> (E$6 + electricity_cost311418[[#This Row],[Elect. Net cost to date
(TND)]]) * (1 + E$5)</f>
        <v>110.28162</v>
      </c>
      <c r="K25" s="12">
        <f>(electricity_cost311418[[#This Row],[Elect. Cost  VAT included
(TND)
]]-J24)/_xlfn.DAYS(electricity_cost311418[[#This Row],[Date of reading 
(Elect + Gas)]], G24)</f>
        <v>1.1390933333333342</v>
      </c>
      <c r="L25" s="62">
        <f>(electricity_cost311418[[#This Row],[Consumption to date (KWh)]] - F24)/_xlfn.DAYS(electricity_cost311418[[#This Row],[Date of reading 
(Elect + Gas)]], G24)</f>
        <v>5.333333333333333</v>
      </c>
      <c r="M25">
        <v>9614</v>
      </c>
      <c r="P25">
        <v>9672</v>
      </c>
      <c r="Q25" s="11">
        <f>gas_cost10713519[[#This Row],[ Index (m3)]] - gas_cost10713519[[#This Row],[Original index 
(m3)]]</f>
        <v>58</v>
      </c>
      <c r="R25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25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13.398</v>
      </c>
      <c r="T25" s="12">
        <f xml:space="preserve"> gas_cost10713519[[#This Row],[Gas Net cost to date
(TND)]]* (1 + E$5)</f>
        <v>15.809639999999998</v>
      </c>
      <c r="U25" s="12">
        <f>(gas_cost10713519[[#This Row],[Gas Cost to date  VAT included
(TND)
]] - T24)/_xlfn.DAYS(electricity_cost311418[[#This Row],[Date of reading 
(Elect + Gas)]], G24)</f>
        <v>0.30892399999999992</v>
      </c>
      <c r="V25" s="12">
        <f>(gas_cost10713519[[#This Row],[Consumption (m3)]] - Q24)/_xlfn.DAYS(electricity_cost311418[[#This Row],[Date of reading 
(Elect + Gas)]], G24)</f>
        <v>1.1333333333333333</v>
      </c>
      <c r="W25" s="20">
        <f xml:space="preserve"> E$8 + ((electricity_cost311418[[#This Row],[Elect. Net cost to date
(TND)]] + E$6 + gas_cost10713519[[#This Row],[Gas Net cost to date
(TND)]] + E$7) * (1 + E$5))</f>
        <v>136.32726</v>
      </c>
      <c r="X25" s="38"/>
    </row>
    <row r="26" spans="2:25" x14ac:dyDescent="0.25">
      <c r="B26">
        <v>19192</v>
      </c>
      <c r="C26" s="6">
        <v>43346</v>
      </c>
      <c r="D26" s="54">
        <v>43475</v>
      </c>
      <c r="E26">
        <v>19666</v>
      </c>
      <c r="F26" s="11">
        <f>electricity_cost311418[[#This Row],[ Index (KWh)]]-electricity_cost311418[[#This Row],[Original index 
(KWh)]]</f>
        <v>474</v>
      </c>
      <c r="G26" s="6">
        <v>43418</v>
      </c>
      <c r="H26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6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85.793999999999997</v>
      </c>
      <c r="J26" s="10">
        <f xml:space="preserve"> (E$6 + electricity_cost311418[[#This Row],[Elect. Net cost to date
(TND)]]) * (1 + E$5)</f>
        <v>117.75691999999999</v>
      </c>
      <c r="K26" s="12">
        <f>(electricity_cost311418[[#This Row],[Elect. Cost  VAT included
(TND)
]]-J25)/_xlfn.DAYS(electricity_cost311418[[#This Row],[Date of reading 
(Elect + Gas)]], G25)</f>
        <v>1.0678999999999985</v>
      </c>
      <c r="L26" s="62">
        <f>(electricity_cost311418[[#This Row],[Consumption to date (KWh)]] - F25)/_xlfn.DAYS(electricity_cost311418[[#This Row],[Date of reading 
(Elect + Gas)]], G25)</f>
        <v>5</v>
      </c>
      <c r="M26">
        <v>9614</v>
      </c>
      <c r="P26">
        <v>9679</v>
      </c>
      <c r="Q26" s="11">
        <f>gas_cost10713519[[#This Row],[ Index (m3)]] - gas_cost10713519[[#This Row],[Original index 
(m3)]]</f>
        <v>65</v>
      </c>
      <c r="R26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26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15.015000000000001</v>
      </c>
      <c r="T26" s="12">
        <f xml:space="preserve"> gas_cost10713519[[#This Row],[Gas Net cost to date
(TND)]]* (1 + E$5)</f>
        <v>17.717700000000001</v>
      </c>
      <c r="U26" s="12">
        <f>(gas_cost10713519[[#This Row],[Gas Cost to date  VAT included
(TND)
]] - T25)/_xlfn.DAYS(electricity_cost311418[[#This Row],[Date of reading 
(Elect + Gas)]], G25)</f>
        <v>0.27258000000000038</v>
      </c>
      <c r="V26" s="12">
        <f>(gas_cost10713519[[#This Row],[Consumption (m3)]] - Q25)/_xlfn.DAYS(electricity_cost311418[[#This Row],[Date of reading 
(Elect + Gas)]], G25)</f>
        <v>1</v>
      </c>
      <c r="W26" s="20">
        <f xml:space="preserve"> E$8 + ((electricity_cost311418[[#This Row],[Elect. Net cost to date
(TND)]] + E$6 + gas_cost10713519[[#This Row],[Gas Net cost to date
(TND)]] + E$7) * (1 + E$5))</f>
        <v>145.71062000000001</v>
      </c>
      <c r="X26" s="38"/>
    </row>
    <row r="27" spans="2:25" x14ac:dyDescent="0.25">
      <c r="B27" s="15">
        <v>19192</v>
      </c>
      <c r="C27" s="58">
        <v>43346</v>
      </c>
      <c r="D27" s="59">
        <v>43475</v>
      </c>
      <c r="E27">
        <v>19733</v>
      </c>
      <c r="F27" s="11">
        <f>electricity_cost311418[[#This Row],[ Index (KWh)]]-electricity_cost311418[[#This Row],[Original index 
(KWh)]]</f>
        <v>541</v>
      </c>
      <c r="G27" s="6">
        <v>43431</v>
      </c>
      <c r="H27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7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97.921000000000006</v>
      </c>
      <c r="J27" s="10">
        <f xml:space="preserve"> (E$6 + electricity_cost311418[[#This Row],[Elect. Net cost to date
(TND)]]) * (1 + E$5)</f>
        <v>132.06677999999999</v>
      </c>
      <c r="K27" s="12">
        <f>(electricity_cost311418[[#This Row],[Elect. Cost  VAT included
(TND)
]]-J26)/_xlfn.DAYS(electricity_cost311418[[#This Row],[Date of reading 
(Elect + Gas)]], G26)</f>
        <v>1.1007584615384616</v>
      </c>
      <c r="L27" s="62">
        <f>(electricity_cost311418[[#This Row],[Consumption to date (KWh)]] - F26)/_xlfn.DAYS(electricity_cost311418[[#This Row],[Date of reading 
(Elect + Gas)]], G26)</f>
        <v>5.1538461538461542</v>
      </c>
      <c r="M27">
        <v>9614</v>
      </c>
      <c r="P27">
        <v>9719</v>
      </c>
      <c r="Q27" s="11">
        <f>gas_cost10713519[[#This Row],[ Index (m3)]] - gas_cost10713519[[#This Row],[Original index 
(m3)]]</f>
        <v>105</v>
      </c>
      <c r="R27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1</v>
      </c>
      <c r="S27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24.254999999999999</v>
      </c>
      <c r="T27" s="12">
        <f xml:space="preserve"> gas_cost10713519[[#This Row],[Gas Net cost to date
(TND)]]* (1 + E$5)</f>
        <v>28.620899999999999</v>
      </c>
      <c r="U27" s="12">
        <f>(gas_cost10713519[[#This Row],[Gas Cost to date  VAT included
(TND)
]] - T26)/_xlfn.DAYS(electricity_cost311418[[#This Row],[Date of reading 
(Elect + Gas)]], G26)</f>
        <v>0.83870769230769215</v>
      </c>
      <c r="V27" s="12">
        <f>(gas_cost10713519[[#This Row],[Consumption (m3)]] - Q26)/_xlfn.DAYS(electricity_cost311418[[#This Row],[Date of reading 
(Elect + Gas)]], G26)</f>
        <v>3.0769230769230771</v>
      </c>
      <c r="W27" s="20">
        <f xml:space="preserve"> E$8 + ((electricity_cost311418[[#This Row],[Elect. Net cost to date
(TND)]] + E$6 + gas_cost10713519[[#This Row],[Gas Net cost to date
(TND)]] + E$7) * (1 + E$5))</f>
        <v>170.92368000000002</v>
      </c>
      <c r="X27" s="38"/>
    </row>
    <row r="28" spans="2:25" x14ac:dyDescent="0.25">
      <c r="B28" s="15">
        <v>19192</v>
      </c>
      <c r="C28" s="58">
        <v>43346</v>
      </c>
      <c r="D28" s="59">
        <v>43475</v>
      </c>
      <c r="E28">
        <v>19751</v>
      </c>
      <c r="F28" s="11">
        <f>electricity_cost311418[[#This Row],[ Index (KWh)]]-electricity_cost311418[[#This Row],[Original index 
(KWh)]]</f>
        <v>559</v>
      </c>
      <c r="G28" s="6">
        <v>43434</v>
      </c>
      <c r="H28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8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101.179</v>
      </c>
      <c r="J28" s="10">
        <f xml:space="preserve"> (E$6 + electricity_cost311418[[#This Row],[Elect. Net cost to date
(TND)]]) * (1 + E$5)</f>
        <v>135.91121999999999</v>
      </c>
      <c r="K28" s="12">
        <f>(electricity_cost311418[[#This Row],[Elect. Cost  VAT included
(TND)
]]-J27)/_xlfn.DAYS(electricity_cost311418[[#This Row],[Date of reading 
(Elect + Gas)]], G27)</f>
        <v>1.2814799999999973</v>
      </c>
      <c r="L28" s="62">
        <f>(electricity_cost311418[[#This Row],[Consumption to date (KWh)]] - F27)/_xlfn.DAYS(electricity_cost311418[[#This Row],[Date of reading 
(Elect + Gas)]], G27)</f>
        <v>6</v>
      </c>
      <c r="M28">
        <v>9614</v>
      </c>
      <c r="P28">
        <v>9740</v>
      </c>
      <c r="Q28" s="11">
        <f>gas_cost10713519[[#This Row],[ Index (m3)]] - gas_cost10713519[[#This Row],[Original index 
(m3)]]</f>
        <v>126</v>
      </c>
      <c r="R28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2</v>
      </c>
      <c r="S28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36.54</v>
      </c>
      <c r="T28" s="12">
        <f xml:space="preserve"> gas_cost10713519[[#This Row],[Gas Net cost to date
(TND)]]* (1 + E$5)</f>
        <v>43.117199999999997</v>
      </c>
      <c r="U28" s="12">
        <f>(gas_cost10713519[[#This Row],[Gas Cost to date  VAT included
(TND)
]] - T27)/_xlfn.DAYS(electricity_cost311418[[#This Row],[Date of reading 
(Elect + Gas)]], G27)</f>
        <v>4.8320999999999996</v>
      </c>
      <c r="V28" s="12">
        <f>(gas_cost10713519[[#This Row],[Consumption (m3)]] - Q27)/_xlfn.DAYS(electricity_cost311418[[#This Row],[Date of reading 
(Elect + Gas)]], G27)</f>
        <v>7</v>
      </c>
      <c r="W28" s="20">
        <f xml:space="preserve"> E$8 + ((electricity_cost311418[[#This Row],[Elect. Net cost to date
(TND)]] + E$6 + gas_cost10713519[[#This Row],[Gas Net cost to date
(TND)]] + E$7) * (1 + E$5))</f>
        <v>189.26442</v>
      </c>
      <c r="X28" s="38"/>
    </row>
    <row r="29" spans="2:25" x14ac:dyDescent="0.25">
      <c r="B29">
        <v>19192</v>
      </c>
      <c r="C29" s="6">
        <v>43346</v>
      </c>
      <c r="D29" s="54">
        <v>43475</v>
      </c>
      <c r="E29">
        <v>19768</v>
      </c>
      <c r="F29" s="11">
        <f>electricity_cost311418[[#This Row],[ Index (KWh)]]-electricity_cost311418[[#This Row],[Original index 
(KWh)]]</f>
        <v>576</v>
      </c>
      <c r="G29" s="6">
        <v>43437</v>
      </c>
      <c r="H29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29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104.256</v>
      </c>
      <c r="J29" s="10">
        <f xml:space="preserve"> (E$6 + electricity_cost311418[[#This Row],[Elect. Net cost to date
(TND)]]) * (1 + E$5)</f>
        <v>139.54208</v>
      </c>
      <c r="K29" s="12">
        <f>(electricity_cost311418[[#This Row],[Elect. Cost  VAT included
(TND)
]]-J28)/_xlfn.DAYS(electricity_cost311418[[#This Row],[Date of reading 
(Elect + Gas)]], G28)</f>
        <v>1.210286666666671</v>
      </c>
      <c r="L29" s="62">
        <f>(electricity_cost311418[[#This Row],[Consumption to date (KWh)]] - F28)/_xlfn.DAYS(electricity_cost311418[[#This Row],[Date of reading 
(Elect + Gas)]], G28)</f>
        <v>5.666666666666667</v>
      </c>
      <c r="M29">
        <v>9614</v>
      </c>
      <c r="P29">
        <v>9758</v>
      </c>
      <c r="Q29" s="11">
        <f>gas_cost10713519[[#This Row],[ Index (m3)]] - gas_cost10713519[[#This Row],[Original index 
(m3)]]</f>
        <v>144</v>
      </c>
      <c r="R29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2</v>
      </c>
      <c r="S29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41.76</v>
      </c>
      <c r="T29" s="12">
        <f xml:space="preserve"> gas_cost10713519[[#This Row],[Gas Net cost to date
(TND)]]* (1 + E$5)</f>
        <v>49.276799999999994</v>
      </c>
      <c r="U29" s="12">
        <f>(gas_cost10713519[[#This Row],[Gas Cost to date  VAT included
(TND)
]] - T28)/_xlfn.DAYS(electricity_cost311418[[#This Row],[Date of reading 
(Elect + Gas)]], G28)</f>
        <v>2.053199999999999</v>
      </c>
      <c r="V29" s="12">
        <f>(gas_cost10713519[[#This Row],[Consumption (m3)]] - Q28)/_xlfn.DAYS(electricity_cost311418[[#This Row],[Date of reading 
(Elect + Gas)]], G28)</f>
        <v>6</v>
      </c>
      <c r="W29" s="20">
        <f xml:space="preserve"> E$8 + ((electricity_cost311418[[#This Row],[Elect. Net cost to date
(TND)]] + E$6 + gas_cost10713519[[#This Row],[Gas Net cost to date
(TND)]] + E$7) * (1 + E$5))</f>
        <v>199.05488</v>
      </c>
      <c r="X29" s="38"/>
    </row>
    <row r="30" spans="2:25" x14ac:dyDescent="0.25">
      <c r="B30" s="15">
        <v>19192</v>
      </c>
      <c r="C30" s="58">
        <v>43346</v>
      </c>
      <c r="D30" s="59">
        <v>43475</v>
      </c>
      <c r="E30">
        <v>19791</v>
      </c>
      <c r="F30" s="11">
        <f>electricity_cost311418[[#This Row],[ Index (KWh)]]-electricity_cost311418[[#This Row],[Original index 
(KWh)]]</f>
        <v>599</v>
      </c>
      <c r="G30" s="6">
        <v>43441</v>
      </c>
      <c r="H30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30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108.419</v>
      </c>
      <c r="J30" s="10">
        <f xml:space="preserve"> (E$6 + electricity_cost311418[[#This Row],[Elect. Net cost to date
(TND)]]) * (1 + E$5)</f>
        <v>144.45442</v>
      </c>
      <c r="K30" s="12">
        <f>(electricity_cost311418[[#This Row],[Elect. Cost  VAT included
(TND)
]]-J29)/_xlfn.DAYS(electricity_cost311418[[#This Row],[Date of reading 
(Elect + Gas)]], G29)</f>
        <v>1.2280850000000001</v>
      </c>
      <c r="L30" s="62">
        <f>(electricity_cost311418[[#This Row],[Consumption to date (KWh)]] - F29)/_xlfn.DAYS(electricity_cost311418[[#This Row],[Date of reading 
(Elect + Gas)]], G29)</f>
        <v>5.75</v>
      </c>
      <c r="M30">
        <v>9614</v>
      </c>
      <c r="P30">
        <v>9774</v>
      </c>
      <c r="Q30" s="11">
        <f>gas_cost10713519[[#This Row],[ Index (m3)]] - gas_cost10713519[[#This Row],[Original index 
(m3)]]</f>
        <v>160</v>
      </c>
      <c r="R30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2</v>
      </c>
      <c r="S30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46.4</v>
      </c>
      <c r="T30" s="12">
        <f xml:space="preserve"> gas_cost10713519[[#This Row],[Gas Net cost to date
(TND)]]* (1 + E$5)</f>
        <v>54.751999999999995</v>
      </c>
      <c r="U30" s="12">
        <f>(gas_cost10713519[[#This Row],[Gas Cost to date  VAT included
(TND)
]] - T29)/_xlfn.DAYS(electricity_cost311418[[#This Row],[Date of reading 
(Elect + Gas)]], G29)</f>
        <v>1.3688000000000002</v>
      </c>
      <c r="V30" s="12">
        <f>(gas_cost10713519[[#This Row],[Consumption (m3)]] - Q29)/_xlfn.DAYS(electricity_cost311418[[#This Row],[Date of reading 
(Elect + Gas)]], G29)</f>
        <v>4</v>
      </c>
      <c r="W30" s="20">
        <f xml:space="preserve"> E$8 + ((electricity_cost311418[[#This Row],[Elect. Net cost to date
(TND)]] + E$6 + gas_cost10713519[[#This Row],[Gas Net cost to date
(TND)]] + E$7) * (1 + E$5))</f>
        <v>209.44241999999997</v>
      </c>
      <c r="X30" s="38"/>
    </row>
    <row r="31" spans="2:25" x14ac:dyDescent="0.25">
      <c r="B31">
        <v>19192</v>
      </c>
      <c r="C31" s="6">
        <v>43346</v>
      </c>
      <c r="D31" s="54">
        <v>43475</v>
      </c>
      <c r="E31">
        <v>19867</v>
      </c>
      <c r="F31" s="11">
        <f>electricity_cost311418[[#This Row],[ Index (KWh)]]-electricity_cost311418[[#This Row],[Original index 
(KWh)]]</f>
        <v>675</v>
      </c>
      <c r="G31" s="6">
        <v>43453</v>
      </c>
      <c r="H31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31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122.175</v>
      </c>
      <c r="J31" s="10">
        <f xml:space="preserve"> (E$6 + electricity_cost311418[[#This Row],[Elect. Net cost to date
(TND)]]) * (1 + E$5)</f>
        <v>160.6865</v>
      </c>
      <c r="K31" s="12">
        <f>(electricity_cost311418[[#This Row],[Elect. Cost  VAT included
(TND)
]]-J30)/_xlfn.DAYS(electricity_cost311418[[#This Row],[Date of reading 
(Elect + Gas)]], G30)</f>
        <v>1.352673333333333</v>
      </c>
      <c r="L31" s="62">
        <f>(electricity_cost311418[[#This Row],[Consumption to date (KWh)]] - F30)/_xlfn.DAYS(electricity_cost311418[[#This Row],[Date of reading 
(Elect + Gas)]], G30)</f>
        <v>6.333333333333333</v>
      </c>
      <c r="M31">
        <v>9614</v>
      </c>
      <c r="P31">
        <v>9853</v>
      </c>
      <c r="Q31" s="11">
        <f>gas_cost10713519[[#This Row],[ Index (m3)]] - gas_cost10713519[[#This Row],[Original index 
(m3)]]</f>
        <v>239</v>
      </c>
      <c r="R31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2</v>
      </c>
      <c r="S31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69.31</v>
      </c>
      <c r="T31" s="12">
        <f xml:space="preserve"> gas_cost10713519[[#This Row],[Gas Net cost to date
(TND)]]* (1 + E$5)</f>
        <v>81.785799999999995</v>
      </c>
      <c r="U31" s="12">
        <f>(gas_cost10713519[[#This Row],[Gas Cost to date  VAT included
(TND)
]] - T30)/_xlfn.DAYS(electricity_cost311418[[#This Row],[Date of reading 
(Elect + Gas)]], G30)</f>
        <v>2.2528166666666665</v>
      </c>
      <c r="V31" s="12">
        <f>(gas_cost10713519[[#This Row],[Consumption (m3)]] - Q30)/_xlfn.DAYS(electricity_cost311418[[#This Row],[Date of reading 
(Elect + Gas)]], G30)</f>
        <v>6.583333333333333</v>
      </c>
      <c r="W31" s="20">
        <f xml:space="preserve"> E$8 + ((electricity_cost311418[[#This Row],[Elect. Net cost to date
(TND)]] + E$6 + gas_cost10713519[[#This Row],[Gas Net cost to date
(TND)]] + E$7) * (1 + E$5))</f>
        <v>252.70830000000001</v>
      </c>
      <c r="X31" s="38"/>
    </row>
    <row r="32" spans="2:25" x14ac:dyDescent="0.25">
      <c r="B32" s="15">
        <v>19192</v>
      </c>
      <c r="C32" s="58">
        <v>43346</v>
      </c>
      <c r="D32" s="59">
        <v>43475</v>
      </c>
      <c r="E32">
        <v>19957</v>
      </c>
      <c r="F32" s="11">
        <f>electricity_cost311418[[#This Row],[ Index (KWh)]]-electricity_cost311418[[#This Row],[Original index 
(KWh)]]</f>
        <v>765</v>
      </c>
      <c r="G32" s="6">
        <v>43466</v>
      </c>
      <c r="H32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1</v>
      </c>
      <c r="I32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138.465</v>
      </c>
      <c r="J32" s="10">
        <f xml:space="preserve"> (E$6 + electricity_cost311418[[#This Row],[Elect. Net cost to date
(TND)]]) * (1 + E$5)</f>
        <v>179.90869999999998</v>
      </c>
      <c r="K32" s="12">
        <f>(electricity_cost311418[[#This Row],[Elect. Cost  VAT included
(TND)
]]-J31)/_xlfn.DAYS(electricity_cost311418[[#This Row],[Date of reading 
(Elect + Gas)]], G31)</f>
        <v>1.4786307692307683</v>
      </c>
      <c r="L32" s="62">
        <f>(electricity_cost311418[[#This Row],[Consumption to date (KWh)]] - F31)/_xlfn.DAYS(electricity_cost311418[[#This Row],[Date of reading 
(Elect + Gas)]], G31)</f>
        <v>6.9230769230769234</v>
      </c>
      <c r="M32">
        <v>9614</v>
      </c>
      <c r="P32">
        <v>9945</v>
      </c>
      <c r="Q32" s="11">
        <f>gas_cost10713519[[#This Row],[ Index (m3)]] - gas_cost10713519[[#This Row],[Original index 
(m3)]]</f>
        <v>331</v>
      </c>
      <c r="R32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3</v>
      </c>
      <c r="S32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133.393</v>
      </c>
      <c r="T32" s="12">
        <f xml:space="preserve"> gas_cost10713519[[#This Row],[Gas Net cost to date
(TND)]]* (1 + E$5)</f>
        <v>157.40374</v>
      </c>
      <c r="U32" s="12">
        <f>(gas_cost10713519[[#This Row],[Gas Cost to date  VAT included
(TND)
]] - T31)/_xlfn.DAYS(electricity_cost311418[[#This Row],[Date of reading 
(Elect + Gas)]], G31)</f>
        <v>5.8167646153846153</v>
      </c>
      <c r="V32" s="12">
        <f>(gas_cost10713519[[#This Row],[Consumption (m3)]] - Q31)/_xlfn.DAYS(electricity_cost311418[[#This Row],[Date of reading 
(Elect + Gas)]], G31)</f>
        <v>7.0769230769230766</v>
      </c>
      <c r="W32" s="20">
        <f xml:space="preserve"> E$8 + ((electricity_cost311418[[#This Row],[Elect. Net cost to date
(TND)]] + E$6 + gas_cost10713519[[#This Row],[Gas Net cost to date
(TND)]] + E$7) * (1 + E$5))</f>
        <v>347.54843999999997</v>
      </c>
      <c r="X32" s="38"/>
    </row>
    <row r="33" spans="2:24" x14ac:dyDescent="0.25">
      <c r="B33">
        <v>19192</v>
      </c>
      <c r="C33" s="6">
        <v>43346</v>
      </c>
      <c r="D33" s="54">
        <v>43475</v>
      </c>
      <c r="E33">
        <v>19999</v>
      </c>
      <c r="F33" s="11">
        <f>electricity_cost311418[[#This Row],[ Index (KWh)]]-electricity_cost311418[[#This Row],[Original index 
(KWh)]]</f>
        <v>807</v>
      </c>
      <c r="G33" s="6">
        <v>43473</v>
      </c>
      <c r="H33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2</v>
      </c>
      <c r="I33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146.36099999999999</v>
      </c>
      <c r="J33" s="10">
        <f xml:space="preserve"> (E$6 + electricity_cost311418[[#This Row],[Elect. Net cost to date
(TND)]]) * (1 + E$5)</f>
        <v>189.22597999999996</v>
      </c>
      <c r="K33" s="12">
        <f>(electricity_cost311418[[#This Row],[Elect. Cost  VAT included
(TND)
]]-J32)/_xlfn.DAYS(electricity_cost311418[[#This Row],[Date of reading 
(Elect + Gas)]], G32)</f>
        <v>1.3310399999999976</v>
      </c>
      <c r="L33" s="62">
        <f>(electricity_cost311418[[#This Row],[Consumption to date (KWh)]] - F32)/_xlfn.DAYS(electricity_cost311418[[#This Row],[Date of reading 
(Elect + Gas)]], G32)</f>
        <v>6</v>
      </c>
      <c r="M33">
        <v>9614</v>
      </c>
      <c r="P33">
        <v>10008</v>
      </c>
      <c r="Q33" s="11">
        <f>gas_cost10713519[[#This Row],[ Index (m3)]] - gas_cost10713519[[#This Row],[Original index 
(m3)]]</f>
        <v>394</v>
      </c>
      <c r="R33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3</v>
      </c>
      <c r="S33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158.78200000000001</v>
      </c>
      <c r="T33" s="12">
        <f xml:space="preserve"> gas_cost10713519[[#This Row],[Gas Net cost to date
(TND)]]* (1 + E$5)</f>
        <v>187.36276000000001</v>
      </c>
      <c r="U33" s="12">
        <f>(gas_cost10713519[[#This Row],[Gas Cost to date  VAT included
(TND)
]] - T32)/_xlfn.DAYS(electricity_cost311418[[#This Row],[Date of reading 
(Elect + Gas)]], G32)</f>
        <v>4.2798600000000011</v>
      </c>
      <c r="V33" s="12">
        <f>(gas_cost10713519[[#This Row],[Consumption (m3)]] - Q32)/_xlfn.DAYS(electricity_cost311418[[#This Row],[Date of reading 
(Elect + Gas)]], G32)</f>
        <v>9</v>
      </c>
      <c r="W33" s="20">
        <f xml:space="preserve"> E$8 + ((electricity_cost311418[[#This Row],[Elect. Net cost to date
(TND)]] + E$6 + gas_cost10713519[[#This Row],[Gas Net cost to date
(TND)]] + E$7) * (1 + E$5))</f>
        <v>386.82473999999996</v>
      </c>
      <c r="X33" s="38"/>
    </row>
    <row r="34" spans="2:24" x14ac:dyDescent="0.25">
      <c r="B34">
        <v>19192</v>
      </c>
      <c r="C34" s="6">
        <v>43346</v>
      </c>
      <c r="D34" s="54">
        <v>43475</v>
      </c>
      <c r="E34">
        <v>20006</v>
      </c>
      <c r="F34" s="11">
        <f>electricity_cost311418[[#This Row],[ Index (KWh)]]-electricity_cost311418[[#This Row],[Original index 
(KWh)]]</f>
        <v>814</v>
      </c>
      <c r="G34" s="6">
        <v>43474</v>
      </c>
      <c r="H34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2</v>
      </c>
      <c r="I34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147.922</v>
      </c>
      <c r="J34" s="10">
        <f xml:space="preserve"> (E$6 + electricity_cost311418[[#This Row],[Elect. Net cost to date
(TND)]]) * (1 + E$5)</f>
        <v>191.06796</v>
      </c>
      <c r="K34" s="12">
        <f>(electricity_cost311418[[#This Row],[Elect. Cost  VAT included
(TND)
]]-J33)/_xlfn.DAYS(electricity_cost311418[[#This Row],[Date of reading 
(Elect + Gas)]], G33)</f>
        <v>1.841980000000035</v>
      </c>
      <c r="L34" s="62">
        <f>(electricity_cost311418[[#This Row],[Consumption to date (KWh)]] - F33)/_xlfn.DAYS(electricity_cost311418[[#This Row],[Date of reading 
(Elect + Gas)]], G33)</f>
        <v>7</v>
      </c>
      <c r="M34">
        <v>9614</v>
      </c>
      <c r="P34">
        <v>10020</v>
      </c>
      <c r="Q34" s="11">
        <f>gas_cost10713519[[#This Row],[ Index (m3)]] - gas_cost10713519[[#This Row],[Original index 
(m3)]]</f>
        <v>406</v>
      </c>
      <c r="R34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3</v>
      </c>
      <c r="S34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163.61799999999999</v>
      </c>
      <c r="T34" s="12">
        <f xml:space="preserve"> gas_cost10713519[[#This Row],[Gas Net cost to date
(TND)]]* (1 + E$5)</f>
        <v>193.06923999999998</v>
      </c>
      <c r="U34" s="12">
        <f>(gas_cost10713519[[#This Row],[Gas Cost to date  VAT included
(TND)
]] - T33)/_xlfn.DAYS(electricity_cost311418[[#This Row],[Date of reading 
(Elect + Gas)]], G33)</f>
        <v>5.7064799999999707</v>
      </c>
      <c r="V34" s="12">
        <f>(gas_cost10713519[[#This Row],[Consumption (m3)]] - Q33)/_xlfn.DAYS(electricity_cost311418[[#This Row],[Date of reading 
(Elect + Gas)]], G33)</f>
        <v>12</v>
      </c>
      <c r="W34" s="20">
        <f xml:space="preserve"> E$8 + ((electricity_cost311418[[#This Row],[Elect. Net cost to date
(TND)]] + E$6 + gas_cost10713519[[#This Row],[Gas Net cost to date
(TND)]] + E$7) * (1 + E$5))</f>
        <v>394.37319999999994</v>
      </c>
      <c r="X34" s="38"/>
    </row>
    <row r="35" spans="2:24" x14ac:dyDescent="0.25">
      <c r="B35" s="15">
        <v>19192</v>
      </c>
      <c r="C35" s="58">
        <v>43346</v>
      </c>
      <c r="D35" s="59">
        <v>43475</v>
      </c>
      <c r="E35">
        <v>20013</v>
      </c>
      <c r="F35" s="11">
        <f>electricity_cost311418[[#This Row],[ Index (KWh)]]-electricity_cost311418[[#This Row],[Original index 
(KWh)]]</f>
        <v>821</v>
      </c>
      <c r="G35" s="6">
        <v>43475</v>
      </c>
      <c r="H35" s="21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2</v>
      </c>
      <c r="I35" s="12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149.483</v>
      </c>
      <c r="J35" s="10">
        <f xml:space="preserve"> (E$6 + electricity_cost311418[[#This Row],[Elect. Net cost to date
(TND)]]) * (1 + E$5)</f>
        <v>192.90994000000001</v>
      </c>
      <c r="K35" s="12">
        <f>electricity_cost311418[[#This Row],[Elect. Cost  VAT included
(TND)
]]-J34/(electricity_cost311418[[#This Row],[Date of reading 
(Elect + Gas)]]-G34)</f>
        <v>1.8419800000000066</v>
      </c>
      <c r="L35" s="62">
        <f>(electricity_cost311418[[#This Row],[Consumption to date (KWh)]] - F34)/_xlfn.DAYS(electricity_cost311418[[#This Row],[Date of reading 
(Elect + Gas)]], G34)</f>
        <v>7</v>
      </c>
      <c r="M35">
        <v>9614</v>
      </c>
      <c r="P35">
        <v>10032</v>
      </c>
      <c r="Q35" s="11">
        <f>gas_cost10713519[[#This Row],[ Index (m3)]] - gas_cost10713519[[#This Row],[Original index 
(m3)]]</f>
        <v>418</v>
      </c>
      <c r="R35" s="11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3</v>
      </c>
      <c r="S35" s="12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168.45400000000001</v>
      </c>
      <c r="T35" s="12">
        <f xml:space="preserve"> gas_cost10713519[[#This Row],[Gas Net cost to date
(TND)]]* (1 + E$5)</f>
        <v>198.77572000000001</v>
      </c>
      <c r="U35" s="12">
        <f>(gas_cost10713519[[#This Row],[Gas Cost to date  VAT included
(TND)
]] - T34)/_xlfn.DAYS(electricity_cost311418[[#This Row],[Date of reading 
(Elect + Gas)]], G34)</f>
        <v>5.7064800000000275</v>
      </c>
      <c r="V35" s="12">
        <f>(gas_cost10713519[[#This Row],[Consumption (m3)]] - Q34)/_xlfn.DAYS(electricity_cost311418[[#This Row],[Date of reading 
(Elect + Gas)]], G34)</f>
        <v>12</v>
      </c>
      <c r="W35" s="20">
        <f xml:space="preserve"> E$8 + ((electricity_cost311418[[#This Row],[Elect. Net cost to date
(TND)]] + E$6 + gas_cost10713519[[#This Row],[Gas Net cost to date
(TND)]] + E$7) * (1 + E$5))</f>
        <v>401.92165999999997</v>
      </c>
      <c r="X35" s="38"/>
    </row>
    <row r="36" spans="2:24" x14ac:dyDescent="0.25">
      <c r="B36" s="9">
        <v>19192</v>
      </c>
      <c r="C36" s="41">
        <v>43346</v>
      </c>
      <c r="D36" s="56">
        <v>43475</v>
      </c>
      <c r="E36" s="9">
        <v>20024</v>
      </c>
      <c r="F36" s="42">
        <f>electricity_cost311418[[#This Row],[ Index (KWh)]]-electricity_cost311418[[#This Row],[Original index 
(KWh)]]</f>
        <v>832</v>
      </c>
      <c r="G36" s="41">
        <v>43476</v>
      </c>
      <c r="H36" s="43">
        <f xml:space="preserve"> _xlfn.IFS(electricity_cost311418[[#This Row],[Consumption to date (KWh)]] &lt;= K$4, 1, AND(K$4 &lt; electricity_cost311418[[#This Row],[Consumption to date (KWh)]],  electricity_cost311418[[#This Row],[Consumption to date (KWh)]]&lt;= K$5), 2, AND(K$5 &lt; electricity_cost311418[[#This Row],[Consumption to date (KWh)]],  electricity_cost311418[[#This Row],[Consumption to date (KWh)]]&lt;= K$6), 3, electricity_cost311418[[#This Row],[Consumption to date (KWh)]] &gt; K$6, 4)</f>
        <v>2</v>
      </c>
      <c r="I36" s="45">
        <f>_xlfn.IFS(electricity_cost311418[[#This Row],[Level (Elect)]]= 1, (electricity_cost311418[[#This Row],[Consumption to date (KWh)]] * L$4)/1000, electricity_cost311418[[#This Row],[Level (Elect)]] = 2, (K$4 * L$4 +((electricity_cost311418[[#This Row],[Consumption to date (KWh)]] - K$4) * L$5))/1000,electricity_cost311418[[#This Row],[Level (Elect)]] = 3, (K$4 * L$4 + (K$5-J$5) * L$5 + ((electricity_cost311418[[#This Row],[Consumption to date (KWh)]] - K$5) * L$6))/1000, electricity_cost311418[[#This Row],[Level (Elect)]] = 4, (K$4 * L$4 + (K$5-J$5) * L$5 + (K$6-J$6) * L$6 + ((electricity_cost311418[[#This Row],[Consumption to date (KWh)]] - K$6) * L$7))/1000)</f>
        <v>151.93600000000001</v>
      </c>
      <c r="J36" s="44">
        <f xml:space="preserve"> (E$6 + electricity_cost311418[[#This Row],[Elect. Net cost to date
(TND)]]) * (1 + E$5)</f>
        <v>195.80447999999998</v>
      </c>
      <c r="K36" s="45">
        <f>electricity_cost311418[[#This Row],[Elect. Cost  VAT included
(TND)
]]-J35/(electricity_cost311418[[#This Row],[Date of reading 
(Elect + Gas)]]-G35)</f>
        <v>2.8945399999999779</v>
      </c>
      <c r="L36" s="63">
        <f>(electricity_cost311418[[#This Row],[Consumption to date (KWh)]] - F35)/_xlfn.DAYS(electricity_cost311418[[#This Row],[Date of reading 
(Elect + Gas)]], G35)</f>
        <v>11</v>
      </c>
      <c r="M36" s="9">
        <v>9614</v>
      </c>
      <c r="N36" s="9"/>
      <c r="O36" s="9"/>
      <c r="P36" s="9">
        <v>10045</v>
      </c>
      <c r="Q36" s="42">
        <f>gas_cost10713519[[#This Row],[ Index (m3)]] - gas_cost10713519[[#This Row],[Original index 
(m3)]]</f>
        <v>431</v>
      </c>
      <c r="R36" s="42">
        <f xml:space="preserve"> _xlfn.IFS(gas_cost10713519[[#This Row],[Consumption (m3)]] &lt;= R$4, 1, AND(R$4 &lt; gas_cost10713519[[#This Row],[Consumption (m3)]], gas_cost10713519[[#This Row],[Consumption (m3)]] &lt;= R$5), 2, AND(R$5 &lt; gas_cost10713519[[#This Row],[Consumption (m3)]], gas_cost10713519[[#This Row],[Consumption (m3)]] &lt;= R$6), 3, gas_cost10713519[[#This Row],[Consumption (m3)]] &gt; R$6, 4)</f>
        <v>3</v>
      </c>
      <c r="S36" s="45">
        <f>_xlfn.IFS(gas_cost10713519[[#This Row],[Level (Gas)]]= 1, (gas_cost10713519[[#This Row],[Consumption (m3)]] * S$4)/1000, gas_cost10713519[[#This Row],[Level (Gas)]] = 2, (gas_cost10713519[[#This Row],[Consumption (m3)]] * S$5)/1000,gas_cost10713519[[#This Row],[Level (Gas)]] = 3, (gas_cost10713519[[#This Row],[Consumption (m3)]] * S$6)/1000, gas_cost10713519[[#This Row],[Level (Gas)]] = 4, (gas_cost10713519[[#This Row],[Consumption (m3)]] * S$7)/1000)</f>
        <v>173.69300000000001</v>
      </c>
      <c r="T36" s="45">
        <f xml:space="preserve"> gas_cost10713519[[#This Row],[Gas Net cost to date
(TND)]]* (1 + E$5)</f>
        <v>204.95774</v>
      </c>
      <c r="U36" s="45">
        <f>(gas_cost10713519[[#This Row],[Gas Cost to date  VAT included
(TND)
]] - T35)/_xlfn.DAYS(electricity_cost311418[[#This Row],[Date of reading 
(Elect + Gas)]], G35)</f>
        <v>6.1820199999999943</v>
      </c>
      <c r="V36" s="45">
        <f>(gas_cost10713519[[#This Row],[Consumption (m3)]] - Q35)/_xlfn.DAYS(electricity_cost311418[[#This Row],[Date of reading 
(Elect + Gas)]], G35)</f>
        <v>13</v>
      </c>
      <c r="W36" s="47">
        <f xml:space="preserve"> E$8 + ((electricity_cost311418[[#This Row],[Elect. Net cost to date
(TND)]] + E$6 + gas_cost10713519[[#This Row],[Gas Net cost to date
(TND)]] + E$7) * (1 + E$5))</f>
        <v>410.99822</v>
      </c>
      <c r="X36" s="47">
        <v>411</v>
      </c>
    </row>
    <row r="37" spans="2:24" x14ac:dyDescent="0.25">
      <c r="C37" s="6"/>
      <c r="D37" s="55"/>
      <c r="F37" s="11"/>
      <c r="H37" s="11"/>
      <c r="I37" s="12"/>
      <c r="J37" s="12"/>
      <c r="K37" s="12"/>
      <c r="L37" s="12"/>
    </row>
  </sheetData>
  <mergeCells count="2">
    <mergeCell ref="G10:H10"/>
    <mergeCell ref="B13:D13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D2EC-43B1-4EE7-8A7A-88244302BC7E}">
  <dimension ref="B2:Y38"/>
  <sheetViews>
    <sheetView topLeftCell="E23" zoomScaleNormal="100" workbookViewId="0">
      <selection activeCell="U20" sqref="U20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5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33.1406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43594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309</v>
      </c>
      <c r="U5" s="19">
        <v>43594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14</v>
      </c>
      <c r="I6">
        <v>3</v>
      </c>
      <c r="J6">
        <v>1201</v>
      </c>
      <c r="K6">
        <v>2000</v>
      </c>
      <c r="L6">
        <v>290</v>
      </c>
      <c r="P6">
        <v>3</v>
      </c>
      <c r="Q6">
        <v>1</v>
      </c>
      <c r="R6">
        <v>600</v>
      </c>
      <c r="S6">
        <v>403</v>
      </c>
      <c r="T6" t="s">
        <v>65</v>
      </c>
    </row>
    <row r="7" spans="2:24" x14ac:dyDescent="0.25">
      <c r="D7" s="16" t="s">
        <v>15</v>
      </c>
      <c r="E7" s="14">
        <v>2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7.8760000000000003</v>
      </c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INDEX(electricity_cost31141822[Elect. Net cost to date
(TND)], COUNTA(I18:I38), 1) + E6</f>
        <v>143.41499999999999</v>
      </c>
      <c r="G10" s="67" t="s">
        <v>61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62</v>
      </c>
      <c r="I11" s="33" t="s">
        <v>63</v>
      </c>
      <c r="J11" s="33" t="s">
        <v>64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1200</v>
      </c>
      <c r="I12" s="34">
        <v>126</v>
      </c>
      <c r="J12" s="51">
        <v>320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1500</v>
      </c>
      <c r="I13" s="35">
        <v>170</v>
      </c>
      <c r="J13" s="52">
        <v>445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 t="s">
        <v>55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>
        <v>20024</v>
      </c>
      <c r="C18" s="6">
        <v>43476</v>
      </c>
      <c r="D18" s="54">
        <v>43594</v>
      </c>
      <c r="E18">
        <v>20024</v>
      </c>
      <c r="F18" s="11">
        <f>electricity_cost31141822[[#This Row],[ Index (KWh)]]-electricity_cost31141822[[#This Row],[Original index 
(KWh)]]</f>
        <v>0</v>
      </c>
      <c r="G18" s="6">
        <v>43476</v>
      </c>
      <c r="H18" s="2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18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0</v>
      </c>
      <c r="J18" s="10">
        <f xml:space="preserve"> (E$6 + electricity_cost31141822[[#This Row],[Elect. Net cost to date
(TND)]]) * (1 + E$5)</f>
        <v>16.52</v>
      </c>
      <c r="K18" s="12"/>
      <c r="L18" s="12"/>
      <c r="M18">
        <v>10045</v>
      </c>
      <c r="P18">
        <v>10045</v>
      </c>
      <c r="Q18" s="11">
        <f>gas_cost1071351923[[#This Row],[ Index (m3)]] - gas_cost1071351923[[#This Row],[Original index 
(m3)]]</f>
        <v>0</v>
      </c>
      <c r="R18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1</v>
      </c>
      <c r="S18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0</v>
      </c>
      <c r="T18" s="12">
        <f xml:space="preserve"> gas_cost1071351923[[#This Row],[Gas Net cost to date
(TND)]]* (1 + E$5)</f>
        <v>0</v>
      </c>
      <c r="U18" s="12"/>
      <c r="V18" s="12"/>
      <c r="W18" s="20">
        <f xml:space="preserve"> E$8 + ((electricity_cost31141822[[#This Row],[Elect. Net cost to date
(TND)]] + E$6 + gas_cost1071351923[[#This Row],[Gas Net cost to date
(TND)]] + E$7) * (1 + E$5))</f>
        <v>26.756</v>
      </c>
      <c r="X18" s="38"/>
      <c r="Y18" s="37"/>
    </row>
    <row r="19" spans="2:25" x14ac:dyDescent="0.25">
      <c r="B19">
        <v>20024</v>
      </c>
      <c r="C19" s="6">
        <v>43476</v>
      </c>
      <c r="D19" s="54">
        <v>43594</v>
      </c>
      <c r="E19">
        <v>20105</v>
      </c>
      <c r="F19" s="11">
        <f>electricity_cost31141822[[#This Row],[ Index (KWh)]]-electricity_cost31141822[[#This Row],[Original index 
(KWh)]]</f>
        <v>81</v>
      </c>
      <c r="G19" s="6">
        <v>43488</v>
      </c>
      <c r="H19" s="2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19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14.661</v>
      </c>
      <c r="J19" s="10">
        <f xml:space="preserve"> (E$6 + electricity_cost31141822[[#This Row],[Elect. Net cost to date
(TND)]]) * (1 + E$5)</f>
        <v>33.819980000000001</v>
      </c>
      <c r="K19" s="12">
        <f>(electricity_cost31141822[[#This Row],[Elect. Cost  VAT included
(TND)
]]-J18)/_xlfn.DAYS(electricity_cost31141822[[#This Row],[Date of reading 
(Elect + Gas)]], G18)</f>
        <v>1.4416650000000002</v>
      </c>
      <c r="L19" s="12">
        <f>(electricity_cost31141822[[#This Row],[Consumption to date (KWh)]] - F18)/_xlfn.DAYS(electricity_cost31141822[[#This Row],[Date of reading 
(Elect + Gas)]], G18)</f>
        <v>6.75</v>
      </c>
      <c r="M19">
        <v>10045</v>
      </c>
      <c r="P19">
        <v>10162</v>
      </c>
      <c r="Q19" s="11">
        <f>gas_cost1071351923[[#This Row],[ Index (m3)]] - gas_cost1071351923[[#This Row],[Original index 
(m3)]]</f>
        <v>117</v>
      </c>
      <c r="R19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1</v>
      </c>
      <c r="S19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27.027000000000001</v>
      </c>
      <c r="T19" s="12">
        <f xml:space="preserve"> gas_cost1071351923[[#This Row],[Gas Net cost to date
(TND)]]* (1 + E$5)</f>
        <v>31.891860000000001</v>
      </c>
      <c r="U19" s="12">
        <f>(gas_cost1071351923[[#This Row],[Gas Cost to date  VAT included
(TND)
]] - T18)/_xlfn.DAYS(electricity_cost31141822[[#This Row],[Date of reading 
(Elect + Gas)]], G18)</f>
        <v>2.6576550000000001</v>
      </c>
      <c r="V19" s="12">
        <f>(gas_cost1071351923[[#This Row],[Consumption (m3)]] - Q18)/_xlfn.DAYS(electricity_cost31141822[[#This Row],[Date of reading 
(Elect + Gas)]], G18)</f>
        <v>9.75</v>
      </c>
      <c r="W19" s="20">
        <f xml:space="preserve"> E$8 + ((electricity_cost31141822[[#This Row],[Elect. Net cost to date
(TND)]] + E$6 + gas_cost1071351923[[#This Row],[Gas Net cost to date
(TND)]] + E$7) * (1 + E$5))</f>
        <v>75.947839999999999</v>
      </c>
      <c r="X19" s="38"/>
    </row>
    <row r="20" spans="2:25" x14ac:dyDescent="0.25">
      <c r="B20">
        <v>20024</v>
      </c>
      <c r="C20" s="6">
        <v>43476</v>
      </c>
      <c r="D20" s="54">
        <v>43594</v>
      </c>
      <c r="E20">
        <v>20112</v>
      </c>
      <c r="F20" s="11">
        <f>electricity_cost31141822[[#This Row],[ Index (KWh)]]-electricity_cost31141822[[#This Row],[Original index 
(KWh)]]</f>
        <v>88</v>
      </c>
      <c r="G20" s="6">
        <v>43489</v>
      </c>
      <c r="H20" s="2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0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15.928000000000001</v>
      </c>
      <c r="J20" s="10">
        <f xml:space="preserve"> (E$6 + electricity_cost31141822[[#This Row],[Elect. Net cost to date
(TND)]]) * (1 + E$5)</f>
        <v>35.315039999999996</v>
      </c>
      <c r="K20" s="12">
        <f>electricity_cost31141822[[#This Row],[Elect. Cost  VAT included
(TND)
]]-J19/(electricity_cost31141822[[#This Row],[Date of reading 
(Elect + Gas)]]-G19)</f>
        <v>1.4950599999999952</v>
      </c>
      <c r="L20" s="12">
        <f>(electricity_cost31141822[[#This Row],[Consumption to date (KWh)]] - F19)/_xlfn.DAYS(electricity_cost31141822[[#This Row],[Date of reading 
(Elect + Gas)]], G19)</f>
        <v>7</v>
      </c>
      <c r="M20">
        <v>10045</v>
      </c>
      <c r="P20">
        <v>10174</v>
      </c>
      <c r="Q20" s="11">
        <f>gas_cost1071351923[[#This Row],[ Index (m3)]] - gas_cost1071351923[[#This Row],[Original index 
(m3)]]</f>
        <v>129</v>
      </c>
      <c r="R20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2</v>
      </c>
      <c r="S20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39.860999999999997</v>
      </c>
      <c r="T20" s="12">
        <f xml:space="preserve"> gas_cost1071351923[[#This Row],[Gas Net cost to date
(TND)]]* (1 + E$5)</f>
        <v>47.035979999999995</v>
      </c>
      <c r="U20" s="12">
        <f>(gas_cost1071351923[[#This Row],[Gas Cost to date  VAT included
(TND)
]] - T19)/_xlfn.DAYS(electricity_cost31141822[[#This Row],[Date of reading 
(Elect + Gas)]], G19)</f>
        <v>15.144119999999994</v>
      </c>
      <c r="V20" s="12">
        <f>(gas_cost1071351923[[#This Row],[Consumption (m3)]] - Q19)/_xlfn.DAYS(electricity_cost31141822[[#This Row],[Date of reading 
(Elect + Gas)]], G19)</f>
        <v>12</v>
      </c>
      <c r="W20" s="20">
        <f xml:space="preserve"> E$8 + ((electricity_cost31141822[[#This Row],[Elect. Net cost to date
(TND)]] + E$6 + gas_cost1071351923[[#This Row],[Gas Net cost to date
(TND)]] + E$7) * (1 + E$5))</f>
        <v>92.587019999999995</v>
      </c>
      <c r="X20" s="38"/>
    </row>
    <row r="21" spans="2:25" x14ac:dyDescent="0.25">
      <c r="B21">
        <v>20024</v>
      </c>
      <c r="C21" s="6">
        <v>43476</v>
      </c>
      <c r="D21" s="54">
        <v>43594</v>
      </c>
      <c r="E21" s="15">
        <v>20118</v>
      </c>
      <c r="F21" s="60">
        <f>electricity_cost31141822[[#This Row],[ Index (KWh)]]-electricity_cost31141822[[#This Row],[Original index 
(KWh)]]</f>
        <v>94</v>
      </c>
      <c r="G21" s="58">
        <v>43490</v>
      </c>
      <c r="H21" s="6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1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17.013999999999999</v>
      </c>
      <c r="J21" s="10">
        <f xml:space="preserve"> (E$6 + electricity_cost31141822[[#This Row],[Elect. Net cost to date
(TND)]]) * (1 + E$5)</f>
        <v>36.596519999999998</v>
      </c>
      <c r="K21" s="12">
        <f>(electricity_cost31141822[[#This Row],[Elect. Cost  VAT included
(TND)
]]-J20)/_xlfn.DAYS(electricity_cost31141822[[#This Row],[Date of reading 
(Elect + Gas)]], G20)</f>
        <v>1.281480000000002</v>
      </c>
      <c r="L21" s="62">
        <f>(electricity_cost31141822[[#This Row],[Consumption to date (KWh)]] - F20)/_xlfn.DAYS(electricity_cost31141822[[#This Row],[Date of reading 
(Elect + Gas)]], G20)</f>
        <v>6</v>
      </c>
      <c r="M21">
        <v>10045</v>
      </c>
      <c r="P21">
        <v>10187</v>
      </c>
      <c r="Q21" s="11">
        <f>gas_cost1071351923[[#This Row],[ Index (m3)]] - gas_cost1071351923[[#This Row],[Original index 
(m3)]]</f>
        <v>142</v>
      </c>
      <c r="R21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2</v>
      </c>
      <c r="S21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43.878</v>
      </c>
      <c r="T21" s="12">
        <f xml:space="preserve"> gas_cost1071351923[[#This Row],[Gas Net cost to date
(TND)]]* (1 + E$5)</f>
        <v>51.776039999999995</v>
      </c>
      <c r="U21" s="12">
        <f>(gas_cost1071351923[[#This Row],[Gas Cost to date  VAT included
(TND)
]] - T20)/_xlfn.DAYS(electricity_cost31141822[[#This Row],[Date of reading 
(Elect + Gas)]], G20)</f>
        <v>4.7400599999999997</v>
      </c>
      <c r="V21" s="12">
        <f>(gas_cost1071351923[[#This Row],[Consumption (m3)]] - Q20)/_xlfn.DAYS(electricity_cost31141822[[#This Row],[Date of reading 
(Elect + Gas)]], G20)</f>
        <v>13</v>
      </c>
      <c r="W21" s="20">
        <f xml:space="preserve"> E$8 + ((electricity_cost31141822[[#This Row],[Elect. Net cost to date
(TND)]] + E$6 + gas_cost1071351923[[#This Row],[Gas Net cost to date
(TND)]] + E$7) * (1 + E$5))</f>
        <v>98.608559999999997</v>
      </c>
      <c r="X21" s="38"/>
    </row>
    <row r="22" spans="2:25" x14ac:dyDescent="0.25">
      <c r="B22">
        <v>20024</v>
      </c>
      <c r="C22" s="6">
        <v>43476</v>
      </c>
      <c r="D22" s="54">
        <v>43594</v>
      </c>
      <c r="E22">
        <v>20143</v>
      </c>
      <c r="F22" s="11">
        <f>electricity_cost31141822[[#This Row],[ Index (KWh)]]-electricity_cost31141822[[#This Row],[Original index 
(KWh)]]</f>
        <v>119</v>
      </c>
      <c r="G22" s="6">
        <v>43494</v>
      </c>
      <c r="H22" s="2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2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21.539000000000001</v>
      </c>
      <c r="J22" s="10">
        <f xml:space="preserve"> (E$6 + electricity_cost31141822[[#This Row],[Elect. Net cost to date
(TND)]]) * (1 + E$5)</f>
        <v>41.936019999999999</v>
      </c>
      <c r="K22" s="12">
        <f>(electricity_cost31141822[[#This Row],[Elect. Cost  VAT included
(TND)
]]-J21)/_xlfn.DAYS(electricity_cost31141822[[#This Row],[Date of reading 
(Elect + Gas)]], G21)</f>
        <v>1.3348750000000003</v>
      </c>
      <c r="L22" s="12">
        <f>(electricity_cost31141822[[#This Row],[Consumption to date (KWh)]] - F21)/_xlfn.DAYS(electricity_cost31141822[[#This Row],[Date of reading 
(Elect + Gas)]], G21)</f>
        <v>6.25</v>
      </c>
      <c r="M22">
        <v>10045</v>
      </c>
      <c r="P22">
        <v>10234</v>
      </c>
      <c r="Q22" s="11">
        <f>gas_cost1071351923[[#This Row],[ Index (m3)]] - gas_cost1071351923[[#This Row],[Original index 
(m3)]]</f>
        <v>189</v>
      </c>
      <c r="R22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2</v>
      </c>
      <c r="S22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58.401000000000003</v>
      </c>
      <c r="T22" s="12">
        <f xml:space="preserve"> gas_cost1071351923[[#This Row],[Gas Net cost to date
(TND)]]* (1 + E$5)</f>
        <v>68.913179999999997</v>
      </c>
      <c r="U22" s="12">
        <f>(gas_cost1071351923[[#This Row],[Gas Cost to date  VAT included
(TND)
]] - T21)/_xlfn.DAYS(electricity_cost31141822[[#This Row],[Date of reading 
(Elect + Gas)]], G21)</f>
        <v>4.2842850000000006</v>
      </c>
      <c r="V22" s="12">
        <f>(gas_cost1071351923[[#This Row],[Consumption (m3)]] - Q21)/_xlfn.DAYS(electricity_cost31141822[[#This Row],[Date of reading 
(Elect + Gas)]], G21)</f>
        <v>11.75</v>
      </c>
      <c r="W22" s="20">
        <f xml:space="preserve"> E$8 + ((electricity_cost31141822[[#This Row],[Elect. Net cost to date
(TND)]] + E$6 + gas_cost1071351923[[#This Row],[Gas Net cost to date
(TND)]] + E$7) * (1 + E$5))</f>
        <v>121.0852</v>
      </c>
      <c r="X22" s="38"/>
    </row>
    <row r="23" spans="2:25" x14ac:dyDescent="0.25">
      <c r="B23">
        <v>20024</v>
      </c>
      <c r="C23" s="6">
        <v>43476</v>
      </c>
      <c r="D23" s="54">
        <v>43594</v>
      </c>
      <c r="E23">
        <v>20156</v>
      </c>
      <c r="F23" s="11">
        <f>electricity_cost31141822[[#This Row],[ Index (KWh)]]-electricity_cost31141822[[#This Row],[Original index 
(KWh)]]</f>
        <v>132</v>
      </c>
      <c r="G23" s="6">
        <v>43496</v>
      </c>
      <c r="H23" s="2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3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23.891999999999999</v>
      </c>
      <c r="J23" s="12">
        <f xml:space="preserve"> (E$6 + electricity_cost31141822[[#This Row],[Elect. Net cost to date
(TND)]]) * (1 + E$5)</f>
        <v>44.712559999999996</v>
      </c>
      <c r="K23" s="12">
        <f>(electricity_cost31141822[[#This Row],[Elect. Cost  VAT included
(TND)
]]-J22)/_xlfn.DAYS(electricity_cost31141822[[#This Row],[Date of reading 
(Elect + Gas)]], G22)</f>
        <v>1.3882699999999986</v>
      </c>
      <c r="L23" s="12">
        <f>(electricity_cost31141822[[#This Row],[Consumption to date (KWh)]] - F22)/_xlfn.DAYS(electricity_cost31141822[[#This Row],[Date of reading 
(Elect + Gas)]], G22)</f>
        <v>6.5</v>
      </c>
      <c r="M23">
        <v>10045</v>
      </c>
      <c r="P23">
        <v>10259</v>
      </c>
      <c r="Q23" s="11">
        <f>gas_cost1071351923[[#This Row],[ Index (m3)]] - gas_cost1071351923[[#This Row],[Original index 
(m3)]]</f>
        <v>214</v>
      </c>
      <c r="R23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2</v>
      </c>
      <c r="S23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66.126000000000005</v>
      </c>
      <c r="T23" s="12">
        <f xml:space="preserve"> gas_cost1071351923[[#This Row],[Gas Net cost to date
(TND)]]* (1 + E$5)</f>
        <v>78.028680000000008</v>
      </c>
      <c r="U23" s="12">
        <f>(gas_cost1071351923[[#This Row],[Gas Cost to date  VAT included
(TND)
]] - T22)/_xlfn.DAYS(electricity_cost31141822[[#This Row],[Date of reading 
(Elect + Gas)]], G22)</f>
        <v>4.5577500000000057</v>
      </c>
      <c r="V23" s="12">
        <f>(gas_cost1071351923[[#This Row],[Consumption (m3)]] - Q22)/_xlfn.DAYS(electricity_cost31141822[[#This Row],[Date of reading 
(Elect + Gas)]], G22)</f>
        <v>12.5</v>
      </c>
      <c r="W23" s="20">
        <f xml:space="preserve"> E$8 + ((electricity_cost31141822[[#This Row],[Elect. Net cost to date
(TND)]] + E$6 + gas_cost1071351923[[#This Row],[Gas Net cost to date
(TND)]] + E$7) * (1 + E$5))</f>
        <v>132.97723999999999</v>
      </c>
      <c r="X23" s="38"/>
    </row>
    <row r="24" spans="2:25" x14ac:dyDescent="0.25">
      <c r="B24">
        <v>20024</v>
      </c>
      <c r="C24" s="6">
        <v>43476</v>
      </c>
      <c r="D24" s="54">
        <v>43594</v>
      </c>
      <c r="E24">
        <v>20236</v>
      </c>
      <c r="F24" s="11">
        <f>electricity_cost31141822[[#This Row],[ Index (KWh)]]-electricity_cost31141822[[#This Row],[Original index 
(KWh)]]</f>
        <v>212</v>
      </c>
      <c r="G24" s="6">
        <v>43508</v>
      </c>
      <c r="H24" s="2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4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38.372</v>
      </c>
      <c r="J24" s="12">
        <f xml:space="preserve"> (E$6 + electricity_cost31141822[[#This Row],[Elect. Net cost to date
(TND)]]) * (1 + E$5)</f>
        <v>61.798959999999994</v>
      </c>
      <c r="K24" s="12">
        <f>(electricity_cost31141822[[#This Row],[Elect. Cost  VAT included
(TND)
]]-J23)/_xlfn.DAYS(electricity_cost31141822[[#This Row],[Date of reading 
(Elect + Gas)]], G23)</f>
        <v>1.4238666666666664</v>
      </c>
      <c r="L24" s="12">
        <f>(electricity_cost31141822[[#This Row],[Consumption to date (KWh)]] - F23)/_xlfn.DAYS(electricity_cost31141822[[#This Row],[Date of reading 
(Elect + Gas)]], G23)</f>
        <v>6.666666666666667</v>
      </c>
      <c r="M24">
        <v>10045</v>
      </c>
      <c r="P24">
        <v>10373</v>
      </c>
      <c r="Q24" s="11">
        <f>gas_cost1071351923[[#This Row],[ Index (m3)]] - gas_cost1071351923[[#This Row],[Original index 
(m3)]]</f>
        <v>328</v>
      </c>
      <c r="R24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3</v>
      </c>
      <c r="S24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132.184</v>
      </c>
      <c r="T24" s="12">
        <f xml:space="preserve"> gas_cost1071351923[[#This Row],[Gas Net cost to date
(TND)]]* (1 + E$5)</f>
        <v>155.97711999999999</v>
      </c>
      <c r="U24" s="12">
        <f>(gas_cost1071351923[[#This Row],[Gas Cost to date  VAT included
(TND)
]] - T23)/_xlfn.DAYS(electricity_cost31141822[[#This Row],[Date of reading 
(Elect + Gas)]], G23)</f>
        <v>6.4957033333333314</v>
      </c>
      <c r="V24" s="12">
        <f>(gas_cost1071351923[[#This Row],[Consumption (m3)]] - Q23)/_xlfn.DAYS(electricity_cost31141822[[#This Row],[Date of reading 
(Elect + Gas)]], G23)</f>
        <v>9.5</v>
      </c>
      <c r="W24" s="20">
        <f xml:space="preserve"> E$8 + ((electricity_cost31141822[[#This Row],[Elect. Net cost to date
(TND)]] + E$6 + gas_cost1071351923[[#This Row],[Gas Net cost to date
(TND)]] + E$7) * (1 + E$5))</f>
        <v>228.01207999999997</v>
      </c>
      <c r="X24" s="38"/>
    </row>
    <row r="25" spans="2:25" x14ac:dyDescent="0.25">
      <c r="B25">
        <v>20024</v>
      </c>
      <c r="C25" s="6">
        <v>43476</v>
      </c>
      <c r="D25" s="54">
        <v>43594</v>
      </c>
      <c r="E25">
        <v>20287</v>
      </c>
      <c r="F25" s="11">
        <f>electricity_cost31141822[[#This Row],[ Index (KWh)]]-electricity_cost31141822[[#This Row],[Original index 
(KWh)]]</f>
        <v>263</v>
      </c>
      <c r="G25" s="6">
        <v>43516</v>
      </c>
      <c r="H25" s="2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5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47.603000000000002</v>
      </c>
      <c r="J25" s="12">
        <f xml:space="preserve"> (E$6 + electricity_cost31141822[[#This Row],[Elect. Net cost to date
(TND)]]) * (1 + E$5)</f>
        <v>72.691540000000003</v>
      </c>
      <c r="K25" s="12">
        <f>(electricity_cost31141822[[#This Row],[Elect. Cost  VAT included
(TND)
]]-J24)/_xlfn.DAYS(electricity_cost31141822[[#This Row],[Date of reading 
(Elect + Gas)]], G24)</f>
        <v>1.3615725000000012</v>
      </c>
      <c r="L25" s="12">
        <f>(electricity_cost31141822[[#This Row],[Consumption to date (KWh)]] - F24)/_xlfn.DAYS(electricity_cost31141822[[#This Row],[Date of reading 
(Elect + Gas)]], G24)</f>
        <v>6.375</v>
      </c>
      <c r="M25">
        <v>10045</v>
      </c>
      <c r="P25">
        <v>10437</v>
      </c>
      <c r="Q25" s="11">
        <f>gas_cost1071351923[[#This Row],[ Index (m3)]] - gas_cost1071351923[[#This Row],[Original index 
(m3)]]</f>
        <v>392</v>
      </c>
      <c r="R25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3</v>
      </c>
      <c r="S25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157.976</v>
      </c>
      <c r="T25" s="12">
        <f xml:space="preserve"> gas_cost1071351923[[#This Row],[Gas Net cost to date
(TND)]]* (1 + E$5)</f>
        <v>186.41167999999999</v>
      </c>
      <c r="U25" s="12">
        <f>(gas_cost1071351923[[#This Row],[Gas Cost to date  VAT included
(TND)
]] - T24)/_xlfn.DAYS(electricity_cost31141822[[#This Row],[Date of reading 
(Elect + Gas)]], G24)</f>
        <v>3.8043200000000006</v>
      </c>
      <c r="V25" s="12">
        <f>(gas_cost1071351923[[#This Row],[Consumption (m3)]] - Q24)/_xlfn.DAYS(electricity_cost31141822[[#This Row],[Date of reading 
(Elect + Gas)]], G24)</f>
        <v>8</v>
      </c>
      <c r="W25" s="20">
        <f xml:space="preserve"> E$8 + ((electricity_cost31141822[[#This Row],[Elect. Net cost to date
(TND)]] + E$6 + gas_cost1071351923[[#This Row],[Gas Net cost to date
(TND)]] + E$7) * (1 + E$5))</f>
        <v>269.33921999999995</v>
      </c>
      <c r="X25" s="38"/>
    </row>
    <row r="26" spans="2:25" x14ac:dyDescent="0.25">
      <c r="B26">
        <v>20024</v>
      </c>
      <c r="C26" s="6">
        <v>43476</v>
      </c>
      <c r="D26" s="54">
        <v>43594</v>
      </c>
      <c r="E26">
        <v>20292</v>
      </c>
      <c r="F26" s="11">
        <f>electricity_cost31141822[[#This Row],[ Index (KWh)]]-electricity_cost31141822[[#This Row],[Original index 
(KWh)]]</f>
        <v>268</v>
      </c>
      <c r="G26" s="6">
        <v>43517</v>
      </c>
      <c r="H26" s="2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6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48.508000000000003</v>
      </c>
      <c r="J26" s="12">
        <f xml:space="preserve"> (E$6 + electricity_cost31141822[[#This Row],[Elect. Net cost to date
(TND)]]) * (1 + E$5)</f>
        <v>73.759439999999998</v>
      </c>
      <c r="K26" s="12">
        <f>(electricity_cost31141822[[#This Row],[Elect. Cost  VAT included
(TND)
]]-J25)/_xlfn.DAYS(electricity_cost31141822[[#This Row],[Date of reading 
(Elect + Gas)]], G25)</f>
        <v>1.0678999999999945</v>
      </c>
      <c r="L26" s="12">
        <f>(electricity_cost31141822[[#This Row],[Consumption to date (KWh)]] - F25)/_xlfn.DAYS(electricity_cost31141822[[#This Row],[Date of reading 
(Elect + Gas)]], G25)</f>
        <v>5</v>
      </c>
      <c r="M26">
        <v>10045</v>
      </c>
      <c r="P26">
        <v>10443</v>
      </c>
      <c r="Q26" s="11">
        <f>gas_cost1071351923[[#This Row],[ Index (m3)]] - gas_cost1071351923[[#This Row],[Original index 
(m3)]]</f>
        <v>398</v>
      </c>
      <c r="R26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3</v>
      </c>
      <c r="S26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160.39400000000001</v>
      </c>
      <c r="T26" s="12">
        <f xml:space="preserve"> gas_cost1071351923[[#This Row],[Gas Net cost to date
(TND)]]* (1 + E$5)</f>
        <v>189.26491999999999</v>
      </c>
      <c r="U26" s="12">
        <f>(gas_cost1071351923[[#This Row],[Gas Cost to date  VAT included
(TND)
]] - T25)/_xlfn.DAYS(electricity_cost31141822[[#This Row],[Date of reading 
(Elect + Gas)]], G25)</f>
        <v>2.8532399999999996</v>
      </c>
      <c r="V26" s="12">
        <f>(gas_cost1071351923[[#This Row],[Consumption (m3)]] - Q25)/_xlfn.DAYS(electricity_cost31141822[[#This Row],[Date of reading 
(Elect + Gas)]], G25)</f>
        <v>6</v>
      </c>
      <c r="W26" s="20">
        <f xml:space="preserve"> E$8 + ((electricity_cost31141822[[#This Row],[Elect. Net cost to date
(TND)]] + E$6 + gas_cost1071351923[[#This Row],[Gas Net cost to date
(TND)]] + E$7) * (1 + E$5))</f>
        <v>273.26035999999999</v>
      </c>
      <c r="X26" s="38"/>
    </row>
    <row r="27" spans="2:25" x14ac:dyDescent="0.25">
      <c r="B27">
        <v>20024</v>
      </c>
      <c r="C27" s="6">
        <v>43476</v>
      </c>
      <c r="D27" s="54">
        <v>43594</v>
      </c>
      <c r="E27">
        <v>20327</v>
      </c>
      <c r="F27" s="11">
        <f>electricity_cost31141822[[#This Row],[ Index (KWh)]]-electricity_cost31141822[[#This Row],[Original index 
(KWh)]]</f>
        <v>303</v>
      </c>
      <c r="G27" s="6">
        <v>43522</v>
      </c>
      <c r="H27" s="2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7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54.843000000000004</v>
      </c>
      <c r="J27" s="12">
        <f xml:space="preserve"> (E$6 + electricity_cost31141822[[#This Row],[Elect. Net cost to date
(TND)]]) * (1 + E$5)</f>
        <v>81.234740000000002</v>
      </c>
      <c r="K27" s="12">
        <f>(electricity_cost31141822[[#This Row],[Elect. Cost  VAT included
(TND)
]]-J26)/_xlfn.DAYS(electricity_cost31141822[[#This Row],[Date of reading 
(Elect + Gas)]], G26)</f>
        <v>1.4950600000000009</v>
      </c>
      <c r="L27" s="12">
        <f>(electricity_cost31141822[[#This Row],[Consumption to date (KWh)]] - F26)/_xlfn.DAYS(electricity_cost31141822[[#This Row],[Date of reading 
(Elect + Gas)]], G26)</f>
        <v>7</v>
      </c>
      <c r="M27">
        <v>10045</v>
      </c>
      <c r="P27">
        <v>10489</v>
      </c>
      <c r="Q27" s="11">
        <f>gas_cost1071351923[[#This Row],[ Index (m3)]] - gas_cost1071351923[[#This Row],[Original index 
(m3)]]</f>
        <v>444</v>
      </c>
      <c r="R27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3</v>
      </c>
      <c r="S27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178.93199999999999</v>
      </c>
      <c r="T27" s="12">
        <f xml:space="preserve"> gas_cost1071351923[[#This Row],[Gas Net cost to date
(TND)]]* (1 + E$5)</f>
        <v>211.13975999999997</v>
      </c>
      <c r="U27" s="12">
        <f>(gas_cost1071351923[[#This Row],[Gas Cost to date  VAT included
(TND)
]] - T26)/_xlfn.DAYS(electricity_cost31141822[[#This Row],[Date of reading 
(Elect + Gas)]], G26)</f>
        <v>4.3749679999999955</v>
      </c>
      <c r="V27" s="12">
        <f>(gas_cost1071351923[[#This Row],[Consumption (m3)]] - Q26)/_xlfn.DAYS(electricity_cost31141822[[#This Row],[Date of reading 
(Elect + Gas)]], G26)</f>
        <v>9.1999999999999993</v>
      </c>
      <c r="W27" s="20">
        <f xml:space="preserve"> E$8 + ((electricity_cost31141822[[#This Row],[Elect. Net cost to date
(TND)]] + E$6 + gas_cost1071351923[[#This Row],[Gas Net cost to date
(TND)]] + E$7) * (1 + E$5))</f>
        <v>302.61049999999994</v>
      </c>
      <c r="X27" s="38"/>
    </row>
    <row r="28" spans="2:25" x14ac:dyDescent="0.25">
      <c r="B28">
        <v>20024</v>
      </c>
      <c r="C28" s="6">
        <v>43476</v>
      </c>
      <c r="D28" s="54">
        <v>43594</v>
      </c>
      <c r="E28">
        <v>20437</v>
      </c>
      <c r="F28" s="11">
        <f>electricity_cost31141822[[#This Row],[ Index (KWh)]]-electricity_cost31141822[[#This Row],[Original index 
(KWh)]]</f>
        <v>413</v>
      </c>
      <c r="G28" s="6">
        <v>43540</v>
      </c>
      <c r="H28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8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74.753</v>
      </c>
      <c r="J28" s="12">
        <f xml:space="preserve"> (E$6 + electricity_cost31141822[[#This Row],[Elect. Net cost to date
(TND)]]) * (1 + E$5)</f>
        <v>104.72854</v>
      </c>
      <c r="K28" s="12">
        <f>(electricity_cost31141822[[#This Row],[Elect. Cost  VAT included
(TND)
]]-J27)/_xlfn.DAYS(electricity_cost31141822[[#This Row],[Date of reading 
(Elect + Gas)]], G27)</f>
        <v>1.3052111111111107</v>
      </c>
      <c r="L28" s="12">
        <f>(electricity_cost31141822[[#This Row],[Consumption to date (KWh)]] - F27)/_xlfn.DAYS(electricity_cost31141822[[#This Row],[Date of reading 
(Elect + Gas)]], G27)</f>
        <v>6.1111111111111107</v>
      </c>
      <c r="M28">
        <v>10045</v>
      </c>
      <c r="P28">
        <v>10605</v>
      </c>
      <c r="Q28" s="11">
        <f>gas_cost1071351923[[#This Row],[ Index (m3)]] - gas_cost1071351923[[#This Row],[Original index 
(m3)]]</f>
        <v>560</v>
      </c>
      <c r="R28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3</v>
      </c>
      <c r="S28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225.68</v>
      </c>
      <c r="T28" s="12">
        <f xml:space="preserve"> gas_cost1071351923[[#This Row],[Gas Net cost to date
(TND)]]* (1 + E$5)</f>
        <v>266.30239999999998</v>
      </c>
      <c r="U28" s="12">
        <f>(gas_cost1071351923[[#This Row],[Gas Cost to date  VAT included
(TND)
]] - T27)/_xlfn.DAYS(electricity_cost31141822[[#This Row],[Date of reading 
(Elect + Gas)]], G27)</f>
        <v>3.0645911111111115</v>
      </c>
      <c r="V28" s="12">
        <f>(gas_cost1071351923[[#This Row],[Consumption (m3)]] - Q27)/_xlfn.DAYS(electricity_cost31141822[[#This Row],[Date of reading 
(Elect + Gas)]], G27)</f>
        <v>6.4444444444444446</v>
      </c>
      <c r="W28" s="20">
        <f xml:space="preserve"> E$8 + ((electricity_cost31141822[[#This Row],[Elect. Net cost to date
(TND)]] + E$6 + gas_cost1071351923[[#This Row],[Gas Net cost to date
(TND)]] + E$7) * (1 + E$5))</f>
        <v>381.26693999999992</v>
      </c>
      <c r="X28" s="38"/>
    </row>
    <row r="29" spans="2:25" x14ac:dyDescent="0.25">
      <c r="B29">
        <v>20024</v>
      </c>
      <c r="C29" s="6">
        <v>43476</v>
      </c>
      <c r="D29" s="54">
        <v>43594</v>
      </c>
      <c r="E29">
        <v>20462</v>
      </c>
      <c r="F29" s="11">
        <f>electricity_cost31141822[[#This Row],[ Index (KWh)]]-electricity_cost31141822[[#This Row],[Original index 
(KWh)]]</f>
        <v>438</v>
      </c>
      <c r="G29" s="6">
        <v>43545</v>
      </c>
      <c r="H29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29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79.278000000000006</v>
      </c>
      <c r="J29" s="12">
        <f xml:space="preserve"> (E$6 + electricity_cost31141822[[#This Row],[Elect. Net cost to date
(TND)]]) * (1 + E$5)</f>
        <v>110.06804</v>
      </c>
      <c r="K29" s="12">
        <f>(electricity_cost31141822[[#This Row],[Elect. Cost  VAT included
(TND)
]]-J28)/_xlfn.DAYS(electricity_cost31141822[[#This Row],[Date of reading 
(Elect + Gas)]], G28)</f>
        <v>1.0679000000000003</v>
      </c>
      <c r="L29" s="12">
        <f>(electricity_cost31141822[[#This Row],[Consumption to date (KWh)]] - F28)/_xlfn.DAYS(electricity_cost31141822[[#This Row],[Date of reading 
(Elect + Gas)]], G28)</f>
        <v>5</v>
      </c>
      <c r="M29">
        <v>10045</v>
      </c>
      <c r="P29">
        <v>10637</v>
      </c>
      <c r="Q29" s="11">
        <f>gas_cost1071351923[[#This Row],[ Index (m3)]] - gas_cost1071351923[[#This Row],[Original index 
(m3)]]</f>
        <v>592</v>
      </c>
      <c r="R29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3</v>
      </c>
      <c r="S29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238.57599999999999</v>
      </c>
      <c r="T29" s="12">
        <f xml:space="preserve"> gas_cost1071351923[[#This Row],[Gas Net cost to date
(TND)]]* (1 + E$5)</f>
        <v>281.51967999999999</v>
      </c>
      <c r="U29" s="12">
        <f>(gas_cost1071351923[[#This Row],[Gas Cost to date  VAT included
(TND)
]] - T28)/_xlfn.DAYS(electricity_cost31141822[[#This Row],[Date of reading 
(Elect + Gas)]], G28)</f>
        <v>3.0434560000000035</v>
      </c>
      <c r="V29" s="12">
        <f>(gas_cost1071351923[[#This Row],[Consumption (m3)]] - Q28)/_xlfn.DAYS(electricity_cost31141822[[#This Row],[Date of reading 
(Elect + Gas)]], G28)</f>
        <v>6.4</v>
      </c>
      <c r="W29" s="20">
        <f xml:space="preserve"> E$8 + ((electricity_cost31141822[[#This Row],[Elect. Net cost to date
(TND)]] + E$6 + gas_cost1071351923[[#This Row],[Gas Net cost to date
(TND)]] + E$7) * (1 + E$5))</f>
        <v>401.82371999999992</v>
      </c>
      <c r="X29" s="38"/>
    </row>
    <row r="30" spans="2:25" x14ac:dyDescent="0.25">
      <c r="B30">
        <v>20024</v>
      </c>
      <c r="C30" s="6">
        <v>43476</v>
      </c>
      <c r="D30" s="54">
        <v>43594</v>
      </c>
      <c r="E30">
        <v>20468</v>
      </c>
      <c r="F30" s="11">
        <f>electricity_cost31141822[[#This Row],[ Index (KWh)]]-electricity_cost31141822[[#This Row],[Original index 
(KWh)]]</f>
        <v>444</v>
      </c>
      <c r="G30" s="6">
        <v>43546</v>
      </c>
      <c r="H30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30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80.364000000000004</v>
      </c>
      <c r="J30" s="12">
        <f xml:space="preserve"> (E$6 + electricity_cost31141822[[#This Row],[Elect. Net cost to date
(TND)]]) * (1 + E$5)</f>
        <v>111.34952</v>
      </c>
      <c r="K30" s="12">
        <f>(electricity_cost31141822[[#This Row],[Elect. Cost  VAT included
(TND)
]]-J29)/_xlfn.DAYS(electricity_cost31141822[[#This Row],[Date of reading 
(Elect + Gas)]], G29)</f>
        <v>1.281480000000002</v>
      </c>
      <c r="L30" s="12">
        <f>(electricity_cost31141822[[#This Row],[Consumption to date (KWh)]] - F29)/_xlfn.DAYS(electricity_cost31141822[[#This Row],[Date of reading 
(Elect + Gas)]], G29)</f>
        <v>6</v>
      </c>
      <c r="M30">
        <v>10045</v>
      </c>
      <c r="P30">
        <v>10645</v>
      </c>
      <c r="Q30" s="11">
        <f>gas_cost1071351923[[#This Row],[ Index (m3)]] - gas_cost1071351923[[#This Row],[Original index 
(m3)]]</f>
        <v>600</v>
      </c>
      <c r="R30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3</v>
      </c>
      <c r="S30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241.8</v>
      </c>
      <c r="T30" s="12">
        <f xml:space="preserve"> gas_cost1071351923[[#This Row],[Gas Net cost to date
(TND)]]* (1 + E$5)</f>
        <v>285.32400000000001</v>
      </c>
      <c r="U30" s="12">
        <f>(gas_cost1071351923[[#This Row],[Gas Cost to date  VAT included
(TND)
]] - T29)/_xlfn.DAYS(electricity_cost31141822[[#This Row],[Date of reading 
(Elect + Gas)]], G29)</f>
        <v>3.8043200000000184</v>
      </c>
      <c r="V30" s="12">
        <f>(gas_cost1071351923[[#This Row],[Consumption (m3)]] - Q29)/_xlfn.DAYS(electricity_cost31141822[[#This Row],[Date of reading 
(Elect + Gas)]], G29)</f>
        <v>8</v>
      </c>
      <c r="W30" s="20">
        <f xml:space="preserve"> E$8 + ((electricity_cost31141822[[#This Row],[Elect. Net cost to date
(TND)]] + E$6 + gas_cost1071351923[[#This Row],[Gas Net cost to date
(TND)]] + E$7) * (1 + E$5))</f>
        <v>406.90951999999993</v>
      </c>
      <c r="X30" s="38"/>
    </row>
    <row r="31" spans="2:25" x14ac:dyDescent="0.25">
      <c r="B31">
        <v>20024</v>
      </c>
      <c r="C31" s="6">
        <v>43476</v>
      </c>
      <c r="D31" s="54">
        <v>43594</v>
      </c>
      <c r="E31">
        <v>20521</v>
      </c>
      <c r="F31" s="11">
        <f>electricity_cost31141822[[#This Row],[ Index (KWh)]]-electricity_cost31141822[[#This Row],[Original index 
(KWh)]]</f>
        <v>497</v>
      </c>
      <c r="G31" s="6">
        <v>43556</v>
      </c>
      <c r="H31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31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89.956999999999994</v>
      </c>
      <c r="J31" s="12">
        <f xml:space="preserve"> (E$6 + electricity_cost31141822[[#This Row],[Elect. Net cost to date
(TND)]]) * (1 + E$5)</f>
        <v>122.66925999999998</v>
      </c>
      <c r="K31" s="12">
        <f>(electricity_cost31141822[[#This Row],[Elect. Cost  VAT included
(TND)
]]-J30)/_xlfn.DAYS(electricity_cost31141822[[#This Row],[Date of reading 
(Elect + Gas)]], G30)</f>
        <v>1.1319739999999983</v>
      </c>
      <c r="L31" s="12">
        <f>(electricity_cost31141822[[#This Row],[Consumption to date (KWh)]] - F30)/_xlfn.DAYS(electricity_cost31141822[[#This Row],[Date of reading 
(Elect + Gas)]], G30)</f>
        <v>5.3</v>
      </c>
      <c r="M31">
        <v>10045</v>
      </c>
      <c r="P31">
        <v>10704</v>
      </c>
      <c r="Q31" s="11">
        <f>gas_cost1071351923[[#This Row],[ Index (m3)]] - gas_cost1071351923[[#This Row],[Original index 
(m3)]]</f>
        <v>659</v>
      </c>
      <c r="R31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4</v>
      </c>
      <c r="S31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332.13600000000002</v>
      </c>
      <c r="T31" s="12">
        <f xml:space="preserve"> gas_cost1071351923[[#This Row],[Gas Net cost to date
(TND)]]* (1 + E$5)</f>
        <v>391.92048</v>
      </c>
      <c r="U31" s="12">
        <f>(gas_cost1071351923[[#This Row],[Gas Cost to date  VAT included
(TND)
]] - T30)/_xlfn.DAYS(electricity_cost31141822[[#This Row],[Date of reading 
(Elect + Gas)]], G30)</f>
        <v>10.659647999999999</v>
      </c>
      <c r="V31" s="12">
        <f>(gas_cost1071351923[[#This Row],[Consumption (m3)]] - Q30)/_xlfn.DAYS(electricity_cost31141822[[#This Row],[Date of reading 
(Elect + Gas)]], G30)</f>
        <v>5.9</v>
      </c>
      <c r="W31" s="20">
        <f xml:space="preserve"> E$8 + ((electricity_cost31141822[[#This Row],[Elect. Net cost to date
(TND)]] + E$6 + gas_cost1071351923[[#This Row],[Gas Net cost to date
(TND)]] + E$7) * (1 + E$5))</f>
        <v>524.82574</v>
      </c>
      <c r="X31" s="38"/>
    </row>
    <row r="32" spans="2:25" x14ac:dyDescent="0.25">
      <c r="B32">
        <v>20024</v>
      </c>
      <c r="C32" s="6">
        <v>43476</v>
      </c>
      <c r="D32" s="54">
        <v>43594</v>
      </c>
      <c r="E32">
        <v>20532</v>
      </c>
      <c r="F32" s="11">
        <f>electricity_cost31141822[[#This Row],[ Index (KWh)]]-electricity_cost31141822[[#This Row],[Original index 
(KWh)]]</f>
        <v>508</v>
      </c>
      <c r="G32" s="6">
        <v>43558</v>
      </c>
      <c r="H32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32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91.947999999999993</v>
      </c>
      <c r="J32" s="12">
        <f xml:space="preserve"> (E$6 + electricity_cost31141822[[#This Row],[Elect. Net cost to date
(TND)]]) * (1 + E$5)</f>
        <v>125.01863999999999</v>
      </c>
      <c r="K32" s="12">
        <f>(electricity_cost31141822[[#This Row],[Elect. Cost  VAT included
(TND)
]]-J31)/_xlfn.DAYS(electricity_cost31141822[[#This Row],[Date of reading 
(Elect + Gas)]], G31)</f>
        <v>1.1746900000000053</v>
      </c>
      <c r="L32" s="12">
        <f>(electricity_cost31141822[[#This Row],[Consumption to date (KWh)]] - F31)/_xlfn.DAYS(electricity_cost31141822[[#This Row],[Date of reading 
(Elect + Gas)]], G31)</f>
        <v>5.5</v>
      </c>
      <c r="M32">
        <v>10045</v>
      </c>
      <c r="P32">
        <v>10716</v>
      </c>
      <c r="Q32" s="11">
        <f>gas_cost1071351923[[#This Row],[ Index (m3)]] - gas_cost1071351923[[#This Row],[Original index 
(m3)]]</f>
        <v>671</v>
      </c>
      <c r="R32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4</v>
      </c>
      <c r="S32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338.18400000000003</v>
      </c>
      <c r="T32" s="12">
        <f xml:space="preserve"> gas_cost1071351923[[#This Row],[Gas Net cost to date
(TND)]]* (1 + E$5)</f>
        <v>399.05712</v>
      </c>
      <c r="U32" s="12">
        <f>(gas_cost1071351923[[#This Row],[Gas Cost to date  VAT included
(TND)
]] - T31)/_xlfn.DAYS(electricity_cost31141822[[#This Row],[Date of reading 
(Elect + Gas)]], G31)</f>
        <v>3.5683199999999999</v>
      </c>
      <c r="V32" s="12">
        <f>(gas_cost1071351923[[#This Row],[Consumption (m3)]] - Q31)/_xlfn.DAYS(electricity_cost31141822[[#This Row],[Date of reading 
(Elect + Gas)]], G31)</f>
        <v>6</v>
      </c>
      <c r="W32" s="20">
        <f xml:space="preserve"> E$8 + ((electricity_cost31141822[[#This Row],[Elect. Net cost to date
(TND)]] + E$6 + gas_cost1071351923[[#This Row],[Gas Net cost to date
(TND)]] + E$7) * (1 + E$5))</f>
        <v>534.31175999999994</v>
      </c>
      <c r="X32" s="38"/>
    </row>
    <row r="33" spans="2:24" x14ac:dyDescent="0.25">
      <c r="B33">
        <v>20024</v>
      </c>
      <c r="C33" s="6">
        <v>43476</v>
      </c>
      <c r="D33" s="54">
        <v>43594</v>
      </c>
      <c r="E33">
        <v>20538</v>
      </c>
      <c r="F33" s="11">
        <f>electricity_cost31141822[[#This Row],[ Index (KWh)]]-electricity_cost31141822[[#This Row],[Original index 
(KWh)]]</f>
        <v>514</v>
      </c>
      <c r="G33" s="6">
        <v>43559</v>
      </c>
      <c r="H33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33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93.034000000000006</v>
      </c>
      <c r="J33" s="12">
        <f xml:space="preserve"> (E$6 + electricity_cost31141822[[#This Row],[Elect. Net cost to date
(TND)]]) * (1 + E$5)</f>
        <v>126.30012000000001</v>
      </c>
      <c r="K33" s="12">
        <f>(electricity_cost31141822[[#This Row],[Elect. Cost  VAT included
(TND)
]]-J32)/_xlfn.DAYS(electricity_cost31141822[[#This Row],[Date of reading 
(Elect + Gas)]], G32)</f>
        <v>1.2814800000000162</v>
      </c>
      <c r="L33" s="12">
        <f>(electricity_cost31141822[[#This Row],[Consumption to date (KWh)]] - F32)/_xlfn.DAYS(electricity_cost31141822[[#This Row],[Date of reading 
(Elect + Gas)]], G32)</f>
        <v>6</v>
      </c>
      <c r="M33">
        <v>10045</v>
      </c>
      <c r="P33">
        <v>10720</v>
      </c>
      <c r="Q33" s="11">
        <f>gas_cost1071351923[[#This Row],[ Index (m3)]] - gas_cost1071351923[[#This Row],[Original index 
(m3)]]</f>
        <v>675</v>
      </c>
      <c r="R33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4</v>
      </c>
      <c r="S33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340.2</v>
      </c>
      <c r="T33" s="12">
        <f xml:space="preserve"> gas_cost1071351923[[#This Row],[Gas Net cost to date
(TND)]]* (1 + E$5)</f>
        <v>401.43599999999998</v>
      </c>
      <c r="U33" s="12">
        <f>(gas_cost1071351923[[#This Row],[Gas Cost to date  VAT included
(TND)
]] - T32)/_xlfn.DAYS(electricity_cost31141822[[#This Row],[Date of reading 
(Elect + Gas)]], G32)</f>
        <v>2.378879999999981</v>
      </c>
      <c r="V33" s="12">
        <f>(gas_cost1071351923[[#This Row],[Consumption (m3)]] - Q32)/_xlfn.DAYS(electricity_cost31141822[[#This Row],[Date of reading 
(Elect + Gas)]], G32)</f>
        <v>4</v>
      </c>
      <c r="W33" s="20">
        <f xml:space="preserve"> E$8 + ((electricity_cost31141822[[#This Row],[Elect. Net cost to date
(TND)]] + E$6 + gas_cost1071351923[[#This Row],[Gas Net cost to date
(TND)]] + E$7) * (1 + E$5))</f>
        <v>537.9721199999999</v>
      </c>
      <c r="X33" s="38"/>
    </row>
    <row r="34" spans="2:24" x14ac:dyDescent="0.25">
      <c r="B34">
        <v>20024</v>
      </c>
      <c r="C34" s="6">
        <v>43476</v>
      </c>
      <c r="D34" s="54">
        <v>43594</v>
      </c>
      <c r="E34">
        <v>20620</v>
      </c>
      <c r="F34" s="11">
        <f>electricity_cost31141822[[#This Row],[ Index (KWh)]]-electricity_cost31141822[[#This Row],[Original index 
(KWh)]]</f>
        <v>596</v>
      </c>
      <c r="G34" s="6">
        <v>43572</v>
      </c>
      <c r="H34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34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107.876</v>
      </c>
      <c r="J34" s="12">
        <f xml:space="preserve"> (E$6 + electricity_cost31141822[[#This Row],[Elect. Net cost to date
(TND)]]) * (1 + E$5)</f>
        <v>143.81368000000001</v>
      </c>
      <c r="K34" s="12">
        <f>(electricity_cost31141822[[#This Row],[Elect. Cost  VAT included
(TND)
]]-J33)/_xlfn.DAYS(electricity_cost31141822[[#This Row],[Date of reading 
(Elect + Gas)]], G33)</f>
        <v>1.347196923076923</v>
      </c>
      <c r="L34" s="12">
        <f>(electricity_cost31141822[[#This Row],[Consumption to date (KWh)]] - F33)/_xlfn.DAYS(electricity_cost31141822[[#This Row],[Date of reading 
(Elect + Gas)]], G33)</f>
        <v>6.3076923076923075</v>
      </c>
      <c r="M34">
        <v>10045</v>
      </c>
      <c r="P34">
        <v>10784</v>
      </c>
      <c r="Q34" s="11">
        <f>gas_cost1071351923[[#This Row],[ Index (m3)]] - gas_cost1071351923[[#This Row],[Original index 
(m3)]]</f>
        <v>739</v>
      </c>
      <c r="R34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4</v>
      </c>
      <c r="S34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372.45600000000002</v>
      </c>
      <c r="T34" s="12">
        <f xml:space="preserve"> gas_cost1071351923[[#This Row],[Gas Net cost to date
(TND)]]* (1 + E$5)</f>
        <v>439.49808000000002</v>
      </c>
      <c r="U34" s="12">
        <f>(gas_cost1071351923[[#This Row],[Gas Cost to date  VAT included
(TND)
]] - T33)/_xlfn.DAYS(electricity_cost31141822[[#This Row],[Date of reading 
(Elect + Gas)]], G33)</f>
        <v>2.9278523076923104</v>
      </c>
      <c r="V34" s="12">
        <f>(gas_cost1071351923[[#This Row],[Consumption (m3)]] - Q33)/_xlfn.DAYS(electricity_cost31141822[[#This Row],[Date of reading 
(Elect + Gas)]], G33)</f>
        <v>4.9230769230769234</v>
      </c>
      <c r="W34" s="20">
        <f xml:space="preserve"> E$8 + ((electricity_cost31141822[[#This Row],[Elect. Net cost to date
(TND)]] + E$6 + gas_cost1071351923[[#This Row],[Gas Net cost to date
(TND)]] + E$7) * (1 + E$5))</f>
        <v>593.54775999999993</v>
      </c>
      <c r="X34" s="38"/>
    </row>
    <row r="35" spans="2:24" x14ac:dyDescent="0.25">
      <c r="B35">
        <v>20024</v>
      </c>
      <c r="C35" s="6">
        <v>43476</v>
      </c>
      <c r="D35" s="54">
        <v>43594</v>
      </c>
      <c r="E35">
        <v>20720</v>
      </c>
      <c r="F35" s="11">
        <f>electricity_cost31141822[[#This Row],[ Index (KWh)]]-electricity_cost31141822[[#This Row],[Original index 
(KWh)]]</f>
        <v>696</v>
      </c>
      <c r="G35" s="6">
        <v>43591</v>
      </c>
      <c r="H35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35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125.976</v>
      </c>
      <c r="J35" s="12">
        <f xml:space="preserve"> (E$6 + electricity_cost31141822[[#This Row],[Elect. Net cost to date
(TND)]]) * (1 + E$5)</f>
        <v>165.17167999999998</v>
      </c>
      <c r="K35" s="12">
        <f>electricity_cost31141822[[#This Row],[Elect. Cost  VAT included
(TND)
]]-J34/(electricity_cost31141822[[#This Row],[Date of reading 
(Elect + Gas)]]-G34)</f>
        <v>157.6025389473684</v>
      </c>
      <c r="L35" s="12">
        <f>(electricity_cost31141822[[#This Row],[Consumption to date (KWh)]] - F34)/_xlfn.DAYS(electricity_cost31141822[[#This Row],[Date of reading 
(Elect + Gas)]], G34)</f>
        <v>5.2631578947368425</v>
      </c>
      <c r="M35">
        <v>10045</v>
      </c>
      <c r="P35">
        <v>10831</v>
      </c>
      <c r="Q35" s="11">
        <f>gas_cost1071351923[[#This Row],[ Index (m3)]] - gas_cost1071351923[[#This Row],[Original index 
(m3)]]</f>
        <v>786</v>
      </c>
      <c r="R35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4</v>
      </c>
      <c r="S35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396.14400000000001</v>
      </c>
      <c r="T35" s="12">
        <f xml:space="preserve"> gas_cost1071351923[[#This Row],[Gas Net cost to date
(TND)]]* (1 + E$5)</f>
        <v>467.44991999999996</v>
      </c>
      <c r="U35" s="12">
        <f>(gas_cost1071351923[[#This Row],[Gas Cost to date  VAT included
(TND)
]] - T34)/_xlfn.DAYS(electricity_cost31141822[[#This Row],[Date of reading 
(Elect + Gas)]], G34)</f>
        <v>1.4711494736842077</v>
      </c>
      <c r="V35" s="12">
        <f>(gas_cost1071351923[[#This Row],[Consumption (m3)]] - Q34)/_xlfn.DAYS(electricity_cost31141822[[#This Row],[Date of reading 
(Elect + Gas)]], G34)</f>
        <v>2.4736842105263159</v>
      </c>
      <c r="W35" s="20">
        <f xml:space="preserve"> E$8 + ((electricity_cost31141822[[#This Row],[Elect. Net cost to date
(TND)]] + E$6 + gas_cost1071351923[[#This Row],[Gas Net cost to date
(TND)]] + E$7) * (1 + E$5))</f>
        <v>642.85759999999993</v>
      </c>
      <c r="X35" s="38"/>
    </row>
    <row r="36" spans="2:24" x14ac:dyDescent="0.25">
      <c r="B36">
        <v>20024</v>
      </c>
      <c r="C36" s="6">
        <v>43476</v>
      </c>
      <c r="D36" s="54">
        <v>43594</v>
      </c>
      <c r="E36">
        <v>20727</v>
      </c>
      <c r="F36" s="11">
        <f>electricity_cost31141822[[#This Row],[ Index (KWh)]]-electricity_cost31141822[[#This Row],[Original index 
(KWh)]]</f>
        <v>703</v>
      </c>
      <c r="G36" s="6">
        <v>43592</v>
      </c>
      <c r="H36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36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127.24299999999999</v>
      </c>
      <c r="J36" s="12">
        <f xml:space="preserve"> (E$6 + electricity_cost31141822[[#This Row],[Elect. Net cost to date
(TND)]]) * (1 + E$5)</f>
        <v>166.66673999999998</v>
      </c>
      <c r="K36" s="12">
        <f>electricity_cost31141822[[#This Row],[Elect. Cost  VAT included
(TND)
]]-J35/(electricity_cost31141822[[#This Row],[Date of reading 
(Elect + Gas)]]-G35)</f>
        <v>1.4950599999999952</v>
      </c>
      <c r="L36" s="12">
        <f>(electricity_cost31141822[[#This Row],[Consumption to date (KWh)]] - F35)/_xlfn.DAYS(electricity_cost31141822[[#This Row],[Date of reading 
(Elect + Gas)]], G35)</f>
        <v>7</v>
      </c>
      <c r="M36">
        <v>10045</v>
      </c>
      <c r="P36">
        <v>10834</v>
      </c>
      <c r="Q36" s="11">
        <f>gas_cost1071351923[[#This Row],[ Index (m3)]] - gas_cost1071351923[[#This Row],[Original index 
(m3)]]</f>
        <v>789</v>
      </c>
      <c r="R36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4</v>
      </c>
      <c r="S36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397.65600000000001</v>
      </c>
      <c r="T36" s="12">
        <f xml:space="preserve"> gas_cost1071351923[[#This Row],[Gas Net cost to date
(TND)]]* (1 + E$5)</f>
        <v>469.23408000000001</v>
      </c>
      <c r="U36" s="12">
        <f>(gas_cost1071351923[[#This Row],[Gas Cost to date  VAT included
(TND)
]] - T35)/_xlfn.DAYS(electricity_cost31141822[[#This Row],[Date of reading 
(Elect + Gas)]], G35)</f>
        <v>1.7841600000000426</v>
      </c>
      <c r="V36" s="12">
        <f>(gas_cost1071351923[[#This Row],[Consumption (m3)]] - Q35)/_xlfn.DAYS(electricity_cost31141822[[#This Row],[Date of reading 
(Elect + Gas)]], G35)</f>
        <v>3</v>
      </c>
      <c r="W36" s="20">
        <f xml:space="preserve"> E$8 + ((electricity_cost31141822[[#This Row],[Elect. Net cost to date
(TND)]] + E$6 + gas_cost1071351923[[#This Row],[Gas Net cost to date
(TND)]] + E$7) * (1 + E$5))</f>
        <v>646.13681999999994</v>
      </c>
      <c r="X36" s="38"/>
    </row>
    <row r="37" spans="2:24" x14ac:dyDescent="0.25">
      <c r="B37">
        <v>20024</v>
      </c>
      <c r="C37" s="6">
        <v>43476</v>
      </c>
      <c r="D37" s="54">
        <v>43594</v>
      </c>
      <c r="E37">
        <v>20733</v>
      </c>
      <c r="F37" s="11">
        <f>electricity_cost31141822[[#This Row],[ Index (KWh)]]-electricity_cost31141822[[#This Row],[Original index 
(KWh)]]</f>
        <v>709</v>
      </c>
      <c r="G37" s="6">
        <v>43593</v>
      </c>
      <c r="H37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37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128.32900000000001</v>
      </c>
      <c r="J37" s="12">
        <f xml:space="preserve"> (E$6 + electricity_cost31141822[[#This Row],[Elect. Net cost to date
(TND)]]) * (1 + E$5)</f>
        <v>167.94821999999999</v>
      </c>
      <c r="K37" s="12">
        <f>electricity_cost31141822[[#This Row],[Elect. Cost  VAT included
(TND)
]]-J36/(electricity_cost31141822[[#This Row],[Date of reading 
(Elect + Gas)]]-G36)</f>
        <v>1.2814800000000162</v>
      </c>
      <c r="L37" s="12">
        <f>(electricity_cost31141822[[#This Row],[Consumption to date (KWh)]] - F36)/_xlfn.DAYS(electricity_cost31141822[[#This Row],[Date of reading 
(Elect + Gas)]], G36)</f>
        <v>6</v>
      </c>
      <c r="M37">
        <v>10045</v>
      </c>
      <c r="P37">
        <v>10835</v>
      </c>
      <c r="Q37" s="11">
        <f>gas_cost1071351923[[#This Row],[ Index (m3)]] - gas_cost1071351923[[#This Row],[Original index 
(m3)]]</f>
        <v>790</v>
      </c>
      <c r="R37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4</v>
      </c>
      <c r="S37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398.16</v>
      </c>
      <c r="T37" s="12">
        <f xml:space="preserve"> gas_cost1071351923[[#This Row],[Gas Net cost to date
(TND)]]* (1 + E$5)</f>
        <v>469.8288</v>
      </c>
      <c r="U37" s="12">
        <f>(gas_cost1071351923[[#This Row],[Gas Cost to date  VAT included
(TND)
]] - T36)/_xlfn.DAYS(electricity_cost31141822[[#This Row],[Date of reading 
(Elect + Gas)]], G36)</f>
        <v>0.59471999999999525</v>
      </c>
      <c r="V37" s="12">
        <f>(gas_cost1071351923[[#This Row],[Consumption (m3)]] - Q36)/_xlfn.DAYS(electricity_cost31141822[[#This Row],[Date of reading 
(Elect + Gas)]], G36)</f>
        <v>1</v>
      </c>
      <c r="W37" s="20">
        <f xml:space="preserve"> E$8 + ((electricity_cost31141822[[#This Row],[Elect. Net cost to date
(TND)]] + E$6 + gas_cost1071351923[[#This Row],[Gas Net cost to date
(TND)]] + E$7) * (1 + E$5))</f>
        <v>648.01301999999998</v>
      </c>
      <c r="X37" s="38"/>
    </row>
    <row r="38" spans="2:24" x14ac:dyDescent="0.25">
      <c r="B38">
        <v>20024</v>
      </c>
      <c r="C38" s="6">
        <v>43476</v>
      </c>
      <c r="D38" s="54">
        <v>43594</v>
      </c>
      <c r="E38">
        <v>20739</v>
      </c>
      <c r="F38" s="11">
        <f>electricity_cost31141822[[#This Row],[ Index (KWh)]]-electricity_cost31141822[[#This Row],[Original index 
(KWh)]]</f>
        <v>715</v>
      </c>
      <c r="G38" s="6">
        <v>43594</v>
      </c>
      <c r="H38" s="11">
        <f xml:space="preserve"> _xlfn.IFS(electricity_cost31141822[[#This Row],[Consumption to date (KWh)]] &lt;= K$4, 1, AND(K$4 &lt; electricity_cost31141822[[#This Row],[Consumption to date (KWh)]],  electricity_cost31141822[[#This Row],[Consumption to date (KWh)]]&lt;= K$5), 2, AND(K$5 &lt; electricity_cost31141822[[#This Row],[Consumption to date (KWh)]],  electricity_cost31141822[[#This Row],[Consumption to date (KWh)]]&lt;= K$6), 3, electricity_cost31141822[[#This Row],[Consumption to date (KWh)]] &gt; K$6, 4)</f>
        <v>1</v>
      </c>
      <c r="I38" s="12">
        <f>_xlfn.IFS(electricity_cost31141822[[#This Row],[Level (Elect)]]= 1, (electricity_cost31141822[[#This Row],[Consumption to date (KWh)]] * L$4)/1000, electricity_cost31141822[[#This Row],[Level (Elect)]] = 2, (K$4 * L$4 +((electricity_cost31141822[[#This Row],[Consumption to date (KWh)]] - K$4) * L$5))/1000,electricity_cost31141822[[#This Row],[Level (Elect)]] = 3, (K$4 * L$4 + (K$5-J$5) * L$5 + ((electricity_cost31141822[[#This Row],[Consumption to date (KWh)]] - K$5) * L$6))/1000, electricity_cost31141822[[#This Row],[Level (Elect)]] = 4, (K$4 * L$4 + (K$5-J$5) * L$5 + (K$6-J$6) * L$6 + ((electricity_cost31141822[[#This Row],[Consumption to date (KWh)]] - K$6) * L$7))/1000)</f>
        <v>129.41499999999999</v>
      </c>
      <c r="J38" s="12">
        <f xml:space="preserve"> (E$6 + electricity_cost31141822[[#This Row],[Elect. Net cost to date
(TND)]]) * (1 + E$5)</f>
        <v>169.22969999999998</v>
      </c>
      <c r="K38" s="12">
        <f>electricity_cost31141822[[#This Row],[Elect. Cost  VAT included
(TND)
]]-J37/(electricity_cost31141822[[#This Row],[Date of reading 
(Elect + Gas)]]-G37)</f>
        <v>1.2814799999999877</v>
      </c>
      <c r="L38" s="12">
        <f>(electricity_cost31141822[[#This Row],[Consumption to date (KWh)]] - F37)/_xlfn.DAYS(electricity_cost31141822[[#This Row],[Date of reading 
(Elect + Gas)]], G37)</f>
        <v>6</v>
      </c>
      <c r="M38">
        <v>10045</v>
      </c>
      <c r="P38">
        <v>10836</v>
      </c>
      <c r="Q38" s="11">
        <f>gas_cost1071351923[[#This Row],[ Index (m3)]] - gas_cost1071351923[[#This Row],[Original index 
(m3)]]</f>
        <v>791</v>
      </c>
      <c r="R38" s="11">
        <f xml:space="preserve"> _xlfn.IFS(gas_cost1071351923[[#This Row],[Consumption (m3)]] &lt;= R$4, 1, AND(R$4 &lt; gas_cost1071351923[[#This Row],[Consumption (m3)]], gas_cost1071351923[[#This Row],[Consumption (m3)]] &lt;= R$5), 2, AND(R$5 &lt; gas_cost1071351923[[#This Row],[Consumption (m3)]], gas_cost1071351923[[#This Row],[Consumption (m3)]] &lt;= R$6), 3, gas_cost1071351923[[#This Row],[Consumption (m3)]] &gt; R$6, 4)</f>
        <v>4</v>
      </c>
      <c r="S38" s="12">
        <f>_xlfn.IFS(gas_cost1071351923[[#This Row],[Level (Gas)]]= 1, (gas_cost1071351923[[#This Row],[Consumption (m3)]] * S$4)/1000, gas_cost1071351923[[#This Row],[Level (Gas)]] = 2, (gas_cost1071351923[[#This Row],[Consumption (m3)]] * S$5)/1000,gas_cost1071351923[[#This Row],[Level (Gas)]] = 3, (gas_cost1071351923[[#This Row],[Consumption (m3)]] * S$6)/1000, gas_cost1071351923[[#This Row],[Level (Gas)]] = 4, (gas_cost1071351923[[#This Row],[Consumption (m3)]] * S$7)/1000)</f>
        <v>398.66399999999999</v>
      </c>
      <c r="T38" s="12">
        <f xml:space="preserve"> gas_cost1071351923[[#This Row],[Gas Net cost to date
(TND)]]* (1 + E$5)</f>
        <v>470.42351999999994</v>
      </c>
      <c r="U38" s="12">
        <f>(gas_cost1071351923[[#This Row],[Gas Cost to date  VAT included
(TND)
]] - T37)/_xlfn.DAYS(electricity_cost31141822[[#This Row],[Date of reading 
(Elect + Gas)]], G37)</f>
        <v>0.59471999999993841</v>
      </c>
      <c r="V38" s="12">
        <f>(gas_cost1071351923[[#This Row],[Consumption (m3)]] - Q37)/_xlfn.DAYS(electricity_cost31141822[[#This Row],[Date of reading 
(Elect + Gas)]], G37)</f>
        <v>1</v>
      </c>
      <c r="W38" s="20">
        <f xml:space="preserve"> E$8 + ((electricity_cost31141822[[#This Row],[Elect. Net cost to date
(TND)]] + E$6 + gas_cost1071351923[[#This Row],[Gas Net cost to date
(TND)]] + E$7) * (1 + E$5))</f>
        <v>649.88921999999991</v>
      </c>
      <c r="X38" s="38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98D1-244F-43A8-ADA5-833B7F36F965}">
  <dimension ref="B2:Y38"/>
  <sheetViews>
    <sheetView topLeftCell="M13" zoomScale="85" zoomScaleNormal="85" workbookViewId="0">
      <selection activeCell="U19" sqref="U19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5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33.1406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43720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341</v>
      </c>
      <c r="T5" t="s">
        <v>71</v>
      </c>
      <c r="U5" s="19">
        <v>43720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14</v>
      </c>
      <c r="I6">
        <v>3</v>
      </c>
      <c r="J6">
        <v>1201</v>
      </c>
      <c r="K6">
        <v>2000</v>
      </c>
      <c r="L6">
        <v>290</v>
      </c>
      <c r="P6">
        <v>3</v>
      </c>
      <c r="Q6">
        <v>1</v>
      </c>
      <c r="R6">
        <v>600</v>
      </c>
      <c r="S6">
        <v>403</v>
      </c>
      <c r="T6" t="s">
        <v>65</v>
      </c>
    </row>
    <row r="7" spans="2:24" x14ac:dyDescent="0.25">
      <c r="D7" s="16" t="s">
        <v>15</v>
      </c>
      <c r="E7" s="14">
        <v>2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9.2200000000000006</v>
      </c>
      <c r="F8" s="14">
        <v>7.8760000000000003</v>
      </c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INDEX(electricity_cost3114182226[Elect. Net cost to date
(TND)], COUNTA(I18:I35), 1) + E6</f>
        <v>336.22699999999998</v>
      </c>
      <c r="G10" s="67" t="s">
        <v>61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68</v>
      </c>
      <c r="I11" s="33" t="s">
        <v>69</v>
      </c>
      <c r="J11" s="33" t="s">
        <v>70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1200</v>
      </c>
      <c r="I12" s="34">
        <v>126</v>
      </c>
      <c r="J12" s="51">
        <v>320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1500</v>
      </c>
      <c r="I13" s="35">
        <v>170</v>
      </c>
      <c r="J13" s="52">
        <v>445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 t="s">
        <v>55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72</v>
      </c>
    </row>
    <row r="18" spans="2:25" x14ac:dyDescent="0.25">
      <c r="B18">
        <v>20740</v>
      </c>
      <c r="C18" s="6">
        <v>43594</v>
      </c>
      <c r="D18" s="54">
        <v>43720</v>
      </c>
      <c r="E18">
        <v>20740</v>
      </c>
      <c r="F18" s="11">
        <f>electricity_cost3114182226[[#This Row],[ Index (KWh)]]-electricity_cost3114182226[[#This Row],[Original index 
(KWh)]]</f>
        <v>0</v>
      </c>
      <c r="G18" s="6">
        <v>43594</v>
      </c>
      <c r="H18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18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0</v>
      </c>
      <c r="J18" s="10">
        <f xml:space="preserve"> (E$6 + electricity_cost3114182226[[#This Row],[Elect. Net cost to date
(TND)]]) * (1 + E$5)</f>
        <v>16.52</v>
      </c>
      <c r="K18" s="12"/>
      <c r="L18" s="12"/>
      <c r="M18">
        <v>10836</v>
      </c>
      <c r="P18">
        <v>10836</v>
      </c>
      <c r="Q18" s="11">
        <f>gas_cost107135192327[[#This Row],[ Index (m3)]] - gas_cost107135192327[[#This Row],[Original index 
(m3)]]</f>
        <v>0</v>
      </c>
      <c r="R18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18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0</v>
      </c>
      <c r="T18" s="12">
        <f xml:space="preserve"> gas_cost107135192327[[#This Row],[Gas Net cost to date
(TND)]]* (1 + E$5)</f>
        <v>0</v>
      </c>
      <c r="U18" s="12"/>
      <c r="V18" s="12"/>
      <c r="W18" s="20">
        <f xml:space="preserve"> E$8 + ((electricity_cost3114182226[[#This Row],[Elect. Net cost to date
(TND)]] + E$6 + gas_cost107135192327[[#This Row],[Gas Net cost to date
(TND)]] + E$7) * (1 + E$5))</f>
        <v>28.1</v>
      </c>
      <c r="X18" s="38"/>
      <c r="Y18" s="37"/>
    </row>
    <row r="19" spans="2:25" x14ac:dyDescent="0.25">
      <c r="B19">
        <v>20740</v>
      </c>
      <c r="C19" s="6">
        <v>43594</v>
      </c>
      <c r="D19" s="54">
        <v>43720</v>
      </c>
      <c r="E19">
        <v>20746</v>
      </c>
      <c r="F19" s="11">
        <f>electricity_cost3114182226[[#This Row],[ Index (KWh)]]-electricity_cost3114182226[[#This Row],[Original index 
(KWh)]]</f>
        <v>6</v>
      </c>
      <c r="G19" s="6">
        <v>43595</v>
      </c>
      <c r="H19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19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1.0860000000000001</v>
      </c>
      <c r="J19" s="10">
        <f xml:space="preserve"> (E$6 + electricity_cost3114182226[[#This Row],[Elect. Net cost to date
(TND)]]) * (1 + E$5)</f>
        <v>17.801479999999998</v>
      </c>
      <c r="K19" s="12">
        <f>(electricity_cost3114182226[[#This Row],[Elect. Cost  VAT included
(TND)
]]-J18)/_xlfn.DAYS(electricity_cost3114182226[[#This Row],[Date of reading 
(Elect + Gas)]], G18)</f>
        <v>1.2814799999999984</v>
      </c>
      <c r="L19" s="12">
        <f>(electricity_cost3114182226[[#This Row],[Consumption to date (KWh)]] - F18)/_xlfn.DAYS(electricity_cost3114182226[[#This Row],[Date of reading 
(Elect + Gas)]], G18)</f>
        <v>6</v>
      </c>
      <c r="M19">
        <v>10836</v>
      </c>
      <c r="P19">
        <v>10837</v>
      </c>
      <c r="Q19" s="11">
        <f>gas_cost107135192327[[#This Row],[ Index (m3)]] - gas_cost107135192327[[#This Row],[Original index 
(m3)]]</f>
        <v>1</v>
      </c>
      <c r="R19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19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0.23100000000000001</v>
      </c>
      <c r="T19" s="12">
        <f xml:space="preserve"> gas_cost107135192327[[#This Row],[Gas Net cost to date
(TND)]]* (1 + E$5)</f>
        <v>0.27257999999999999</v>
      </c>
      <c r="U19" s="12">
        <f>(gas_cost107135192327[[#This Row],[Gas Cost to date  VAT included
(TND)
]] - T18)/_xlfn.DAYS(electricity_cost3114182226[[#This Row],[Date of reading 
(Elect + Gas)]], G18)</f>
        <v>0.27257999999999999</v>
      </c>
      <c r="V19" s="12">
        <f>(gas_cost107135192327[[#This Row],[Consumption (m3)]] - Q18)/_xlfn.DAYS(electricity_cost3114182226[[#This Row],[Date of reading 
(Elect + Gas)]], G18)</f>
        <v>1</v>
      </c>
      <c r="W19" s="20">
        <f xml:space="preserve"> E$8 + ((electricity_cost3114182226[[#This Row],[Elect. Net cost to date
(TND)]] + E$6 + gas_cost107135192327[[#This Row],[Gas Net cost to date
(TND)]] + E$7) * (1 + E$5))</f>
        <v>29.654060000000001</v>
      </c>
      <c r="X19" s="38"/>
    </row>
    <row r="20" spans="2:25" x14ac:dyDescent="0.25">
      <c r="B20">
        <v>20740</v>
      </c>
      <c r="C20" s="6">
        <v>43594</v>
      </c>
      <c r="D20" s="54">
        <v>43720</v>
      </c>
      <c r="E20">
        <v>20830</v>
      </c>
      <c r="F20" s="11">
        <f>electricity_cost3114182226[[#This Row],[ Index (KWh)]]-electricity_cost3114182226[[#This Row],[Original index 
(KWh)]]</f>
        <v>90</v>
      </c>
      <c r="G20" s="6">
        <v>43609</v>
      </c>
      <c r="H20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0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16.29</v>
      </c>
      <c r="J20" s="10">
        <f xml:space="preserve"> (E$6 + electricity_cost3114182226[[#This Row],[Elect. Net cost to date
(TND)]]) * (1 + E$5)</f>
        <v>35.742199999999997</v>
      </c>
      <c r="K20" s="12">
        <f>(electricity_cost3114182226[[#This Row],[Elect. Cost  VAT included
(TND)
]]-J19)/_xlfn.DAYS(electricity_cost3114182226[[#This Row],[Date of reading 
(Elect + Gas)]], G19)</f>
        <v>1.28148</v>
      </c>
      <c r="L20" s="12">
        <f>(electricity_cost3114182226[[#This Row],[Consumption to date (KWh)]] - F19)/_xlfn.DAYS(electricity_cost3114182226[[#This Row],[Date of reading 
(Elect + Gas)]], G19)</f>
        <v>6</v>
      </c>
      <c r="M20">
        <v>10836</v>
      </c>
      <c r="P20">
        <v>10855</v>
      </c>
      <c r="Q20" s="11">
        <f>gas_cost107135192327[[#This Row],[ Index (m3)]] - gas_cost107135192327[[#This Row],[Original index 
(m3)]]</f>
        <v>19</v>
      </c>
      <c r="R20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0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4.3890000000000002</v>
      </c>
      <c r="T20" s="12">
        <f xml:space="preserve"> gas_cost107135192327[[#This Row],[Gas Net cost to date
(TND)]]* (1 + E$5)</f>
        <v>5.1790200000000004</v>
      </c>
      <c r="U20" s="12">
        <f>(gas_cost107135192327[[#This Row],[Gas Cost to date  VAT included
(TND)
]] - T19)/_xlfn.DAYS(electricity_cost3114182226[[#This Row],[Date of reading 
(Elect + Gas)]], G19)</f>
        <v>0.35046000000000005</v>
      </c>
      <c r="V20" s="12">
        <f>(gas_cost107135192327[[#This Row],[Consumption (m3)]] - Q19)/_xlfn.DAYS(electricity_cost3114182226[[#This Row],[Date of reading 
(Elect + Gas)]], G19)</f>
        <v>1.2857142857142858</v>
      </c>
      <c r="W20" s="20">
        <f xml:space="preserve"> E$8 + ((electricity_cost3114182226[[#This Row],[Elect. Net cost to date
(TND)]] + E$6 + gas_cost107135192327[[#This Row],[Gas Net cost to date
(TND)]] + E$7) * (1 + E$5))</f>
        <v>52.501219999999996</v>
      </c>
      <c r="X20" s="38"/>
    </row>
    <row r="21" spans="2:25" x14ac:dyDescent="0.25">
      <c r="B21">
        <v>20740</v>
      </c>
      <c r="C21" s="6">
        <v>43594</v>
      </c>
      <c r="D21" s="54">
        <v>43720</v>
      </c>
      <c r="E21">
        <v>20863</v>
      </c>
      <c r="F21" s="11">
        <f>electricity_cost3114182226[[#This Row],[ Index (KWh)]]-electricity_cost3114182226[[#This Row],[Original index 
(KWh)]]</f>
        <v>123</v>
      </c>
      <c r="G21" s="6">
        <v>43614</v>
      </c>
      <c r="H21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1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22.263000000000002</v>
      </c>
      <c r="J21" s="10">
        <f xml:space="preserve"> (E$6 + electricity_cost3114182226[[#This Row],[Elect. Net cost to date
(TND)]]) * (1 + E$5)</f>
        <v>42.79034</v>
      </c>
      <c r="K21" s="12">
        <f>(electricity_cost3114182226[[#This Row],[Elect. Cost  VAT included
(TND)
]]-J20)/_xlfn.DAYS(electricity_cost3114182226[[#This Row],[Date of reading 
(Elect + Gas)]], G20)</f>
        <v>1.4096280000000008</v>
      </c>
      <c r="L21" s="12">
        <f>(electricity_cost3114182226[[#This Row],[Consumption to date (KWh)]] - F20)/_xlfn.DAYS(electricity_cost3114182226[[#This Row],[Date of reading 
(Elect + Gas)]], G20)</f>
        <v>6.6</v>
      </c>
      <c r="M21">
        <v>10836</v>
      </c>
      <c r="P21">
        <v>10862</v>
      </c>
      <c r="Q21" s="11">
        <f>gas_cost107135192327[[#This Row],[ Index (m3)]] - gas_cost107135192327[[#This Row],[Original index 
(m3)]]</f>
        <v>26</v>
      </c>
      <c r="R21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1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6.0060000000000002</v>
      </c>
      <c r="T21" s="12">
        <f xml:space="preserve"> gas_cost107135192327[[#This Row],[Gas Net cost to date
(TND)]]* (1 + E$5)</f>
        <v>7.0870800000000003</v>
      </c>
      <c r="U21" s="12">
        <f>(gas_cost107135192327[[#This Row],[Gas Cost to date  VAT included
(TND)
]] - T20)/_xlfn.DAYS(electricity_cost3114182226[[#This Row],[Date of reading 
(Elect + Gas)]], G20)</f>
        <v>0.38161199999999995</v>
      </c>
      <c r="V21" s="12">
        <f>(gas_cost107135192327[[#This Row],[Consumption (m3)]] - Q20)/_xlfn.DAYS(electricity_cost3114182226[[#This Row],[Date of reading 
(Elect + Gas)]], G20)</f>
        <v>1.4</v>
      </c>
      <c r="W21" s="20">
        <f xml:space="preserve"> E$8 + ((electricity_cost3114182226[[#This Row],[Elect. Net cost to date
(TND)]] + E$6 + gas_cost107135192327[[#This Row],[Gas Net cost to date
(TND)]] + E$7) * (1 + E$5))</f>
        <v>61.457419999999999</v>
      </c>
      <c r="X21" s="38"/>
    </row>
    <row r="22" spans="2:25" x14ac:dyDescent="0.25">
      <c r="B22">
        <v>20740</v>
      </c>
      <c r="C22" s="6">
        <v>43594</v>
      </c>
      <c r="D22" s="54">
        <v>43720</v>
      </c>
      <c r="E22">
        <v>20868</v>
      </c>
      <c r="F22" s="11">
        <f>electricity_cost3114182226[[#This Row],[ Index (KWh)]]-electricity_cost3114182226[[#This Row],[Original index 
(KWh)]]</f>
        <v>128</v>
      </c>
      <c r="G22" s="6">
        <v>43615</v>
      </c>
      <c r="H22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2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23.167999999999999</v>
      </c>
      <c r="J22" s="10">
        <f xml:space="preserve"> (E$6 + electricity_cost3114182226[[#This Row],[Elect. Net cost to date
(TND)]]) * (1 + E$5)</f>
        <v>43.858239999999995</v>
      </c>
      <c r="K22" s="12">
        <f>(electricity_cost3114182226[[#This Row],[Elect. Cost  VAT included
(TND)
]]-J21)/_xlfn.DAYS(electricity_cost3114182226[[#This Row],[Date of reading 
(Elect + Gas)]], G21)</f>
        <v>1.0678999999999945</v>
      </c>
      <c r="L22" s="12">
        <f>(electricity_cost3114182226[[#This Row],[Consumption to date (KWh)]] - F21)/_xlfn.DAYS(electricity_cost3114182226[[#This Row],[Date of reading 
(Elect + Gas)]], G21)</f>
        <v>5</v>
      </c>
      <c r="M22">
        <v>10836</v>
      </c>
      <c r="P22">
        <v>10863</v>
      </c>
      <c r="Q22" s="11">
        <f>gas_cost107135192327[[#This Row],[ Index (m3)]] - gas_cost107135192327[[#This Row],[Original index 
(m3)]]</f>
        <v>27</v>
      </c>
      <c r="R22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2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6.2370000000000001</v>
      </c>
      <c r="T22" s="12">
        <f xml:space="preserve"> gas_cost107135192327[[#This Row],[Gas Net cost to date
(TND)]]* (1 + E$5)</f>
        <v>7.3596599999999999</v>
      </c>
      <c r="U22" s="12">
        <f>(gas_cost107135192327[[#This Row],[Gas Cost to date  VAT included
(TND)
]] - T21)/_xlfn.DAYS(electricity_cost3114182226[[#This Row],[Date of reading 
(Elect + Gas)]], G21)</f>
        <v>0.2725799999999996</v>
      </c>
      <c r="V22" s="12">
        <f>(gas_cost107135192327[[#This Row],[Consumption (m3)]] - Q21)/_xlfn.DAYS(electricity_cost3114182226[[#This Row],[Date of reading 
(Elect + Gas)]], G21)</f>
        <v>1</v>
      </c>
      <c r="W22" s="20">
        <f xml:space="preserve"> E$8 + ((electricity_cost3114182226[[#This Row],[Elect. Net cost to date
(TND)]] + E$6 + gas_cost107135192327[[#This Row],[Gas Net cost to date
(TND)]] + E$7) * (1 + E$5))</f>
        <v>62.797899999999998</v>
      </c>
      <c r="X22" s="38"/>
    </row>
    <row r="23" spans="2:25" x14ac:dyDescent="0.25">
      <c r="B23">
        <v>20740</v>
      </c>
      <c r="C23" s="6">
        <v>43594</v>
      </c>
      <c r="D23" s="54">
        <v>43720</v>
      </c>
      <c r="E23">
        <v>20925</v>
      </c>
      <c r="F23" s="11">
        <f>electricity_cost3114182226[[#This Row],[ Index (KWh)]]-electricity_cost3114182226[[#This Row],[Original index 
(KWh)]]</f>
        <v>185</v>
      </c>
      <c r="G23" s="6">
        <v>43627</v>
      </c>
      <c r="H23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3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33.484999999999999</v>
      </c>
      <c r="J23" s="10">
        <f xml:space="preserve"> (E$6 + electricity_cost3114182226[[#This Row],[Elect. Net cost to date
(TND)]]) * (1 + E$5)</f>
        <v>56.032299999999999</v>
      </c>
      <c r="K23" s="12">
        <f>(electricity_cost3114182226[[#This Row],[Elect. Cost  VAT included
(TND)
]]-J22)/_xlfn.DAYS(electricity_cost3114182226[[#This Row],[Date of reading 
(Elect + Gas)]], G22)</f>
        <v>1.0145050000000004</v>
      </c>
      <c r="L23" s="12">
        <f>(electricity_cost3114182226[[#This Row],[Consumption to date (KWh)]] - F22)/_xlfn.DAYS(electricity_cost3114182226[[#This Row],[Date of reading 
(Elect + Gas)]], G22)</f>
        <v>4.75</v>
      </c>
      <c r="M23">
        <v>10836</v>
      </c>
      <c r="P23">
        <v>10872</v>
      </c>
      <c r="Q23" s="11">
        <f>gas_cost107135192327[[#This Row],[ Index (m3)]] - gas_cost107135192327[[#This Row],[Original index 
(m3)]]</f>
        <v>36</v>
      </c>
      <c r="R23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3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8.3160000000000007</v>
      </c>
      <c r="T23" s="12">
        <f xml:space="preserve"> gas_cost107135192327[[#This Row],[Gas Net cost to date
(TND)]]* (1 + E$5)</f>
        <v>9.8128799999999998</v>
      </c>
      <c r="U23" s="12">
        <f>(gas_cost107135192327[[#This Row],[Gas Cost to date  VAT included
(TND)
]] - T22)/_xlfn.DAYS(electricity_cost3114182226[[#This Row],[Date of reading 
(Elect + Gas)]], G22)</f>
        <v>0.20443500000000001</v>
      </c>
      <c r="V23" s="12">
        <f>(gas_cost107135192327[[#This Row],[Consumption (m3)]] - Q22)/_xlfn.DAYS(electricity_cost3114182226[[#This Row],[Date of reading 
(Elect + Gas)]], G22)</f>
        <v>0.75</v>
      </c>
      <c r="W23" s="20">
        <f xml:space="preserve"> E$8 + ((electricity_cost3114182226[[#This Row],[Elect. Net cost to date
(TND)]] + E$6 + gas_cost107135192327[[#This Row],[Gas Net cost to date
(TND)]] + E$7) * (1 + E$5))</f>
        <v>77.425179999999997</v>
      </c>
      <c r="X23" s="38"/>
    </row>
    <row r="24" spans="2:25" x14ac:dyDescent="0.25">
      <c r="B24">
        <v>20740</v>
      </c>
      <c r="C24" s="6">
        <v>43594</v>
      </c>
      <c r="D24" s="54">
        <v>43720</v>
      </c>
      <c r="E24">
        <v>21047</v>
      </c>
      <c r="F24" s="11">
        <f>electricity_cost3114182226[[#This Row],[ Index (KWh)]]-electricity_cost3114182226[[#This Row],[Original index 
(KWh)]]</f>
        <v>307</v>
      </c>
      <c r="G24" s="6">
        <v>43641</v>
      </c>
      <c r="H24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4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55.567</v>
      </c>
      <c r="J24" s="10">
        <f xml:space="preserve"> (E$6 + electricity_cost3114182226[[#This Row],[Elect. Net cost to date
(TND)]]) * (1 + E$5)</f>
        <v>82.089060000000003</v>
      </c>
      <c r="K24" s="12">
        <f>(electricity_cost3114182226[[#This Row],[Elect. Cost  VAT included
(TND)
]]-J23)/_xlfn.DAYS(electricity_cost3114182226[[#This Row],[Date of reading 
(Elect + Gas)]], G23)</f>
        <v>1.8611971428571432</v>
      </c>
      <c r="L24" s="12">
        <f>(electricity_cost3114182226[[#This Row],[Consumption to date (KWh)]] - F23)/_xlfn.DAYS(electricity_cost3114182226[[#This Row],[Date of reading 
(Elect + Gas)]], G23)</f>
        <v>8.7142857142857135</v>
      </c>
      <c r="M24">
        <v>10836</v>
      </c>
      <c r="P24">
        <v>10886</v>
      </c>
      <c r="Q24" s="11">
        <f>gas_cost107135192327[[#This Row],[ Index (m3)]] - gas_cost107135192327[[#This Row],[Original index 
(m3)]]</f>
        <v>50</v>
      </c>
      <c r="R24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4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11.55</v>
      </c>
      <c r="T24" s="12">
        <f xml:space="preserve"> gas_cost107135192327[[#This Row],[Gas Net cost to date
(TND)]]* (1 + E$5)</f>
        <v>13.629</v>
      </c>
      <c r="U24" s="12">
        <f>(gas_cost107135192327[[#This Row],[Gas Cost to date  VAT included
(TND)
]] - T23)/_xlfn.DAYS(electricity_cost3114182226[[#This Row],[Date of reading 
(Elect + Gas)]], G23)</f>
        <v>0.27257999999999999</v>
      </c>
      <c r="V24" s="12">
        <f>(gas_cost107135192327[[#This Row],[Consumption (m3)]] - Q23)/_xlfn.DAYS(electricity_cost3114182226[[#This Row],[Date of reading 
(Elect + Gas)]], G23)</f>
        <v>1</v>
      </c>
      <c r="W24" s="20">
        <f xml:space="preserve"> E$8 + ((electricity_cost3114182226[[#This Row],[Elect. Net cost to date
(TND)]] + E$6 + gas_cost107135192327[[#This Row],[Gas Net cost to date
(TND)]] + E$7) * (1 + E$5))</f>
        <v>107.29805999999999</v>
      </c>
      <c r="X24" s="38"/>
    </row>
    <row r="25" spans="2:25" x14ac:dyDescent="0.25">
      <c r="B25">
        <v>20740</v>
      </c>
      <c r="C25" s="6">
        <v>43594</v>
      </c>
      <c r="D25" s="54">
        <v>43720</v>
      </c>
      <c r="E25">
        <v>21067</v>
      </c>
      <c r="F25" s="11">
        <f>electricity_cost3114182226[[#This Row],[ Index (KWh)]]-electricity_cost3114182226[[#This Row],[Original index 
(KWh)]]</f>
        <v>327</v>
      </c>
      <c r="G25" s="6">
        <v>43642</v>
      </c>
      <c r="H25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5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59.186999999999998</v>
      </c>
      <c r="J25" s="10">
        <f xml:space="preserve"> (E$6 + electricity_cost3114182226[[#This Row],[Elect. Net cost to date
(TND)]]) * (1 + E$5)</f>
        <v>86.360659999999996</v>
      </c>
      <c r="K25" s="12">
        <f>(electricity_cost3114182226[[#This Row],[Elect. Cost  VAT included
(TND)
]]-J24)/_xlfn.DAYS(electricity_cost3114182226[[#This Row],[Date of reading 
(Elect + Gas)]], G24)</f>
        <v>4.2715999999999923</v>
      </c>
      <c r="L25" s="12">
        <f>(electricity_cost3114182226[[#This Row],[Consumption to date (KWh)]] - F24)/_xlfn.DAYS(electricity_cost3114182226[[#This Row],[Date of reading 
(Elect + Gas)]], G24)</f>
        <v>20</v>
      </c>
      <c r="M25">
        <v>10836</v>
      </c>
      <c r="P25">
        <v>10887</v>
      </c>
      <c r="Q25" s="11">
        <f>gas_cost107135192327[[#This Row],[ Index (m3)]] - gas_cost107135192327[[#This Row],[Original index 
(m3)]]</f>
        <v>51</v>
      </c>
      <c r="R25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5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11.781000000000001</v>
      </c>
      <c r="T25" s="12">
        <f xml:space="preserve"> gas_cost107135192327[[#This Row],[Gas Net cost to date
(TND)]]* (1 + E$5)</f>
        <v>13.901579999999999</v>
      </c>
      <c r="U25" s="12">
        <f>(gas_cost107135192327[[#This Row],[Gas Cost to date  VAT included
(TND)
]] - T24)/_xlfn.DAYS(electricity_cost3114182226[[#This Row],[Date of reading 
(Elect + Gas)]], G24)</f>
        <v>0.2725799999999996</v>
      </c>
      <c r="V25" s="12">
        <f>(gas_cost107135192327[[#This Row],[Consumption (m3)]] - Q24)/_xlfn.DAYS(electricity_cost3114182226[[#This Row],[Date of reading 
(Elect + Gas)]], G24)</f>
        <v>1</v>
      </c>
      <c r="W25" s="20">
        <f xml:space="preserve"> E$8 + ((electricity_cost3114182226[[#This Row],[Elect. Net cost to date
(TND)]] + E$6 + gas_cost107135192327[[#This Row],[Gas Net cost to date
(TND)]] + E$7) * (1 + E$5))</f>
        <v>111.84224</v>
      </c>
      <c r="X25" s="38"/>
    </row>
    <row r="26" spans="2:25" x14ac:dyDescent="0.25">
      <c r="B26">
        <v>20740</v>
      </c>
      <c r="C26" s="6">
        <v>43594</v>
      </c>
      <c r="D26" s="54">
        <v>43720</v>
      </c>
      <c r="E26">
        <v>21209</v>
      </c>
      <c r="F26" s="11">
        <f>electricity_cost3114182226[[#This Row],[ Index (KWh)]]-electricity_cost3114182226[[#This Row],[Original index 
(KWh)]]</f>
        <v>469</v>
      </c>
      <c r="G26" s="6">
        <v>43651</v>
      </c>
      <c r="H26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6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84.888999999999996</v>
      </c>
      <c r="J26" s="10">
        <f xml:space="preserve"> (E$6 + electricity_cost3114182226[[#This Row],[Elect. Net cost to date
(TND)]]) * (1 + E$5)</f>
        <v>116.68901999999999</v>
      </c>
      <c r="K26" s="12">
        <f>(electricity_cost3114182226[[#This Row],[Elect. Cost  VAT included
(TND)
]]-J25)/_xlfn.DAYS(electricity_cost3114182226[[#This Row],[Date of reading 
(Elect + Gas)]], G25)</f>
        <v>3.3698177777777767</v>
      </c>
      <c r="L26" s="12">
        <f>(electricity_cost3114182226[[#This Row],[Consumption to date (KWh)]] - F25)/_xlfn.DAYS(electricity_cost3114182226[[#This Row],[Date of reading 
(Elect + Gas)]], G25)</f>
        <v>15.777777777777779</v>
      </c>
      <c r="M26">
        <v>10836</v>
      </c>
      <c r="P26">
        <v>10892</v>
      </c>
      <c r="Q26" s="11">
        <f>gas_cost107135192327[[#This Row],[ Index (m3)]] - gas_cost107135192327[[#This Row],[Original index 
(m3)]]</f>
        <v>56</v>
      </c>
      <c r="R26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6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12.936</v>
      </c>
      <c r="T26" s="12">
        <f xml:space="preserve"> gas_cost107135192327[[#This Row],[Gas Net cost to date
(TND)]]* (1 + E$5)</f>
        <v>15.264479999999999</v>
      </c>
      <c r="U26" s="12">
        <f>(gas_cost107135192327[[#This Row],[Gas Cost to date  VAT included
(TND)
]] - T25)/_xlfn.DAYS(electricity_cost3114182226[[#This Row],[Date of reading 
(Elect + Gas)]], G25)</f>
        <v>0.15143333333333331</v>
      </c>
      <c r="V26" s="12">
        <f>(gas_cost107135192327[[#This Row],[Consumption (m3)]] - Q25)/_xlfn.DAYS(electricity_cost3114182226[[#This Row],[Date of reading 
(Elect + Gas)]], G25)</f>
        <v>0.55555555555555558</v>
      </c>
      <c r="W26" s="20">
        <f xml:space="preserve"> E$8 + ((electricity_cost3114182226[[#This Row],[Elect. Net cost to date
(TND)]] + E$6 + gas_cost107135192327[[#This Row],[Gas Net cost to date
(TND)]] + E$7) * (1 + E$5))</f>
        <v>143.53349999999998</v>
      </c>
      <c r="X26" s="38"/>
    </row>
    <row r="27" spans="2:25" x14ac:dyDescent="0.25">
      <c r="B27">
        <v>20740</v>
      </c>
      <c r="C27" s="6">
        <v>43594</v>
      </c>
      <c r="D27" s="54">
        <v>43720</v>
      </c>
      <c r="E27">
        <v>21296</v>
      </c>
      <c r="F27" s="11">
        <f>electricity_cost3114182226[[#This Row],[ Index (KWh)]]-electricity_cost3114182226[[#This Row],[Original index 
(KWh)]]</f>
        <v>556</v>
      </c>
      <c r="G27" s="6">
        <v>43655</v>
      </c>
      <c r="H27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7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100.636</v>
      </c>
      <c r="J27" s="10">
        <f xml:space="preserve"> (E$6 + electricity_cost3114182226[[#This Row],[Elect. Net cost to date
(TND)]]) * (1 + E$5)</f>
        <v>135.27047999999999</v>
      </c>
      <c r="K27" s="12">
        <f>(electricity_cost3114182226[[#This Row],[Elect. Cost  VAT included
(TND)
]]-J26)/_xlfn.DAYS(electricity_cost3114182226[[#This Row],[Date of reading 
(Elect + Gas)]], G26)</f>
        <v>4.6453650000000017</v>
      </c>
      <c r="L27" s="12">
        <f>(electricity_cost3114182226[[#This Row],[Consumption to date (KWh)]] - F26)/_xlfn.DAYS(electricity_cost3114182226[[#This Row],[Date of reading 
(Elect + Gas)]], G26)</f>
        <v>21.75</v>
      </c>
      <c r="M27">
        <v>10836</v>
      </c>
      <c r="P27">
        <v>10894</v>
      </c>
      <c r="Q27" s="11">
        <f>gas_cost107135192327[[#This Row],[ Index (m3)]] - gas_cost107135192327[[#This Row],[Original index 
(m3)]]</f>
        <v>58</v>
      </c>
      <c r="R27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7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13.398</v>
      </c>
      <c r="T27" s="12">
        <f xml:space="preserve"> gas_cost107135192327[[#This Row],[Gas Net cost to date
(TND)]]* (1 + E$5)</f>
        <v>15.809639999999998</v>
      </c>
      <c r="U27" s="12">
        <f>(gas_cost107135192327[[#This Row],[Gas Cost to date  VAT included
(TND)
]] - T26)/_xlfn.DAYS(electricity_cost3114182226[[#This Row],[Date of reading 
(Elect + Gas)]], G26)</f>
        <v>0.1362899999999998</v>
      </c>
      <c r="V27" s="12">
        <f>(gas_cost107135192327[[#This Row],[Consumption (m3)]] - Q26)/_xlfn.DAYS(electricity_cost3114182226[[#This Row],[Date of reading 
(Elect + Gas)]], G26)</f>
        <v>0.5</v>
      </c>
      <c r="W27" s="20">
        <f xml:space="preserve"> E$8 + ((electricity_cost3114182226[[#This Row],[Elect. Net cost to date
(TND)]] + E$6 + gas_cost107135192327[[#This Row],[Gas Net cost to date
(TND)]] + E$7) * (1 + E$5))</f>
        <v>162.66011999999998</v>
      </c>
      <c r="X27" s="38"/>
    </row>
    <row r="28" spans="2:25" x14ac:dyDescent="0.25">
      <c r="B28">
        <v>20740</v>
      </c>
      <c r="C28" s="6">
        <v>43594</v>
      </c>
      <c r="D28" s="54">
        <v>43720</v>
      </c>
      <c r="E28">
        <v>21482</v>
      </c>
      <c r="F28" s="11">
        <f>electricity_cost3114182226[[#This Row],[ Index (KWh)]]-electricity_cost3114182226[[#This Row],[Original index 
(KWh)]]</f>
        <v>742</v>
      </c>
      <c r="G28" s="6">
        <v>43669</v>
      </c>
      <c r="H28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8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134.30199999999999</v>
      </c>
      <c r="J28" s="10">
        <f xml:space="preserve"> (E$6 + electricity_cost3114182226[[#This Row],[Elect. Net cost to date
(TND)]]) * (1 + E$5)</f>
        <v>174.99635999999998</v>
      </c>
      <c r="K28" s="12">
        <f>(electricity_cost3114182226[[#This Row],[Elect. Cost  VAT included
(TND)
]]-J27)/_xlfn.DAYS(electricity_cost3114182226[[#This Row],[Date of reading 
(Elect + Gas)]], G27)</f>
        <v>2.8375628571428564</v>
      </c>
      <c r="L28" s="12">
        <f>(electricity_cost3114182226[[#This Row],[Consumption to date (KWh)]] - F27)/_xlfn.DAYS(electricity_cost3114182226[[#This Row],[Date of reading 
(Elect + Gas)]], G27)</f>
        <v>13.285714285714286</v>
      </c>
      <c r="M28">
        <v>10836</v>
      </c>
      <c r="P28">
        <v>10903</v>
      </c>
      <c r="Q28" s="11">
        <f>gas_cost107135192327[[#This Row],[ Index (m3)]] - gas_cost107135192327[[#This Row],[Original index 
(m3)]]</f>
        <v>67</v>
      </c>
      <c r="R28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8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15.477</v>
      </c>
      <c r="T28" s="12">
        <f xml:space="preserve"> gas_cost107135192327[[#This Row],[Gas Net cost to date
(TND)]]* (1 + E$5)</f>
        <v>18.26286</v>
      </c>
      <c r="U28" s="12">
        <f>(gas_cost107135192327[[#This Row],[Gas Cost to date  VAT included
(TND)
]] - T27)/_xlfn.DAYS(electricity_cost3114182226[[#This Row],[Date of reading 
(Elect + Gas)]], G27)</f>
        <v>0.17523000000000014</v>
      </c>
      <c r="V28" s="12">
        <f>(gas_cost107135192327[[#This Row],[Consumption (m3)]] - Q27)/_xlfn.DAYS(electricity_cost3114182226[[#This Row],[Date of reading 
(Elect + Gas)]], G27)</f>
        <v>0.6428571428571429</v>
      </c>
      <c r="W28" s="20">
        <f xml:space="preserve"> E$8 + ((electricity_cost3114182226[[#This Row],[Elect. Net cost to date
(TND)]] + E$6 + gas_cost107135192327[[#This Row],[Gas Net cost to date
(TND)]] + E$7) * (1 + E$5))</f>
        <v>204.83921999999998</v>
      </c>
      <c r="X28" s="38"/>
    </row>
    <row r="29" spans="2:25" x14ac:dyDescent="0.25">
      <c r="B29">
        <v>20740</v>
      </c>
      <c r="C29" s="6">
        <v>43594</v>
      </c>
      <c r="D29" s="54">
        <v>43720</v>
      </c>
      <c r="E29">
        <v>21513</v>
      </c>
      <c r="F29" s="11">
        <f>electricity_cost3114182226[[#This Row],[ Index (KWh)]]-electricity_cost3114182226[[#This Row],[Original index 
(KWh)]]</f>
        <v>773</v>
      </c>
      <c r="G29" s="6">
        <v>43672</v>
      </c>
      <c r="H29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1</v>
      </c>
      <c r="I29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139.91300000000001</v>
      </c>
      <c r="J29" s="10">
        <f xml:space="preserve"> (E$6 + electricity_cost3114182226[[#This Row],[Elect. Net cost to date
(TND)]]) * (1 + E$5)</f>
        <v>181.61734000000001</v>
      </c>
      <c r="K29" s="12">
        <f>(electricity_cost3114182226[[#This Row],[Elect. Cost  VAT included
(TND)
]]-J28)/_xlfn.DAYS(electricity_cost3114182226[[#This Row],[Date of reading 
(Elect + Gas)]], G28)</f>
        <v>2.2069933333333438</v>
      </c>
      <c r="L29" s="12">
        <f>(electricity_cost3114182226[[#This Row],[Consumption to date (KWh)]] - F28)/_xlfn.DAYS(electricity_cost3114182226[[#This Row],[Date of reading 
(Elect + Gas)]], G28)</f>
        <v>10.333333333333334</v>
      </c>
      <c r="M29">
        <v>10836</v>
      </c>
      <c r="P29">
        <v>10906</v>
      </c>
      <c r="Q29" s="11">
        <f>gas_cost107135192327[[#This Row],[ Index (m3)]] - gas_cost107135192327[[#This Row],[Original index 
(m3)]]</f>
        <v>70</v>
      </c>
      <c r="R29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29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16.170000000000002</v>
      </c>
      <c r="T29" s="12">
        <f xml:space="preserve"> gas_cost107135192327[[#This Row],[Gas Net cost to date
(TND)]]* (1 + E$5)</f>
        <v>19.0806</v>
      </c>
      <c r="U29" s="12">
        <f>(gas_cost107135192327[[#This Row],[Gas Cost to date  VAT included
(TND)
]] - T28)/_xlfn.DAYS(electricity_cost3114182226[[#This Row],[Date of reading 
(Elect + Gas)]], G28)</f>
        <v>0.27258000000000021</v>
      </c>
      <c r="V29" s="12">
        <f>(gas_cost107135192327[[#This Row],[Consumption (m3)]] - Q28)/_xlfn.DAYS(electricity_cost3114182226[[#This Row],[Date of reading 
(Elect + Gas)]], G28)</f>
        <v>1</v>
      </c>
      <c r="W29" s="20">
        <f xml:space="preserve"> E$8 + ((electricity_cost3114182226[[#This Row],[Elect. Net cost to date
(TND)]] + E$6 + gas_cost107135192327[[#This Row],[Gas Net cost to date
(TND)]] + E$7) * (1 + E$5))</f>
        <v>212.27794000000003</v>
      </c>
      <c r="X29" s="38"/>
    </row>
    <row r="30" spans="2:25" x14ac:dyDescent="0.25">
      <c r="B30">
        <v>20740</v>
      </c>
      <c r="C30" s="6">
        <v>43594</v>
      </c>
      <c r="D30" s="54">
        <v>43720</v>
      </c>
      <c r="E30">
        <v>21549</v>
      </c>
      <c r="F30" s="11">
        <f>electricity_cost3114182226[[#This Row],[ Index (KWh)]]-electricity_cost3114182226[[#This Row],[Original index 
(KWh)]]</f>
        <v>809</v>
      </c>
      <c r="G30" s="6">
        <v>43674</v>
      </c>
      <c r="H30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2</v>
      </c>
      <c r="I30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146.80699999999999</v>
      </c>
      <c r="J30" s="10">
        <f xml:space="preserve"> (E$6 + electricity_cost3114182226[[#This Row],[Elect. Net cost to date
(TND)]]) * (1 + E$5)</f>
        <v>189.75225999999998</v>
      </c>
      <c r="K30" s="12">
        <f>(electricity_cost3114182226[[#This Row],[Elect. Cost  VAT included
(TND)
]]-J29)/_xlfn.DAYS(electricity_cost3114182226[[#This Row],[Date of reading 
(Elect + Gas)]], G29)</f>
        <v>4.0674599999999828</v>
      </c>
      <c r="L30" s="12">
        <f>(electricity_cost3114182226[[#This Row],[Consumption to date (KWh)]] - F29)/_xlfn.DAYS(electricity_cost3114182226[[#This Row],[Date of reading 
(Elect + Gas)]], G29)</f>
        <v>18</v>
      </c>
      <c r="M30">
        <v>10836</v>
      </c>
      <c r="P30">
        <v>10907</v>
      </c>
      <c r="Q30" s="11">
        <f>gas_cost107135192327[[#This Row],[ Index (m3)]] - gas_cost107135192327[[#This Row],[Original index 
(m3)]]</f>
        <v>71</v>
      </c>
      <c r="R30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30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16.401</v>
      </c>
      <c r="T30" s="12">
        <f xml:space="preserve"> gas_cost107135192327[[#This Row],[Gas Net cost to date
(TND)]]* (1 + E$5)</f>
        <v>19.353179999999998</v>
      </c>
      <c r="U30" s="12">
        <f>(gas_cost107135192327[[#This Row],[Gas Cost to date  VAT included
(TND)
]] - T29)/_xlfn.DAYS(electricity_cost3114182226[[#This Row],[Date of reading 
(Elect + Gas)]], G29)</f>
        <v>0.13628999999999891</v>
      </c>
      <c r="V30" s="12">
        <f>(gas_cost107135192327[[#This Row],[Consumption (m3)]] - Q29)/_xlfn.DAYS(electricity_cost3114182226[[#This Row],[Date of reading 
(Elect + Gas)]], G29)</f>
        <v>0.5</v>
      </c>
      <c r="W30" s="20">
        <f xml:space="preserve"> E$8 + ((electricity_cost3114182226[[#This Row],[Elect. Net cost to date
(TND)]] + E$6 + gas_cost107135192327[[#This Row],[Gas Net cost to date
(TND)]] + E$7) * (1 + E$5))</f>
        <v>220.68544</v>
      </c>
      <c r="X30" s="38"/>
    </row>
    <row r="31" spans="2:25" x14ac:dyDescent="0.25">
      <c r="B31">
        <v>20740</v>
      </c>
      <c r="C31" s="6">
        <v>43594</v>
      </c>
      <c r="D31" s="54">
        <v>43720</v>
      </c>
      <c r="E31">
        <v>22046</v>
      </c>
      <c r="F31" s="11">
        <f>electricity_cost3114182226[[#This Row],[ Index (KWh)]]-electricity_cost3114182226[[#This Row],[Original index 
(KWh)]]</f>
        <v>1306</v>
      </c>
      <c r="G31" s="6">
        <v>43697</v>
      </c>
      <c r="H31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3</v>
      </c>
      <c r="I31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264.517</v>
      </c>
      <c r="J31" s="10">
        <f xml:space="preserve"> (E$6 + electricity_cost3114182226[[#This Row],[Elect. Net cost to date
(TND)]]) * (1 + E$5)</f>
        <v>328.65006</v>
      </c>
      <c r="K31" s="12">
        <f>(electricity_cost3114182226[[#This Row],[Elect. Cost  VAT included
(TND)
]]-J30)/_xlfn.DAYS(electricity_cost3114182226[[#This Row],[Date of reading 
(Elect + Gas)]], G30)</f>
        <v>6.0390347826086961</v>
      </c>
      <c r="L31" s="12">
        <f>(electricity_cost3114182226[[#This Row],[Consumption to date (KWh)]] - F30)/_xlfn.DAYS(electricity_cost3114182226[[#This Row],[Date of reading 
(Elect + Gas)]], G30)</f>
        <v>21.608695652173914</v>
      </c>
      <c r="M31">
        <v>10836</v>
      </c>
      <c r="P31">
        <v>10917</v>
      </c>
      <c r="Q31" s="11">
        <f>gas_cost107135192327[[#This Row],[ Index (m3)]] - gas_cost107135192327[[#This Row],[Original index 
(m3)]]</f>
        <v>81</v>
      </c>
      <c r="R31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31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18.710999999999999</v>
      </c>
      <c r="T31" s="12">
        <f xml:space="preserve"> gas_cost107135192327[[#This Row],[Gas Net cost to date
(TND)]]* (1 + E$5)</f>
        <v>22.078979999999998</v>
      </c>
      <c r="U31" s="12">
        <f>(gas_cost107135192327[[#This Row],[Gas Cost to date  VAT included
(TND)
]] - T30)/_xlfn.DAYS(electricity_cost3114182226[[#This Row],[Date of reading 
(Elect + Gas)]], G30)</f>
        <v>0.11851304347826085</v>
      </c>
      <c r="V31" s="12">
        <f>(gas_cost107135192327[[#This Row],[Consumption (m3)]] - Q30)/_xlfn.DAYS(electricity_cost3114182226[[#This Row],[Date of reading 
(Elect + Gas)]], G30)</f>
        <v>0.43478260869565216</v>
      </c>
      <c r="W31" s="20">
        <f xml:space="preserve"> E$8 + ((electricity_cost3114182226[[#This Row],[Elect. Net cost to date
(TND)]] + E$6 + gas_cost107135192327[[#This Row],[Gas Net cost to date
(TND)]] + E$7) * (1 + E$5))</f>
        <v>362.30904000000004</v>
      </c>
      <c r="X31" s="38"/>
    </row>
    <row r="32" spans="2:25" x14ac:dyDescent="0.25">
      <c r="B32">
        <v>20740</v>
      </c>
      <c r="C32" s="6">
        <v>43594</v>
      </c>
      <c r="D32" s="54">
        <v>43720</v>
      </c>
      <c r="E32">
        <v>22207</v>
      </c>
      <c r="F32" s="11">
        <f>electricity_cost3114182226[[#This Row],[ Index (KWh)]]-electricity_cost3114182226[[#This Row],[Original index 
(KWh)]]</f>
        <v>1467</v>
      </c>
      <c r="G32" s="6">
        <v>43714</v>
      </c>
      <c r="H32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3</v>
      </c>
      <c r="I32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311.20699999999999</v>
      </c>
      <c r="J32" s="10">
        <f xml:space="preserve"> (E$6 + electricity_cost3114182226[[#This Row],[Elect. Net cost to date
(TND)]]) * (1 + E$5)</f>
        <v>383.74426</v>
      </c>
      <c r="K32" s="12">
        <f>(electricity_cost3114182226[[#This Row],[Elect. Cost  VAT included
(TND)
]]-J31)/_xlfn.DAYS(electricity_cost3114182226[[#This Row],[Date of reading 
(Elect + Gas)]], G31)</f>
        <v>3.2408352941176473</v>
      </c>
      <c r="L32" s="12">
        <f>(electricity_cost3114182226[[#This Row],[Consumption to date (KWh)]] - F31)/_xlfn.DAYS(electricity_cost3114182226[[#This Row],[Date of reading 
(Elect + Gas)]], G31)</f>
        <v>9.4705882352941178</v>
      </c>
      <c r="M32">
        <v>10836</v>
      </c>
      <c r="P32">
        <v>10924</v>
      </c>
      <c r="Q32" s="11">
        <f>gas_cost107135192327[[#This Row],[ Index (m3)]] - gas_cost107135192327[[#This Row],[Original index 
(m3)]]</f>
        <v>88</v>
      </c>
      <c r="R32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32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20.327999999999999</v>
      </c>
      <c r="T32" s="12">
        <f xml:space="preserve"> gas_cost107135192327[[#This Row],[Gas Net cost to date
(TND)]]* (1 + E$5)</f>
        <v>23.987039999999997</v>
      </c>
      <c r="U32" s="12">
        <f>(gas_cost107135192327[[#This Row],[Gas Cost to date  VAT included
(TND)
]] - T31)/_xlfn.DAYS(electricity_cost3114182226[[#This Row],[Date of reading 
(Elect + Gas)]], G31)</f>
        <v>0.11223882352941171</v>
      </c>
      <c r="V32" s="12">
        <f>(gas_cost107135192327[[#This Row],[Consumption (m3)]] - Q31)/_xlfn.DAYS(electricity_cost3114182226[[#This Row],[Date of reading 
(Elect + Gas)]], G31)</f>
        <v>0.41176470588235292</v>
      </c>
      <c r="W32" s="20">
        <f xml:space="preserve"> E$8 + ((electricity_cost3114182226[[#This Row],[Elect. Net cost to date
(TND)]] + E$6 + gas_cost107135192327[[#This Row],[Gas Net cost to date
(TND)]] + E$7) * (1 + E$5))</f>
        <v>419.31129999999996</v>
      </c>
      <c r="X32" s="38"/>
    </row>
    <row r="33" spans="2:24" x14ac:dyDescent="0.25">
      <c r="B33">
        <v>20740</v>
      </c>
      <c r="C33" s="6">
        <v>43594</v>
      </c>
      <c r="D33" s="54">
        <v>43720</v>
      </c>
      <c r="E33">
        <v>22224</v>
      </c>
      <c r="F33" s="11">
        <f>electricity_cost3114182226[[#This Row],[ Index (KWh)]]-electricity_cost3114182226[[#This Row],[Original index 
(KWh)]]</f>
        <v>1484</v>
      </c>
      <c r="G33" s="6">
        <v>43717</v>
      </c>
      <c r="H33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3</v>
      </c>
      <c r="I33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316.137</v>
      </c>
      <c r="J33" s="10">
        <f xml:space="preserve"> (E$6 + electricity_cost3114182226[[#This Row],[Elect. Net cost to date
(TND)]]) * (1 + E$5)</f>
        <v>389.56165999999996</v>
      </c>
      <c r="K33" s="12">
        <f>(electricity_cost3114182226[[#This Row],[Elect. Cost  VAT included
(TND)
]]-J32)/_xlfn.DAYS(electricity_cost3114182226[[#This Row],[Date of reading 
(Elect + Gas)]], G32)</f>
        <v>1.9391333333333212</v>
      </c>
      <c r="L33" s="12">
        <f>(electricity_cost3114182226[[#This Row],[Consumption to date (KWh)]] - F32)/_xlfn.DAYS(electricity_cost3114182226[[#This Row],[Date of reading 
(Elect + Gas)]], G32)</f>
        <v>5.666666666666667</v>
      </c>
      <c r="M33">
        <v>10836</v>
      </c>
      <c r="P33">
        <v>10926</v>
      </c>
      <c r="Q33" s="11">
        <f>gas_cost107135192327[[#This Row],[ Index (m3)]] - gas_cost107135192327[[#This Row],[Original index 
(m3)]]</f>
        <v>90</v>
      </c>
      <c r="R33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33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20.79</v>
      </c>
      <c r="T33" s="12">
        <f xml:space="preserve"> gas_cost107135192327[[#This Row],[Gas Net cost to date
(TND)]]* (1 + E$5)</f>
        <v>24.532199999999996</v>
      </c>
      <c r="U33" s="12">
        <f>(gas_cost107135192327[[#This Row],[Gas Cost to date  VAT included
(TND)
]] - T32)/_xlfn.DAYS(electricity_cost3114182226[[#This Row],[Date of reading 
(Elect + Gas)]], G32)</f>
        <v>0.18171999999999974</v>
      </c>
      <c r="V33" s="12">
        <f>(gas_cost107135192327[[#This Row],[Consumption (m3)]] - Q32)/_xlfn.DAYS(electricity_cost3114182226[[#This Row],[Date of reading 
(Elect + Gas)]], G32)</f>
        <v>0.66666666666666663</v>
      </c>
      <c r="W33" s="20">
        <f xml:space="preserve"> E$8 + ((electricity_cost3114182226[[#This Row],[Elect. Net cost to date
(TND)]] + E$6 + gas_cost107135192327[[#This Row],[Gas Net cost to date
(TND)]] + E$7) * (1 + E$5))</f>
        <v>425.67386000000005</v>
      </c>
      <c r="X33" s="38"/>
    </row>
    <row r="34" spans="2:24" x14ac:dyDescent="0.25">
      <c r="B34">
        <v>20740</v>
      </c>
      <c r="C34" s="6">
        <v>43594</v>
      </c>
      <c r="D34" s="54">
        <v>43720</v>
      </c>
      <c r="E34">
        <v>22232</v>
      </c>
      <c r="F34" s="11">
        <f>electricity_cost3114182226[[#This Row],[ Index (KWh)]]-electricity_cost3114182226[[#This Row],[Original index 
(KWh)]]</f>
        <v>1492</v>
      </c>
      <c r="G34" s="6">
        <v>43718</v>
      </c>
      <c r="H34" s="2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3</v>
      </c>
      <c r="I34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318.45699999999999</v>
      </c>
      <c r="J34" s="10">
        <f xml:space="preserve"> (E$6 + electricity_cost3114182226[[#This Row],[Elect. Net cost to date
(TND)]]) * (1 + E$5)</f>
        <v>392.29925999999995</v>
      </c>
      <c r="K34" s="12">
        <f>(electricity_cost3114182226[[#This Row],[Elect. Cost  VAT included
(TND)
]]-J33)/_xlfn.DAYS(electricity_cost3114182226[[#This Row],[Date of reading 
(Elect + Gas)]], G33)</f>
        <v>2.7375999999999863</v>
      </c>
      <c r="L34" s="12">
        <f>(electricity_cost3114182226[[#This Row],[Consumption to date (KWh)]] - F33)/_xlfn.DAYS(electricity_cost3114182226[[#This Row],[Date of reading 
(Elect + Gas)]], G33)</f>
        <v>8</v>
      </c>
      <c r="M34">
        <v>10836</v>
      </c>
      <c r="P34">
        <v>10926</v>
      </c>
      <c r="Q34" s="11">
        <f>gas_cost107135192327[[#This Row],[ Index (m3)]] - gas_cost107135192327[[#This Row],[Original index 
(m3)]]</f>
        <v>90</v>
      </c>
      <c r="R34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34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20.79</v>
      </c>
      <c r="T34" s="12">
        <f xml:space="preserve"> gas_cost107135192327[[#This Row],[Gas Net cost to date
(TND)]]* (1 + E$5)</f>
        <v>24.532199999999996</v>
      </c>
      <c r="U34" s="12">
        <f>(gas_cost107135192327[[#This Row],[Gas Cost to date  VAT included
(TND)
]] - T33)/_xlfn.DAYS(electricity_cost3114182226[[#This Row],[Date of reading 
(Elect + Gas)]], G33)</f>
        <v>0</v>
      </c>
      <c r="V34" s="12">
        <f>(gas_cost107135192327[[#This Row],[Consumption (m3)]] - Q33)/_xlfn.DAYS(electricity_cost3114182226[[#This Row],[Date of reading 
(Elect + Gas)]], G33)</f>
        <v>0</v>
      </c>
      <c r="W34" s="20">
        <f xml:space="preserve"> E$8 + ((electricity_cost3114182226[[#This Row],[Elect. Net cost to date
(TND)]] + E$6 + gas_cost107135192327[[#This Row],[Gas Net cost to date
(TND)]] + E$7) * (1 + E$5))</f>
        <v>428.41146000000003</v>
      </c>
      <c r="X34" s="38"/>
    </row>
    <row r="35" spans="2:24" x14ac:dyDescent="0.25">
      <c r="B35">
        <v>20740</v>
      </c>
      <c r="C35" s="6">
        <v>43594</v>
      </c>
      <c r="D35" s="54">
        <v>43720</v>
      </c>
      <c r="E35">
        <v>22245</v>
      </c>
      <c r="F35" s="11">
        <f>electricity_cost3114182226[[#This Row],[ Index (KWh)]]-electricity_cost3114182226[[#This Row],[Original index 
(KWh)]]</f>
        <v>1505</v>
      </c>
      <c r="G35" s="6">
        <v>43720</v>
      </c>
      <c r="H35" s="11">
        <f xml:space="preserve"> _xlfn.IFS(electricity_cost3114182226[[#This Row],[Consumption to date (KWh)]] &lt;= K$4, 1, AND(K$4 &lt; electricity_cost3114182226[[#This Row],[Consumption to date (KWh)]],  electricity_cost3114182226[[#This Row],[Consumption to date (KWh)]]&lt;= K$5), 2, AND(K$5 &lt; electricity_cost3114182226[[#This Row],[Consumption to date (KWh)]],  electricity_cost3114182226[[#This Row],[Consumption to date (KWh)]]&lt;= K$6), 3, electricity_cost3114182226[[#This Row],[Consumption to date (KWh)]] &gt; K$6, 4)</f>
        <v>3</v>
      </c>
      <c r="I35" s="12">
        <f>_xlfn.IFS(electricity_cost3114182226[[#This Row],[Level (Elect)]]= 1, (electricity_cost3114182226[[#This Row],[Consumption to date (KWh)]] * L$4)/1000, electricity_cost3114182226[[#This Row],[Level (Elect)]] = 2, (K$4 * L$4 +((electricity_cost3114182226[[#This Row],[Consumption to date (KWh)]] - K$4) * L$5))/1000,electricity_cost3114182226[[#This Row],[Level (Elect)]] = 3, (K$4 * L$4 + (K$5-J$5) * L$5 + ((electricity_cost3114182226[[#This Row],[Consumption to date (KWh)]] - K$5) * L$6))/1000, electricity_cost3114182226[[#This Row],[Level (Elect)]] = 4, (K$4 * L$4 + (K$5-J$5) * L$5 + (K$6-J$6) * L$6 + ((electricity_cost3114182226[[#This Row],[Consumption to date (KWh)]] - K$6) * L$7))/1000)</f>
        <v>322.22699999999998</v>
      </c>
      <c r="J35" s="12">
        <f xml:space="preserve"> (E$6 + electricity_cost3114182226[[#This Row],[Elect. Net cost to date
(TND)]]) * (1 + E$5)</f>
        <v>396.74785999999995</v>
      </c>
      <c r="K35" s="12">
        <f>(electricity_cost3114182226[[#This Row],[Elect. Cost  VAT included
(TND)
]]-J34)/_xlfn.DAYS(electricity_cost3114182226[[#This Row],[Date of reading 
(Elect + Gas)]], G34)</f>
        <v>2.2242999999999995</v>
      </c>
      <c r="L35" s="12">
        <f>(electricity_cost3114182226[[#This Row],[Consumption to date (KWh)]] - F34)/_xlfn.DAYS(electricity_cost3114182226[[#This Row],[Date of reading 
(Elect + Gas)]], G34)</f>
        <v>6.5</v>
      </c>
      <c r="M35">
        <v>10836</v>
      </c>
      <c r="P35" s="11">
        <v>10928</v>
      </c>
      <c r="Q35" s="11">
        <f>gas_cost107135192327[[#This Row],[ Index (m3)]] - gas_cost107135192327[[#This Row],[Original index 
(m3)]]</f>
        <v>92</v>
      </c>
      <c r="R35" s="11">
        <f xml:space="preserve"> _xlfn.IFS(gas_cost107135192327[[#This Row],[Consumption (m3)]] &lt;= R$4, 1, AND(R$4 &lt; gas_cost107135192327[[#This Row],[Consumption (m3)]], gas_cost107135192327[[#This Row],[Consumption (m3)]] &lt;= R$5), 2, AND(R$5 &lt; gas_cost107135192327[[#This Row],[Consumption (m3)]], gas_cost107135192327[[#This Row],[Consumption (m3)]] &lt;= R$6), 3, gas_cost107135192327[[#This Row],[Consumption (m3)]] &gt; R$6, 4)</f>
        <v>1</v>
      </c>
      <c r="S35" s="12">
        <f>_xlfn.IFS(gas_cost107135192327[[#This Row],[Level (Gas)]]= 1, (gas_cost107135192327[[#This Row],[Consumption (m3)]] * S$4)/1000, gas_cost107135192327[[#This Row],[Level (Gas)]] = 2, (gas_cost107135192327[[#This Row],[Consumption (m3)]] * S$5)/1000,gas_cost107135192327[[#This Row],[Level (Gas)]] = 3, (gas_cost107135192327[[#This Row],[Consumption (m3)]] * S$6)/1000, gas_cost107135192327[[#This Row],[Level (Gas)]] = 4, (gas_cost107135192327[[#This Row],[Consumption (m3)]] * S$7)/1000)</f>
        <v>21.251999999999999</v>
      </c>
      <c r="T35" s="12">
        <f xml:space="preserve"> gas_cost107135192327[[#This Row],[Gas Net cost to date
(TND)]]* (1 + E$5)</f>
        <v>25.077359999999999</v>
      </c>
      <c r="U35" s="12">
        <f>(gas_cost107135192327[[#This Row],[Gas Cost to date  VAT included
(TND)
]] - T34)/_xlfn.DAYS(electricity_cost[[#This Row],[Date of reading 
(Elect)]], G34)</f>
        <v>-6.9270648030495907E-4</v>
      </c>
      <c r="V35" s="12">
        <f>(gas_cost107135192327[[#This Row],[Consumption (m3)]] - Q34)/_xlfn.DAYS(electricity_cost311[[#This Row],[Date of reading 
(Elect + Gas)]], G34)</f>
        <v>-3.838771593090211E-3</v>
      </c>
      <c r="W35" s="20">
        <f xml:space="preserve"> E$8 + ((electricity_cost3114182226[[#This Row],[Elect. Net cost to date
(TND)]] + E$6 + gas_cost107135192327[[#This Row],[Gas Net cost to date
(TND)]] + E$7) * (1 + E$5))</f>
        <v>433.40521999999999</v>
      </c>
      <c r="X35" s="38">
        <v>442.22399999999999</v>
      </c>
    </row>
    <row r="36" spans="2:24" x14ac:dyDescent="0.25">
      <c r="C36" s="6"/>
      <c r="D36" s="55"/>
      <c r="F36" s="11"/>
      <c r="G36" s="6"/>
      <c r="H36" s="11"/>
      <c r="I36" s="12"/>
      <c r="J36" s="12"/>
      <c r="K36" s="12"/>
      <c r="L36" s="12"/>
      <c r="Q36" s="11"/>
      <c r="R36" s="11"/>
      <c r="S36" s="12"/>
      <c r="T36" s="12"/>
      <c r="U36" s="12"/>
      <c r="V36" s="12"/>
      <c r="W36" s="20"/>
      <c r="X36" s="38"/>
    </row>
    <row r="37" spans="2:24" x14ac:dyDescent="0.25">
      <c r="C37" s="6"/>
      <c r="D37" s="55"/>
      <c r="F37" s="11"/>
      <c r="G37" s="6"/>
      <c r="H37" s="11"/>
      <c r="I37" s="12"/>
      <c r="J37" s="12"/>
      <c r="K37" s="12"/>
      <c r="L37" s="12"/>
      <c r="Q37" s="11">
        <v>10928</v>
      </c>
      <c r="R37" s="11"/>
      <c r="S37" s="12"/>
      <c r="T37" s="12"/>
      <c r="U37" s="12"/>
      <c r="V37" s="12"/>
      <c r="W37" s="20"/>
      <c r="X37" s="38"/>
    </row>
    <row r="38" spans="2:24" x14ac:dyDescent="0.25">
      <c r="C38" s="6"/>
      <c r="D38" s="55"/>
      <c r="F38" s="11"/>
      <c r="H38" s="11"/>
      <c r="I38" s="12"/>
      <c r="J38" s="12"/>
      <c r="K38" s="12"/>
      <c r="L38" s="12"/>
      <c r="Q38" s="11"/>
      <c r="R38" s="11"/>
      <c r="S38" s="12"/>
      <c r="T38" s="12"/>
      <c r="U38" s="12"/>
      <c r="V38" s="12"/>
      <c r="W38" s="20"/>
      <c r="X38" s="38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C682-58FA-4339-B1B4-93D5884C98E5}">
  <dimension ref="B2:Y44"/>
  <sheetViews>
    <sheetView topLeftCell="K14" zoomScale="85" zoomScaleNormal="85" workbookViewId="0">
      <selection activeCell="P40" sqref="P40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5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25.425781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43840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341</v>
      </c>
      <c r="T5" t="s">
        <v>71</v>
      </c>
      <c r="U5" s="19">
        <v>43840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29.4</v>
      </c>
      <c r="I6">
        <v>3</v>
      </c>
      <c r="J6">
        <v>1201</v>
      </c>
      <c r="K6">
        <v>2000</v>
      </c>
      <c r="L6">
        <v>290</v>
      </c>
      <c r="P6">
        <v>3</v>
      </c>
      <c r="Q6">
        <v>1</v>
      </c>
      <c r="R6">
        <v>600</v>
      </c>
      <c r="S6">
        <v>447</v>
      </c>
      <c r="T6" t="s">
        <v>65</v>
      </c>
    </row>
    <row r="7" spans="2:24" x14ac:dyDescent="0.25">
      <c r="D7" s="16" t="s">
        <v>15</v>
      </c>
      <c r="E7" s="14">
        <v>4.5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6.63</v>
      </c>
      <c r="F8" s="14"/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INDEX(electricity_cost311418222630[Elect. Net cost to date
(TND)], COUNTA(I18:I38), 1) + E6</f>
        <v>149.40299999999999</v>
      </c>
      <c r="G10" s="67" t="s">
        <v>61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62</v>
      </c>
      <c r="I11" s="33" t="s">
        <v>69</v>
      </c>
      <c r="J11" s="33" t="s">
        <v>70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700</v>
      </c>
      <c r="I12" s="34">
        <v>500</v>
      </c>
      <c r="J12" s="51">
        <v>400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800</v>
      </c>
      <c r="I13" s="35">
        <v>700</v>
      </c>
      <c r="J13" s="52">
        <v>450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 t="s">
        <v>55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>
        <v>22245</v>
      </c>
      <c r="C18" s="6">
        <v>43720</v>
      </c>
      <c r="D18" s="54">
        <v>43840</v>
      </c>
      <c r="E18">
        <v>22245</v>
      </c>
      <c r="F18" s="11">
        <f>electricity_cost311418222630[[#This Row],[ Index (KWh)]]-electricity_cost311418222630[[#This Row],[Original index 
(KWh)]]</f>
        <v>0</v>
      </c>
      <c r="G18" s="6">
        <v>43720</v>
      </c>
      <c r="H18" s="2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18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0</v>
      </c>
      <c r="J18" s="10">
        <f xml:space="preserve"> (E$6 + electricity_cost311418222630[[#This Row],[Elect. Net cost to date
(TND)]]) * (1 + E$5)</f>
        <v>34.691999999999993</v>
      </c>
      <c r="K18" s="12"/>
      <c r="L18" s="12"/>
      <c r="M18" s="11">
        <v>10928</v>
      </c>
      <c r="P18" s="11">
        <v>10928</v>
      </c>
      <c r="Q18" s="11">
        <f>gas_cost10713519232731[[#This Row],[ Index (m3)]] - gas_cost10713519232731[[#This Row],[Original index 
(m3)]]</f>
        <v>0</v>
      </c>
      <c r="R18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18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0</v>
      </c>
      <c r="T18" s="12">
        <f xml:space="preserve"> gas_cost10713519232731[[#This Row],[Gas Net cost to date
(TND)]]* (1 + E$5)</f>
        <v>0</v>
      </c>
      <c r="U18" s="12"/>
      <c r="V18" s="12"/>
      <c r="W18" s="20">
        <f xml:space="preserve"> E$8 + ((electricity_cost311418222630[[#This Row],[Elect. Net cost to date
(TND)]] + E$6 + gas_cost10713519232731[[#This Row],[Gas Net cost to date
(TND)]] + E$7) * (1 + E$5))</f>
        <v>46.631999999999998</v>
      </c>
      <c r="X18" s="38"/>
      <c r="Y18" s="37"/>
    </row>
    <row r="19" spans="2:25" x14ac:dyDescent="0.25">
      <c r="B19">
        <v>22245</v>
      </c>
      <c r="C19" s="6">
        <v>43720</v>
      </c>
      <c r="D19" s="54">
        <v>43840</v>
      </c>
      <c r="E19">
        <v>22294</v>
      </c>
      <c r="F19" s="11">
        <f>electricity_cost311418222630[[#This Row],[ Index (KWh)]]-electricity_cost311418222630[[#This Row],[Original index 
(KWh)]]</f>
        <v>49</v>
      </c>
      <c r="G19" s="6">
        <v>43726</v>
      </c>
      <c r="H19" s="2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19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8.8689999999999998</v>
      </c>
      <c r="J19" s="10">
        <f xml:space="preserve"> (E$6 + electricity_cost311418222630[[#This Row],[Elect. Net cost to date
(TND)]]) * (1 + E$5)</f>
        <v>45.157419999999995</v>
      </c>
      <c r="K19" s="12">
        <f>(electricity_cost311418222630[[#This Row],[Elect. Cost  VAT included
(TND)
]]-J18)/_xlfn.DAYS(electricity_cost311418222630[[#This Row],[Date of reading 
(Elect + Gas)]], G18)</f>
        <v>1.7442366666666669</v>
      </c>
      <c r="L19" s="12">
        <f>(electricity_cost311418222630[[#This Row],[Consumption to date (KWh)]] - F18)/_xlfn.DAYS(electricity_cost311418222630[[#This Row],[Date of reading 
(Elect + Gas)]], G18)</f>
        <v>8.1666666666666661</v>
      </c>
      <c r="M19">
        <v>10928</v>
      </c>
      <c r="P19">
        <v>10932</v>
      </c>
      <c r="Q19" s="11">
        <f>gas_cost10713519232731[[#This Row],[ Index (m3)]] - gas_cost10713519232731[[#This Row],[Original index 
(m3)]]</f>
        <v>4</v>
      </c>
      <c r="R19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19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0.92400000000000004</v>
      </c>
      <c r="T19" s="12">
        <f xml:space="preserve"> gas_cost10713519232731[[#This Row],[Gas Net cost to date
(TND)]]* (1 + E$5)</f>
        <v>1.09032</v>
      </c>
      <c r="U19" s="12">
        <f>(gas_cost10713519232731[[#This Row],[Gas Cost to date  VAT included
(TND)
]] - T18)/_xlfn.DAYS(electricity_cost311418222630[[#This Row],[Date of reading 
(Elect + Gas)]], G18)</f>
        <v>0.18171999999999999</v>
      </c>
      <c r="V19" s="12">
        <f>(gas_cost10713519232731[[#This Row],[Consumption (m3)]] - Q18)/_xlfn.DAYS(electricity_cost311418222630[[#This Row],[Date of reading 
(Elect + Gas)]], G18)</f>
        <v>0.66666666666666663</v>
      </c>
      <c r="W19" s="20">
        <f xml:space="preserve"> E$8 + ((electricity_cost311418222630[[#This Row],[Elect. Net cost to date
(TND)]] + E$6 + gas_cost10713519232731[[#This Row],[Gas Net cost to date
(TND)]] + E$7) * (1 + E$5))</f>
        <v>58.187739999999998</v>
      </c>
      <c r="X19" s="38"/>
    </row>
    <row r="20" spans="2:25" x14ac:dyDescent="0.25">
      <c r="B20">
        <v>22245</v>
      </c>
      <c r="C20" s="6">
        <v>43720</v>
      </c>
      <c r="D20" s="54">
        <v>43840</v>
      </c>
      <c r="E20">
        <v>22320</v>
      </c>
      <c r="F20" s="11">
        <f>electricity_cost311418222630[[#This Row],[ Index (KWh)]]-electricity_cost311418222630[[#This Row],[Original index 
(KWh)]]</f>
        <v>75</v>
      </c>
      <c r="G20" s="6">
        <v>43728</v>
      </c>
      <c r="H20" s="2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0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13.574999999999999</v>
      </c>
      <c r="J20" s="10">
        <f xml:space="preserve"> (E$6 + electricity_cost311418222630[[#This Row],[Elect. Net cost to date
(TND)]]) * (1 + E$5)</f>
        <v>50.710499999999989</v>
      </c>
      <c r="K20" s="12">
        <f>(electricity_cost311418222630[[#This Row],[Elect. Cost  VAT included
(TND)
]]-J19)/_xlfn.DAYS(electricity_cost311418222630[[#This Row],[Date of reading 
(Elect + Gas)]], G19)</f>
        <v>2.7765399999999971</v>
      </c>
      <c r="L20" s="12">
        <f>(electricity_cost311418222630[[#This Row],[Consumption to date (KWh)]] - F19)/_xlfn.DAYS(electricity_cost311418222630[[#This Row],[Date of reading 
(Elect + Gas)]], G19)</f>
        <v>13</v>
      </c>
      <c r="M20" s="11">
        <v>10928</v>
      </c>
      <c r="P20" s="11">
        <v>10934</v>
      </c>
      <c r="Q20" s="11">
        <f>gas_cost10713519232731[[#This Row],[ Index (m3)]] - gas_cost10713519232731[[#This Row],[Original index 
(m3)]]</f>
        <v>6</v>
      </c>
      <c r="R20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0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1.3859999999999999</v>
      </c>
      <c r="T20" s="12">
        <f xml:space="preserve"> gas_cost10713519232731[[#This Row],[Gas Net cost to date
(TND)]]* (1 + E$5)</f>
        <v>1.6354799999999998</v>
      </c>
      <c r="U20" s="12">
        <f>(gas_cost10713519232731[[#This Row],[Gas Cost to date  VAT included
(TND)
]] - T19)/_xlfn.DAYS(electricity_cost311418222630[[#This Row],[Date of reading 
(Elect + Gas)]], G19)</f>
        <v>0.27257999999999993</v>
      </c>
      <c r="V20" s="12">
        <f>(gas_cost10713519232731[[#This Row],[Consumption (m3)]] - Q19)/_xlfn.DAYS(electricity_cost311418222630[[#This Row],[Date of reading 
(Elect + Gas)]], G19)</f>
        <v>1</v>
      </c>
      <c r="W20" s="20">
        <f xml:space="preserve"> E$8 + ((electricity_cost311418222630[[#This Row],[Elect. Net cost to date
(TND)]] + E$6 + gas_cost10713519232731[[#This Row],[Gas Net cost to date
(TND)]] + E$7) * (1 + E$5))</f>
        <v>64.285979999999995</v>
      </c>
      <c r="X20" s="38"/>
    </row>
    <row r="21" spans="2:25" x14ac:dyDescent="0.25">
      <c r="B21">
        <v>22245</v>
      </c>
      <c r="C21" s="6">
        <v>43720</v>
      </c>
      <c r="D21" s="54">
        <v>43840</v>
      </c>
      <c r="E21">
        <v>22391</v>
      </c>
      <c r="F21" s="11">
        <f>electricity_cost311418222630[[#This Row],[ Index (KWh)]]-electricity_cost311418222630[[#This Row],[Original index 
(KWh)]]</f>
        <v>146</v>
      </c>
      <c r="G21" s="6">
        <v>43735</v>
      </c>
      <c r="H21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1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26.425999999999998</v>
      </c>
      <c r="J21" s="12">
        <f xml:space="preserve"> (E$6 + electricity_cost311418222630[[#This Row],[Elect. Net cost to date
(TND)]]) * (1 + E$5)</f>
        <v>65.874679999999984</v>
      </c>
      <c r="K21" s="12">
        <f>(electricity_cost311418222630[[#This Row],[Elect. Cost  VAT included
(TND)
]]-J20)/_xlfn.DAYS(electricity_cost311418222630[[#This Row],[Date of reading 
(Elect + Gas)]], G20)</f>
        <v>2.166311428571428</v>
      </c>
      <c r="L21" s="12">
        <f>(electricity_cost311418222630[[#This Row],[Consumption to date (KWh)]] - F20)/_xlfn.DAYS(electricity_cost311418222630[[#This Row],[Date of reading 
(Elect + Gas)]], G20)</f>
        <v>10.142857142857142</v>
      </c>
      <c r="M21">
        <v>10928</v>
      </c>
      <c r="P21">
        <v>10938</v>
      </c>
      <c r="Q21" s="11">
        <f>gas_cost10713519232731[[#This Row],[ Index (m3)]] - gas_cost10713519232731[[#This Row],[Original index 
(m3)]]</f>
        <v>10</v>
      </c>
      <c r="R21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1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2.31</v>
      </c>
      <c r="T21" s="12">
        <f xml:space="preserve"> gas_cost10713519232731[[#This Row],[Gas Net cost to date
(TND)]]* (1 + E$5)</f>
        <v>2.7258</v>
      </c>
      <c r="U21" s="12">
        <f>(gas_cost10713519232731[[#This Row],[Gas Cost to date  VAT included
(TND)
]] - T20)/_xlfn.DAYS(electricity_cost311418222630[[#This Row],[Date of reading 
(Elect + Gas)]], G20)</f>
        <v>0.15576000000000004</v>
      </c>
      <c r="V21" s="12">
        <f>(gas_cost10713519232731[[#This Row],[Consumption (m3)]] - Q20)/_xlfn.DAYS(electricity_cost311418222630[[#This Row],[Date of reading 
(Elect + Gas)]], G20)</f>
        <v>0.5714285714285714</v>
      </c>
      <c r="W21" s="20">
        <f xml:space="preserve"> E$8 + ((electricity_cost311418222630[[#This Row],[Elect. Net cost to date
(TND)]] + E$6 + gas_cost10713519232731[[#This Row],[Gas Net cost to date
(TND)]] + E$7) * (1 + E$5))</f>
        <v>80.540479999999988</v>
      </c>
      <c r="X21" s="38"/>
    </row>
    <row r="22" spans="2:25" x14ac:dyDescent="0.25">
      <c r="B22">
        <v>22245</v>
      </c>
      <c r="C22" s="6">
        <v>43720</v>
      </c>
      <c r="D22" s="54">
        <v>43840</v>
      </c>
      <c r="E22">
        <v>22474</v>
      </c>
      <c r="F22" s="11">
        <f>electricity_cost311418222630[[#This Row],[ Index (KWh)]]-electricity_cost311418222630[[#This Row],[Original index 
(KWh)]]</f>
        <v>229</v>
      </c>
      <c r="G22" s="6">
        <v>43755</v>
      </c>
      <c r="H22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2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41.448999999999998</v>
      </c>
      <c r="J22" s="12">
        <f xml:space="preserve"> (E$6 + electricity_cost311418222630[[#This Row],[Elect. Net cost to date
(TND)]]) * (1 + E$5)</f>
        <v>83.601819999999989</v>
      </c>
      <c r="K22" s="12">
        <f>(electricity_cost311418222630[[#This Row],[Elect. Cost  VAT included
(TND)
]]-J21)/_xlfn.DAYS(electricity_cost311418222630[[#This Row],[Date of reading 
(Elect + Gas)]], G21)</f>
        <v>0.88635700000000028</v>
      </c>
      <c r="L22" s="12">
        <f>(electricity_cost311418222630[[#This Row],[Consumption to date (KWh)]] - F21)/_xlfn.DAYS(electricity_cost311418222630[[#This Row],[Date of reading 
(Elect + Gas)]], G21)</f>
        <v>4.1500000000000004</v>
      </c>
      <c r="M22" s="11">
        <v>10928</v>
      </c>
      <c r="P22">
        <v>10949</v>
      </c>
      <c r="Q22" s="11">
        <f>gas_cost10713519232731[[#This Row],[ Index (m3)]] - gas_cost10713519232731[[#This Row],[Original index 
(m3)]]</f>
        <v>21</v>
      </c>
      <c r="R22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2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4.851</v>
      </c>
      <c r="T22" s="12">
        <f xml:space="preserve"> gas_cost10713519232731[[#This Row],[Gas Net cost to date
(TND)]]* (1 + E$5)</f>
        <v>5.7241799999999996</v>
      </c>
      <c r="U22" s="12">
        <f>(gas_cost10713519232731[[#This Row],[Gas Cost to date  VAT included
(TND)
]] - T21)/_xlfn.DAYS(electricity_cost311418222630[[#This Row],[Date of reading 
(Elect + Gas)]], G21)</f>
        <v>0.14991899999999997</v>
      </c>
      <c r="V22" s="12">
        <f>(gas_cost10713519232731[[#This Row],[Consumption (m3)]] - Q21)/_xlfn.DAYS(electricity_cost311418222630[[#This Row],[Date of reading 
(Elect + Gas)]], G21)</f>
        <v>0.55000000000000004</v>
      </c>
      <c r="W22" s="20">
        <f xml:space="preserve"> E$8 + ((electricity_cost311418222630[[#This Row],[Elect. Net cost to date
(TND)]] + E$6 + gas_cost10713519232731[[#This Row],[Gas Net cost to date
(TND)]] + E$7) * (1 + E$5))</f>
        <v>101.26599999999998</v>
      </c>
      <c r="X22" s="38"/>
    </row>
    <row r="23" spans="2:25" x14ac:dyDescent="0.25">
      <c r="B23">
        <v>22245</v>
      </c>
      <c r="C23" s="6">
        <v>43720</v>
      </c>
      <c r="D23" s="54">
        <v>43840</v>
      </c>
      <c r="E23">
        <v>22478</v>
      </c>
      <c r="F23" s="11">
        <f>electricity_cost311418222630[[#This Row],[ Index (KWh)]]-electricity_cost311418222630[[#This Row],[Original index 
(KWh)]]</f>
        <v>233</v>
      </c>
      <c r="G23" s="6">
        <v>43756</v>
      </c>
      <c r="H23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3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42.173000000000002</v>
      </c>
      <c r="J23" s="12">
        <f xml:space="preserve"> (E$6 + electricity_cost311418222630[[#This Row],[Elect. Net cost to date
(TND)]]) * (1 + E$5)</f>
        <v>84.456140000000005</v>
      </c>
      <c r="K23" s="12">
        <f>(electricity_cost311418222630[[#This Row],[Elect. Cost  VAT included
(TND)
]]-J22)/_xlfn.DAYS(electricity_cost311418222630[[#This Row],[Date of reading 
(Elect + Gas)]], G22)</f>
        <v>0.85432000000001551</v>
      </c>
      <c r="L23" s="12">
        <f>(electricity_cost311418222630[[#This Row],[Consumption to date (KWh)]] - F22)/_xlfn.DAYS(electricity_cost311418222630[[#This Row],[Date of reading 
(Elect + Gas)]], G22)</f>
        <v>4</v>
      </c>
      <c r="M23">
        <v>10928</v>
      </c>
      <c r="P23">
        <v>10950</v>
      </c>
      <c r="Q23" s="11">
        <f>gas_cost10713519232731[[#This Row],[ Index (m3)]] - gas_cost10713519232731[[#This Row],[Original index 
(m3)]]</f>
        <v>22</v>
      </c>
      <c r="R23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3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5.0819999999999999</v>
      </c>
      <c r="T23" s="12">
        <f xml:space="preserve"> gas_cost10713519232731[[#This Row],[Gas Net cost to date
(TND)]]* (1 + E$5)</f>
        <v>5.9967599999999992</v>
      </c>
      <c r="U23" s="12">
        <f>(gas_cost10713519232731[[#This Row],[Gas Cost to date  VAT included
(TND)
]] - T22)/_xlfn.DAYS(electricity_cost311418222630[[#This Row],[Date of reading 
(Elect + Gas)]], G22)</f>
        <v>0.2725799999999996</v>
      </c>
      <c r="V23" s="12">
        <f>(gas_cost10713519232731[[#This Row],[Consumption (m3)]] - Q22)/_xlfn.DAYS(electricity_cost311418222630[[#This Row],[Date of reading 
(Elect + Gas)]], G22)</f>
        <v>1</v>
      </c>
      <c r="W23" s="20">
        <f xml:space="preserve"> E$8 + ((electricity_cost311418222630[[#This Row],[Elect. Net cost to date
(TND)]] + E$6 + gas_cost10713519232731[[#This Row],[Gas Net cost to date
(TND)]] + E$7) * (1 + E$5))</f>
        <v>102.3929</v>
      </c>
      <c r="X23" s="38"/>
    </row>
    <row r="24" spans="2:25" x14ac:dyDescent="0.25">
      <c r="B24">
        <v>22245</v>
      </c>
      <c r="C24" s="6">
        <v>43720</v>
      </c>
      <c r="D24" s="54">
        <v>43840</v>
      </c>
      <c r="E24">
        <v>22494</v>
      </c>
      <c r="F24" s="11">
        <f>electricity_cost311418222630[[#This Row],[ Index (KWh)]]-electricity_cost311418222630[[#This Row],[Original index 
(KWh)]]</f>
        <v>249</v>
      </c>
      <c r="G24" s="6">
        <v>43759</v>
      </c>
      <c r="H24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4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45.069000000000003</v>
      </c>
      <c r="J24" s="12">
        <f xml:space="preserve"> (E$6 + electricity_cost311418222630[[#This Row],[Elect. Net cost to date
(TND)]]) * (1 + E$5)</f>
        <v>87.873419999999982</v>
      </c>
      <c r="K24" s="12">
        <f>(electricity_cost311418222630[[#This Row],[Elect. Cost  VAT included
(TND)
]]-J23)/_xlfn.DAYS(electricity_cost311418222630[[#This Row],[Date of reading 
(Elect + Gas)]], G23)</f>
        <v>1.1390933333333255</v>
      </c>
      <c r="L24" s="12">
        <f>(electricity_cost311418222630[[#This Row],[Consumption to date (KWh)]] - F23)/_xlfn.DAYS(electricity_cost311418222630[[#This Row],[Date of reading 
(Elect + Gas)]], G23)</f>
        <v>5.333333333333333</v>
      </c>
      <c r="M24" s="11">
        <v>10928</v>
      </c>
      <c r="P24">
        <v>10952</v>
      </c>
      <c r="Q24" s="11">
        <f>gas_cost10713519232731[[#This Row],[ Index (m3)]] - gas_cost10713519232731[[#This Row],[Original index 
(m3)]]</f>
        <v>24</v>
      </c>
      <c r="R24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4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5.5439999999999996</v>
      </c>
      <c r="T24" s="12">
        <f xml:space="preserve"> gas_cost10713519232731[[#This Row],[Gas Net cost to date
(TND)]]* (1 + E$5)</f>
        <v>6.5419199999999993</v>
      </c>
      <c r="U24" s="12">
        <f>(gas_cost10713519232731[[#This Row],[Gas Cost to date  VAT included
(TND)
]] - T23)/_xlfn.DAYS(electricity_cost311418222630[[#This Row],[Date of reading 
(Elect + Gas)]], G23)</f>
        <v>0.18172000000000002</v>
      </c>
      <c r="V24" s="12">
        <f>(gas_cost10713519232731[[#This Row],[Consumption (m3)]] - Q23)/_xlfn.DAYS(electricity_cost311418222630[[#This Row],[Date of reading 
(Elect + Gas)]], G23)</f>
        <v>0.66666666666666663</v>
      </c>
      <c r="W24" s="20">
        <f xml:space="preserve"> E$8 + ((electricity_cost311418222630[[#This Row],[Elect. Net cost to date
(TND)]] + E$6 + gas_cost10713519232731[[#This Row],[Gas Net cost to date
(TND)]] + E$7) * (1 + E$5))</f>
        <v>106.35533999999998</v>
      </c>
      <c r="X24" s="38"/>
    </row>
    <row r="25" spans="2:25" x14ac:dyDescent="0.25">
      <c r="B25">
        <v>22245</v>
      </c>
      <c r="C25" s="6">
        <v>43720</v>
      </c>
      <c r="D25" s="54">
        <v>43840</v>
      </c>
      <c r="E25">
        <v>22497</v>
      </c>
      <c r="F25" s="11">
        <f>electricity_cost311418222630[[#This Row],[ Index (KWh)]]-electricity_cost311418222630[[#This Row],[Original index 
(KWh)]]</f>
        <v>252</v>
      </c>
      <c r="G25" s="6">
        <v>43760</v>
      </c>
      <c r="H25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5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45.612000000000002</v>
      </c>
      <c r="J25" s="12">
        <f xml:space="preserve"> (E$6 + electricity_cost311418222630[[#This Row],[Elect. Net cost to date
(TND)]]) * (1 + E$5)</f>
        <v>88.51415999999999</v>
      </c>
      <c r="K25" s="12">
        <f>(electricity_cost311418222630[[#This Row],[Elect. Cost  VAT included
(TND)
]]-J24)/_xlfn.DAYS(electricity_cost311418222630[[#This Row],[Date of reading 
(Elect + Gas)]], G24)</f>
        <v>0.64074000000000808</v>
      </c>
      <c r="L25" s="12">
        <f>(electricity_cost311418222630[[#This Row],[Consumption to date (KWh)]] - F24)/_xlfn.DAYS(electricity_cost311418222630[[#This Row],[Date of reading 
(Elect + Gas)]], G24)</f>
        <v>3</v>
      </c>
      <c r="M25">
        <v>10928</v>
      </c>
      <c r="P25">
        <v>10953</v>
      </c>
      <c r="Q25" s="11">
        <f>gas_cost10713519232731[[#This Row],[ Index (m3)]] - gas_cost10713519232731[[#This Row],[Original index 
(m3)]]</f>
        <v>25</v>
      </c>
      <c r="R25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5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5.7750000000000004</v>
      </c>
      <c r="T25" s="12">
        <f xml:space="preserve"> gas_cost10713519232731[[#This Row],[Gas Net cost to date
(TND)]]* (1 + E$5)</f>
        <v>6.8144999999999998</v>
      </c>
      <c r="U25" s="12">
        <f>(gas_cost10713519232731[[#This Row],[Gas Cost to date  VAT included
(TND)
]] - T24)/_xlfn.DAYS(electricity_cost311418222630[[#This Row],[Date of reading 
(Elect + Gas)]], G24)</f>
        <v>0.27258000000000049</v>
      </c>
      <c r="V25" s="12">
        <f>(gas_cost10713519232731[[#This Row],[Consumption (m3)]] - Q24)/_xlfn.DAYS(electricity_cost311418222630[[#This Row],[Date of reading 
(Elect + Gas)]], G24)</f>
        <v>1</v>
      </c>
      <c r="W25" s="20">
        <f xml:space="preserve"> E$8 + ((electricity_cost311418222630[[#This Row],[Elect. Net cost to date
(TND)]] + E$6 + gas_cost10713519232731[[#This Row],[Gas Net cost to date
(TND)]] + E$7) * (1 + E$5))</f>
        <v>107.26866</v>
      </c>
      <c r="X25" s="38"/>
    </row>
    <row r="26" spans="2:25" x14ac:dyDescent="0.25">
      <c r="B26">
        <v>22245</v>
      </c>
      <c r="C26" s="6">
        <v>43720</v>
      </c>
      <c r="D26" s="54">
        <v>43840</v>
      </c>
      <c r="E26">
        <v>22575</v>
      </c>
      <c r="F26" s="11">
        <f>electricity_cost311418222630[[#This Row],[ Index (KWh)]]-electricity_cost311418222630[[#This Row],[Original index 
(KWh)]]</f>
        <v>330</v>
      </c>
      <c r="G26" s="6">
        <v>43776</v>
      </c>
      <c r="H26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6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59.73</v>
      </c>
      <c r="J26" s="12">
        <f xml:space="preserve"> (E$6 + electricity_cost311418222630[[#This Row],[Elect. Net cost to date
(TND)]]) * (1 + E$5)</f>
        <v>105.17339999999999</v>
      </c>
      <c r="K26" s="12">
        <f>(electricity_cost311418222630[[#This Row],[Elect. Cost  VAT included
(TND)
]]-J25)/_xlfn.DAYS(electricity_cost311418222630[[#This Row],[Date of reading 
(Elect + Gas)]], G25)</f>
        <v>1.0412024999999998</v>
      </c>
      <c r="L26" s="12">
        <f>(electricity_cost311418222630[[#This Row],[Consumption to date (KWh)]] - F25)/_xlfn.DAYS(electricity_cost311418222630[[#This Row],[Date of reading 
(Elect + Gas)]], G25)</f>
        <v>4.875</v>
      </c>
      <c r="M26" s="11">
        <v>10928</v>
      </c>
      <c r="P26">
        <v>10965</v>
      </c>
      <c r="Q26" s="11">
        <f>gas_cost10713519232731[[#This Row],[ Index (m3)]] - gas_cost10713519232731[[#This Row],[Original index 
(m3)]]</f>
        <v>37</v>
      </c>
      <c r="R26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6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8.5470000000000006</v>
      </c>
      <c r="T26" s="12">
        <f xml:space="preserve"> gas_cost10713519232731[[#This Row],[Gas Net cost to date
(TND)]]* (1 + E$5)</f>
        <v>10.085459999999999</v>
      </c>
      <c r="U26" s="12">
        <f>(gas_cost10713519232731[[#This Row],[Gas Cost to date  VAT included
(TND)
]] - T25)/_xlfn.DAYS(electricity_cost311418222630[[#This Row],[Date of reading 
(Elect + Gas)]], G25)</f>
        <v>0.20443499999999998</v>
      </c>
      <c r="V26" s="12">
        <f>(gas_cost10713519232731[[#This Row],[Consumption (m3)]] - Q25)/_xlfn.DAYS(electricity_cost311418222630[[#This Row],[Date of reading 
(Elect + Gas)]], G25)</f>
        <v>0.75</v>
      </c>
      <c r="W26" s="20">
        <f xml:space="preserve"> E$8 + ((electricity_cost311418222630[[#This Row],[Elect. Net cost to date
(TND)]] + E$6 + gas_cost10713519232731[[#This Row],[Gas Net cost to date
(TND)]] + E$7) * (1 + E$5))</f>
        <v>127.19885999999998</v>
      </c>
      <c r="X26" s="38"/>
    </row>
    <row r="27" spans="2:25" x14ac:dyDescent="0.25">
      <c r="B27">
        <v>22245</v>
      </c>
      <c r="C27" s="6">
        <v>43720</v>
      </c>
      <c r="D27" s="54">
        <v>43840</v>
      </c>
      <c r="E27">
        <v>22607</v>
      </c>
      <c r="F27" s="11">
        <f>electricity_cost311418222630[[#This Row],[ Index (KWh)]]-electricity_cost311418222630[[#This Row],[Original index 
(KWh)]]</f>
        <v>362</v>
      </c>
      <c r="G27" s="6">
        <v>43782</v>
      </c>
      <c r="H27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7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65.522000000000006</v>
      </c>
      <c r="J27" s="12">
        <f xml:space="preserve"> (E$6 + electricity_cost311418222630[[#This Row],[Elect. Net cost to date
(TND)]]) * (1 + E$5)</f>
        <v>112.00796</v>
      </c>
      <c r="K27" s="12">
        <f>(electricity_cost311418222630[[#This Row],[Elect. Cost  VAT included
(TND)
]]-J26)/_xlfn.DAYS(electricity_cost311418222630[[#This Row],[Date of reading 
(Elect + Gas)]], G26)</f>
        <v>1.1390933333333351</v>
      </c>
      <c r="L27" s="12">
        <f>(electricity_cost311418222630[[#This Row],[Consumption to date (KWh)]] - F26)/_xlfn.DAYS(electricity_cost311418222630[[#This Row],[Date of reading 
(Elect + Gas)]], G26)</f>
        <v>5.333333333333333</v>
      </c>
      <c r="M27">
        <v>10928</v>
      </c>
      <c r="P27">
        <v>10986</v>
      </c>
      <c r="Q27" s="11">
        <f>gas_cost10713519232731[[#This Row],[ Index (m3)]] - gas_cost10713519232731[[#This Row],[Original index 
(m3)]]</f>
        <v>58</v>
      </c>
      <c r="R27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7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13.398</v>
      </c>
      <c r="T27" s="12">
        <f xml:space="preserve"> gas_cost10713519232731[[#This Row],[Gas Net cost to date
(TND)]]* (1 + E$5)</f>
        <v>15.809639999999998</v>
      </c>
      <c r="U27" s="12">
        <f>(gas_cost10713519232731[[#This Row],[Gas Cost to date  VAT included
(TND)
]] - T26)/_xlfn.DAYS(electricity_cost311418222630[[#This Row],[Date of reading 
(Elect + Gas)]], G26)</f>
        <v>0.95402999999999982</v>
      </c>
      <c r="V27" s="12">
        <f>(gas_cost10713519232731[[#This Row],[Consumption (m3)]] - Q26)/_xlfn.DAYS(electricity_cost311418222630[[#This Row],[Date of reading 
(Elect + Gas)]], G26)</f>
        <v>3.5</v>
      </c>
      <c r="W27" s="20">
        <f xml:space="preserve"> E$8 + ((electricity_cost311418222630[[#This Row],[Elect. Net cost to date
(TND)]] + E$6 + gas_cost10713519232731[[#This Row],[Gas Net cost to date
(TND)]] + E$7) * (1 + E$5))</f>
        <v>139.75759999999997</v>
      </c>
      <c r="X27" s="38"/>
    </row>
    <row r="28" spans="2:25" x14ac:dyDescent="0.25">
      <c r="B28">
        <v>22245</v>
      </c>
      <c r="C28" s="6">
        <v>43720</v>
      </c>
      <c r="D28" s="54">
        <v>43840</v>
      </c>
      <c r="E28">
        <v>22611</v>
      </c>
      <c r="F28" s="11">
        <f>electricity_cost311418222630[[#This Row],[ Index (KWh)]]-electricity_cost311418222630[[#This Row],[Original index 
(KWh)]]</f>
        <v>366</v>
      </c>
      <c r="G28" s="6">
        <v>43783</v>
      </c>
      <c r="H28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8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66.245999999999995</v>
      </c>
      <c r="J28" s="12">
        <f xml:space="preserve"> (E$6 + electricity_cost311418222630[[#This Row],[Elect. Net cost to date
(TND)]]) * (1 + E$5)</f>
        <v>112.86227999999998</v>
      </c>
      <c r="K28" s="12">
        <f>(electricity_cost311418222630[[#This Row],[Elect. Cost  VAT included
(TND)
]]-J27)/_xlfn.DAYS(electricity_cost311418222630[[#This Row],[Date of reading 
(Elect + Gas)]], G27)</f>
        <v>0.85431999999998709</v>
      </c>
      <c r="L28" s="12">
        <f>(electricity_cost311418222630[[#This Row],[Consumption to date (KWh)]] - F27)/_xlfn.DAYS(electricity_cost311418222630[[#This Row],[Date of reading 
(Elect + Gas)]], G27)</f>
        <v>4</v>
      </c>
      <c r="M28" s="11">
        <v>10928</v>
      </c>
      <c r="P28">
        <v>10987</v>
      </c>
      <c r="Q28" s="11">
        <f>gas_cost10713519232731[[#This Row],[ Index (m3)]] - gas_cost10713519232731[[#This Row],[Original index 
(m3)]]</f>
        <v>59</v>
      </c>
      <c r="R28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8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13.629</v>
      </c>
      <c r="T28" s="12">
        <f xml:space="preserve"> gas_cost10713519232731[[#This Row],[Gas Net cost to date
(TND)]]* (1 + E$5)</f>
        <v>16.08222</v>
      </c>
      <c r="U28" s="12">
        <f>(gas_cost10713519232731[[#This Row],[Gas Cost to date  VAT included
(TND)
]] - T27)/_xlfn.DAYS(electricity_cost311418222630[[#This Row],[Date of reading 
(Elect + Gas)]], G27)</f>
        <v>0.27258000000000138</v>
      </c>
      <c r="V28" s="12">
        <f>(gas_cost10713519232731[[#This Row],[Consumption (m3)]] - Q27)/_xlfn.DAYS(electricity_cost311418222630[[#This Row],[Date of reading 
(Elect + Gas)]], G27)</f>
        <v>1</v>
      </c>
      <c r="W28" s="20">
        <f xml:space="preserve"> E$8 + ((electricity_cost311418222630[[#This Row],[Elect. Net cost to date
(TND)]] + E$6 + gas_cost10713519232731[[#This Row],[Gas Net cost to date
(TND)]] + E$7) * (1 + E$5))</f>
        <v>140.88449999999997</v>
      </c>
      <c r="X28" s="38"/>
    </row>
    <row r="29" spans="2:25" x14ac:dyDescent="0.25">
      <c r="B29">
        <v>22245</v>
      </c>
      <c r="C29" s="6">
        <v>43720</v>
      </c>
      <c r="D29" s="54">
        <v>43840</v>
      </c>
      <c r="E29">
        <v>22651</v>
      </c>
      <c r="F29" s="11">
        <f>electricity_cost311418222630[[#This Row],[ Index (KWh)]]-electricity_cost311418222630[[#This Row],[Original index 
(KWh)]]</f>
        <v>406</v>
      </c>
      <c r="G29" s="6">
        <v>43790</v>
      </c>
      <c r="H29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29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73.486000000000004</v>
      </c>
      <c r="J29" s="12">
        <f xml:space="preserve"> (E$6 + electricity_cost311418222630[[#This Row],[Elect. Net cost to date
(TND)]]) * (1 + E$5)</f>
        <v>121.40547999999998</v>
      </c>
      <c r="K29" s="12">
        <f>(electricity_cost311418222630[[#This Row],[Elect. Cost  VAT included
(TND)
]]-J28)/_xlfn.DAYS(electricity_cost311418222630[[#This Row],[Date of reading 
(Elect + Gas)]], G28)</f>
        <v>1.2204571428571427</v>
      </c>
      <c r="L29" s="12">
        <f>(electricity_cost311418222630[[#This Row],[Consumption to date (KWh)]] - F28)/_xlfn.DAYS(electricity_cost311418222630[[#This Row],[Date of reading 
(Elect + Gas)]], G28)</f>
        <v>5.7142857142857144</v>
      </c>
      <c r="M29">
        <v>10928</v>
      </c>
      <c r="P29">
        <v>11031</v>
      </c>
      <c r="Q29" s="11">
        <f>gas_cost10713519232731[[#This Row],[ Index (m3)]] - gas_cost10713519232731[[#This Row],[Original index 
(m3)]]</f>
        <v>103</v>
      </c>
      <c r="R29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1</v>
      </c>
      <c r="S29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23.792999999999999</v>
      </c>
      <c r="T29" s="12">
        <f xml:space="preserve"> gas_cost10713519232731[[#This Row],[Gas Net cost to date
(TND)]]* (1 + E$5)</f>
        <v>28.075739999999996</v>
      </c>
      <c r="U29" s="12">
        <f>(gas_cost10713519232731[[#This Row],[Gas Cost to date  VAT included
(TND)
]] - T28)/_xlfn.DAYS(electricity_cost311418222630[[#This Row],[Date of reading 
(Elect + Gas)]], G28)</f>
        <v>1.7133599999999996</v>
      </c>
      <c r="V29" s="12">
        <f>(gas_cost10713519232731[[#This Row],[Consumption (m3)]] - Q28)/_xlfn.DAYS(electricity_cost311418222630[[#This Row],[Date of reading 
(Elect + Gas)]], G28)</f>
        <v>6.2857142857142856</v>
      </c>
      <c r="W29" s="20">
        <f xml:space="preserve"> E$8 + ((electricity_cost311418222630[[#This Row],[Elect. Net cost to date
(TND)]] + E$6 + gas_cost10713519232731[[#This Row],[Gas Net cost to date
(TND)]] + E$7) * (1 + E$5))</f>
        <v>161.42121999999998</v>
      </c>
      <c r="X29" s="38"/>
    </row>
    <row r="30" spans="2:25" x14ac:dyDescent="0.25">
      <c r="B30">
        <v>22245</v>
      </c>
      <c r="C30" s="6">
        <v>43720</v>
      </c>
      <c r="D30" s="54">
        <v>43840</v>
      </c>
      <c r="E30">
        <v>22676</v>
      </c>
      <c r="F30" s="11">
        <f>electricity_cost311418222630[[#This Row],[ Index (KWh)]]-electricity_cost311418222630[[#This Row],[Original index 
(KWh)]]</f>
        <v>431</v>
      </c>
      <c r="G30" s="6">
        <v>43795</v>
      </c>
      <c r="H30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30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78.010999999999996</v>
      </c>
      <c r="J30" s="12">
        <f xml:space="preserve"> (E$6 + electricity_cost311418222630[[#This Row],[Elect. Net cost to date
(TND)]]) * (1 + E$5)</f>
        <v>126.74498</v>
      </c>
      <c r="K30" s="12">
        <f>(electricity_cost311418222630[[#This Row],[Elect. Cost  VAT included
(TND)
]]-J29)/_xlfn.DAYS(electricity_cost311418222630[[#This Row],[Date of reading 
(Elect + Gas)]], G29)</f>
        <v>1.067900000000003</v>
      </c>
      <c r="L30" s="12">
        <f>(electricity_cost311418222630[[#This Row],[Consumption to date (KWh)]] - F29)/_xlfn.DAYS(electricity_cost311418222630[[#This Row],[Date of reading 
(Elect + Gas)]], G29)</f>
        <v>5</v>
      </c>
      <c r="M30" s="11">
        <v>10928</v>
      </c>
      <c r="P30">
        <v>11059</v>
      </c>
      <c r="Q30" s="11">
        <f>gas_cost10713519232731[[#This Row],[ Index (m3)]] - gas_cost10713519232731[[#This Row],[Original index 
(m3)]]</f>
        <v>131</v>
      </c>
      <c r="R30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2</v>
      </c>
      <c r="S30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44.670999999999999</v>
      </c>
      <c r="T30" s="12">
        <f xml:space="preserve"> gas_cost10713519232731[[#This Row],[Gas Net cost to date
(TND)]]* (1 + E$5)</f>
        <v>52.711779999999997</v>
      </c>
      <c r="U30" s="12">
        <f>(gas_cost10713519232731[[#This Row],[Gas Cost to date  VAT included
(TND)
]] - T29)/_xlfn.DAYS(electricity_cost311418222630[[#This Row],[Date of reading 
(Elect + Gas)]], G29)</f>
        <v>4.9272080000000003</v>
      </c>
      <c r="V30" s="12">
        <f>(gas_cost10713519232731[[#This Row],[Consumption (m3)]] - Q29)/_xlfn.DAYS(electricity_cost311418222630[[#This Row],[Date of reading 
(Elect + Gas)]], G29)</f>
        <v>5.6</v>
      </c>
      <c r="W30" s="20">
        <f xml:space="preserve"> E$8 + ((electricity_cost311418222630[[#This Row],[Elect. Net cost to date
(TND)]] + E$6 + gas_cost10713519232731[[#This Row],[Gas Net cost to date
(TND)]] + E$7) * (1 + E$5))</f>
        <v>191.39675999999997</v>
      </c>
      <c r="X30" s="38"/>
    </row>
    <row r="31" spans="2:25" x14ac:dyDescent="0.25">
      <c r="B31">
        <v>22245</v>
      </c>
      <c r="C31" s="6">
        <v>43720</v>
      </c>
      <c r="D31" s="54">
        <v>43840</v>
      </c>
      <c r="E31">
        <v>22679</v>
      </c>
      <c r="F31" s="11">
        <f>electricity_cost311418222630[[#This Row],[ Index (KWh)]]-electricity_cost311418222630[[#This Row],[Original index 
(KWh)]]</f>
        <v>434</v>
      </c>
      <c r="G31" s="6">
        <v>43796</v>
      </c>
      <c r="H31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31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78.554000000000002</v>
      </c>
      <c r="J31" s="12">
        <f xml:space="preserve"> (E$6 + electricity_cost311418222630[[#This Row],[Elect. Net cost to date
(TND)]]) * (1 + E$5)</f>
        <v>127.38572000000001</v>
      </c>
      <c r="K31" s="12">
        <f>electricity_cost311418222630[[#This Row],[Elect. Cost  VAT included
(TND)
]]-J30/(electricity_cost311418222630[[#This Row],[Date of reading 
(Elect + Gas)]]-G30)</f>
        <v>0.64074000000000808</v>
      </c>
      <c r="L31" s="12">
        <f>(electricity_cost311418222630[[#This Row],[Consumption to date (KWh)]] - F30)/_xlfn.DAYS(electricity_cost311418222630[[#This Row],[Date of reading 
(Elect + Gas)]], G30)</f>
        <v>3</v>
      </c>
      <c r="M31">
        <v>10928</v>
      </c>
      <c r="P31">
        <v>11063</v>
      </c>
      <c r="Q31" s="11">
        <f>gas_cost10713519232731[[#This Row],[ Index (m3)]] - gas_cost10713519232731[[#This Row],[Original index 
(m3)]]</f>
        <v>135</v>
      </c>
      <c r="R31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2</v>
      </c>
      <c r="S31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46.034999999999997</v>
      </c>
      <c r="T31" s="12">
        <f xml:space="preserve"> gas_cost10713519232731[[#This Row],[Gas Net cost to date
(TND)]]* (1 + E$5)</f>
        <v>54.321299999999994</v>
      </c>
      <c r="U31" s="12">
        <f>(gas_cost10713519232731[[#This Row],[Gas Cost to date  VAT included
(TND)
]] - T30)/_xlfn.DAYS(electricity_cost311418222630[[#This Row],[Date of reading 
(Elect + Gas)]], G30)</f>
        <v>1.6095199999999963</v>
      </c>
      <c r="V31" s="12">
        <f>(gas_cost10713519232731[[#This Row],[Consumption (m3)]] - Q30)/_xlfn.DAYS(electricity_cost311418222630[[#This Row],[Date of reading 
(Elect + Gas)]], G30)</f>
        <v>4</v>
      </c>
      <c r="W31" s="20">
        <f xml:space="preserve"> E$8 + ((electricity_cost311418222630[[#This Row],[Elect. Net cost to date
(TND)]] + E$6 + gas_cost10713519232731[[#This Row],[Gas Net cost to date
(TND)]] + E$7) * (1 + E$5))</f>
        <v>193.64702</v>
      </c>
      <c r="X31" s="38"/>
    </row>
    <row r="32" spans="2:25" x14ac:dyDescent="0.25">
      <c r="B32">
        <v>22245</v>
      </c>
      <c r="C32" s="6">
        <v>43720</v>
      </c>
      <c r="D32" s="54">
        <v>43840</v>
      </c>
      <c r="E32">
        <v>22685</v>
      </c>
      <c r="F32" s="11">
        <f>electricity_cost311418222630[[#This Row],[ Index (KWh)]]-electricity_cost311418222630[[#This Row],[Original index 
(KWh)]]</f>
        <v>440</v>
      </c>
      <c r="G32" s="6">
        <v>43797</v>
      </c>
      <c r="H32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32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79.64</v>
      </c>
      <c r="J32" s="12">
        <f xml:space="preserve"> (E$6 + electricity_cost311418222630[[#This Row],[Elect. Net cost to date
(TND)]]) * (1 + E$5)</f>
        <v>128.66719999999998</v>
      </c>
      <c r="K32" s="12">
        <f>(electricity_cost311418222630[[#This Row],[Elect. Cost  VAT included
(TND)
]]-J31)/_xlfn.DAYS(electricity_cost311418222630[[#This Row],[Date of reading 
(Elect + Gas)]], G31)</f>
        <v>1.2814799999999735</v>
      </c>
      <c r="L32" s="12">
        <f>(electricity_cost311418222630[[#This Row],[Consumption to date (KWh)]] - F31)/_xlfn.DAYS(electricity_cost311418222630[[#This Row],[Date of reading 
(Elect + Gas)]], G31)</f>
        <v>6</v>
      </c>
      <c r="M32" s="11">
        <v>10928</v>
      </c>
      <c r="P32">
        <v>11067</v>
      </c>
      <c r="Q32" s="11">
        <f>gas_cost10713519232731[[#This Row],[ Index (m3)]] - gas_cost10713519232731[[#This Row],[Original index 
(m3)]]</f>
        <v>139</v>
      </c>
      <c r="R32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2</v>
      </c>
      <c r="S32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47.399000000000001</v>
      </c>
      <c r="T32" s="12">
        <f xml:space="preserve"> gas_cost10713519232731[[#This Row],[Gas Net cost to date
(TND)]]* (1 + E$5)</f>
        <v>55.930819999999997</v>
      </c>
      <c r="U32" s="12">
        <f>(gas_cost10713519232731[[#This Row],[Gas Cost to date  VAT included
(TND)
]] - T31)/_xlfn.DAYS(electricity_cost311418222630[[#This Row],[Date of reading 
(Elect + Gas)]], G31)</f>
        <v>1.6095200000000034</v>
      </c>
      <c r="V32" s="12">
        <f>(gas_cost10713519232731[[#This Row],[Consumption (m3)]] - Q31)/_xlfn.DAYS(electricity_cost311418222630[[#This Row],[Date of reading 
(Elect + Gas)]], G31)</f>
        <v>4</v>
      </c>
      <c r="W32" s="20">
        <f xml:space="preserve"> E$8 + ((electricity_cost311418222630[[#This Row],[Elect. Net cost to date
(TND)]] + E$6 + gas_cost10713519232731[[#This Row],[Gas Net cost to date
(TND)]] + E$7) * (1 + E$5))</f>
        <v>196.53801999999999</v>
      </c>
      <c r="X32" s="38"/>
    </row>
    <row r="33" spans="2:24" x14ac:dyDescent="0.25">
      <c r="B33">
        <v>22245</v>
      </c>
      <c r="C33" s="6">
        <v>43720</v>
      </c>
      <c r="D33" s="54">
        <v>43840</v>
      </c>
      <c r="E33">
        <v>22709</v>
      </c>
      <c r="F33" s="11">
        <f>electricity_cost311418222630[[#This Row],[ Index (KWh)]]-electricity_cost311418222630[[#This Row],[Original index 
(KWh)]]</f>
        <v>464</v>
      </c>
      <c r="G33" s="6">
        <v>43802</v>
      </c>
      <c r="H33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33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83.983999999999995</v>
      </c>
      <c r="J33" s="12">
        <f xml:space="preserve"> (E$6 + electricity_cost311418222630[[#This Row],[Elect. Net cost to date
(TND)]]) * (1 + E$5)</f>
        <v>133.79311999999999</v>
      </c>
      <c r="K33" s="12">
        <f>electricity_cost311418222630[[#This Row],[Elect. Cost  VAT included
(TND)
]]-J32/(electricity_cost311418222630[[#This Row],[Date of reading 
(Elect + Gas)]]-G32)</f>
        <v>108.05967999999999</v>
      </c>
      <c r="L33" s="12">
        <f>(electricity_cost311418222630[[#This Row],[Consumption to date (KWh)]] - F32)/_xlfn.DAYS(electricity_cost311418222630[[#This Row],[Date of reading 
(Elect + Gas)]], G32)</f>
        <v>4.8</v>
      </c>
      <c r="M33">
        <v>10928</v>
      </c>
      <c r="P33">
        <v>11085</v>
      </c>
      <c r="Q33" s="11">
        <f>gas_cost10713519232731[[#This Row],[ Index (m3)]] - gas_cost10713519232731[[#This Row],[Original index 
(m3)]]</f>
        <v>157</v>
      </c>
      <c r="R33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2</v>
      </c>
      <c r="S33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53.536999999999999</v>
      </c>
      <c r="T33" s="12">
        <f xml:space="preserve"> gas_cost10713519232731[[#This Row],[Gas Net cost to date
(TND)]]* (1 + E$5)</f>
        <v>63.173659999999998</v>
      </c>
      <c r="U33" s="12">
        <f>(gas_cost10713519232731[[#This Row],[Gas Cost to date  VAT included
(TND)
]] - T32)/_xlfn.DAYS(electricity_cost311418222630[[#This Row],[Date of reading 
(Elect + Gas)]], G32)</f>
        <v>1.4485680000000003</v>
      </c>
      <c r="V33" s="12">
        <f>(gas_cost10713519232731[[#This Row],[Consumption (m3)]] - Q32)/_xlfn.DAYS(electricity_cost311418222630[[#This Row],[Date of reading 
(Elect + Gas)]], G32)</f>
        <v>3.6</v>
      </c>
      <c r="W33" s="20">
        <f xml:space="preserve"> E$8 + ((electricity_cost311418222630[[#This Row],[Elect. Net cost to date
(TND)]] + E$6 + gas_cost10713519232731[[#This Row],[Gas Net cost to date
(TND)]] + E$7) * (1 + E$5))</f>
        <v>208.90677999999997</v>
      </c>
      <c r="X33" s="38"/>
    </row>
    <row r="34" spans="2:24" x14ac:dyDescent="0.25">
      <c r="B34">
        <v>22245</v>
      </c>
      <c r="C34" s="6">
        <v>43720</v>
      </c>
      <c r="D34" s="54">
        <v>43840</v>
      </c>
      <c r="E34">
        <v>22753</v>
      </c>
      <c r="F34" s="11">
        <f>electricity_cost311418222630[[#This Row],[ Index (KWh)]]-electricity_cost311418222630[[#This Row],[Original index 
(KWh)]]</f>
        <v>508</v>
      </c>
      <c r="G34" s="6">
        <v>43809</v>
      </c>
      <c r="H34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34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91.947999999999993</v>
      </c>
      <c r="J34" s="12">
        <f xml:space="preserve"> (E$6 + electricity_cost311418222630[[#This Row],[Elect. Net cost to date
(TND)]]) * (1 + E$5)</f>
        <v>143.19063999999997</v>
      </c>
      <c r="K34" s="12">
        <f>electricity_cost311418222630[[#This Row],[Elect. Cost  VAT included
(TND)
]]-J33/(electricity_cost311418222630[[#This Row],[Date of reading 
(Elect + Gas)]]-G33)</f>
        <v>124.07733714285712</v>
      </c>
      <c r="L34" s="12">
        <f>(electricity_cost311418222630[[#This Row],[Consumption to date (KWh)]] - F33)/_xlfn.DAYS(electricity_cost311418222630[[#This Row],[Date of reading 
(Elect + Gas)]], G33)</f>
        <v>6.2857142857142856</v>
      </c>
      <c r="M34" s="11">
        <v>10928</v>
      </c>
      <c r="P34">
        <v>11126</v>
      </c>
      <c r="Q34" s="11">
        <f>gas_cost10713519232731[[#This Row],[ Index (m3)]] - gas_cost10713519232731[[#This Row],[Original index 
(m3)]]</f>
        <v>198</v>
      </c>
      <c r="R34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2</v>
      </c>
      <c r="S34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67.518000000000001</v>
      </c>
      <c r="T34" s="12">
        <f xml:space="preserve"> gas_cost10713519232731[[#This Row],[Gas Net cost to date
(TND)]]* (1 + E$5)</f>
        <v>79.671239999999997</v>
      </c>
      <c r="U34" s="12">
        <f>(gas_cost10713519232731[[#This Row],[Gas Cost to date  VAT included
(TND)
]] - T33)/_xlfn.DAYS(electricity_cost311418222630[[#This Row],[Date of reading 
(Elect + Gas)]], G33)</f>
        <v>2.3567971428571428</v>
      </c>
      <c r="V34" s="12">
        <f>(gas_cost10713519232731[[#This Row],[Consumption (m3)]] - Q33)/_xlfn.DAYS(electricity_cost311418222630[[#This Row],[Date of reading 
(Elect + Gas)]], G33)</f>
        <v>5.8571428571428568</v>
      </c>
      <c r="W34" s="20">
        <f xml:space="preserve"> E$8 + ((electricity_cost311418222630[[#This Row],[Elect. Net cost to date
(TND)]] + E$6 + gas_cost10713519232731[[#This Row],[Gas Net cost to date
(TND)]] + E$7) * (1 + E$5))</f>
        <v>234.80187999999995</v>
      </c>
      <c r="X34" s="38"/>
    </row>
    <row r="35" spans="2:24" x14ac:dyDescent="0.25">
      <c r="B35">
        <v>22245</v>
      </c>
      <c r="C35" s="6">
        <v>43720</v>
      </c>
      <c r="D35" s="54">
        <v>43840</v>
      </c>
      <c r="E35">
        <v>22781</v>
      </c>
      <c r="F35" s="11">
        <f>electricity_cost311418222630[[#This Row],[ Index (KWh)]]-electricity_cost311418222630[[#This Row],[Original index 
(KWh)]]</f>
        <v>536</v>
      </c>
      <c r="G35" s="6">
        <v>43816</v>
      </c>
      <c r="H35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35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97.016000000000005</v>
      </c>
      <c r="J35" s="12">
        <f xml:space="preserve"> (E$6 + electricity_cost311418222630[[#This Row],[Elect. Net cost to date
(TND)]]) * (1 + E$5)</f>
        <v>149.17087999999998</v>
      </c>
      <c r="K35" s="12">
        <f>electricity_cost311418222630[[#This Row],[Elect. Cost  VAT included
(TND)
]]-J34/(electricity_cost311418222630[[#This Row],[Date of reading 
(Elect + Gas)]]-G34)</f>
        <v>128.71507428571428</v>
      </c>
      <c r="L35" s="12">
        <f>(electricity_cost311418222630[[#This Row],[Consumption to date (KWh)]] - F34)/_xlfn.DAYS(electricity_cost311418222630[[#This Row],[Date of reading 
(Elect + Gas)]], G34)</f>
        <v>4</v>
      </c>
      <c r="M35">
        <v>10928</v>
      </c>
      <c r="P35">
        <v>11157</v>
      </c>
      <c r="Q35" s="11">
        <f>gas_cost10713519232731[[#This Row],[ Index (m3)]] - gas_cost10713519232731[[#This Row],[Original index 
(m3)]]</f>
        <v>229</v>
      </c>
      <c r="R35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2</v>
      </c>
      <c r="S35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78.088999999999999</v>
      </c>
      <c r="T35" s="12">
        <f xml:space="preserve"> gas_cost10713519232731[[#This Row],[Gas Net cost to date
(TND)]]* (1 + E$5)</f>
        <v>92.145019999999988</v>
      </c>
      <c r="U35" s="12">
        <f>(gas_cost10713519232731[[#This Row],[Gas Cost to date  VAT included
(TND)
]] - T34)/_xlfn.DAYS(electricity_cost311418222630[[#This Row],[Date of reading 
(Elect + Gas)]], G34)</f>
        <v>1.78196857142857</v>
      </c>
      <c r="V35" s="12">
        <f>(gas_cost10713519232731[[#This Row],[Consumption (m3)]] - Q34)/_xlfn.DAYS(electricity_cost311418222630[[#This Row],[Date of reading 
(Elect + Gas)]], G34)</f>
        <v>4.4285714285714288</v>
      </c>
      <c r="W35" s="20">
        <f xml:space="preserve"> E$8 + ((electricity_cost311418222630[[#This Row],[Elect. Net cost to date
(TND)]] + E$6 + gas_cost10713519232731[[#This Row],[Gas Net cost to date
(TND)]] + E$7) * (1 + E$5))</f>
        <v>253.25589999999997</v>
      </c>
      <c r="X35" s="38"/>
    </row>
    <row r="36" spans="2:24" x14ac:dyDescent="0.25">
      <c r="B36">
        <v>22245</v>
      </c>
      <c r="C36" s="6">
        <v>43720</v>
      </c>
      <c r="D36" s="54">
        <v>43840</v>
      </c>
      <c r="E36">
        <v>22881</v>
      </c>
      <c r="F36" s="11">
        <f>electricity_cost311418222630[[#This Row],[ Index (KWh)]]-electricity_cost311418222630[[#This Row],[Original index 
(KWh)]]</f>
        <v>636</v>
      </c>
      <c r="G36" s="6">
        <v>43835</v>
      </c>
      <c r="H36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36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115.116</v>
      </c>
      <c r="J36" s="12">
        <f xml:space="preserve"> (E$6 + electricity_cost311418222630[[#This Row],[Elect. Net cost to date
(TND)]]) * (1 + E$5)</f>
        <v>170.52887999999999</v>
      </c>
      <c r="K36" s="12">
        <f>electricity_cost311418222630[[#This Row],[Elect. Cost  VAT included
(TND)
]]-J35/(electricity_cost311418222630[[#This Row],[Date of reading 
(Elect + Gas)]]-G35)</f>
        <v>162.67778105263156</v>
      </c>
      <c r="L36" s="12">
        <f>(electricity_cost311418222630[[#This Row],[Consumption to date (KWh)]] - F35)/_xlfn.DAYS(electricity_cost311418222630[[#This Row],[Date of reading 
(Elect + Gas)]], G35)</f>
        <v>5.2631578947368425</v>
      </c>
      <c r="M36">
        <v>10928</v>
      </c>
      <c r="P36">
        <v>11284</v>
      </c>
      <c r="Q36" s="11">
        <f>gas_cost10713519232731[[#This Row],[ Index (m3)]] - gas_cost10713519232731[[#This Row],[Original index 
(m3)]]</f>
        <v>356</v>
      </c>
      <c r="R36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3</v>
      </c>
      <c r="S36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159.13200000000001</v>
      </c>
      <c r="T36" s="12">
        <f xml:space="preserve"> gas_cost10713519232731[[#This Row],[Gas Net cost to date
(TND)]]* (1 + E$5)</f>
        <v>187.77575999999999</v>
      </c>
      <c r="U36" s="12">
        <f>(gas_cost10713519232731[[#This Row],[Gas Cost to date  VAT included
(TND)
]] - T35)/_xlfn.DAYS(electricity_cost311418222630[[#This Row],[Date of reading 
(Elect + Gas)]], G35)</f>
        <v>5.0331968421052631</v>
      </c>
      <c r="V36" s="12">
        <f>(gas_cost10713519232731[[#This Row],[Consumption (m3)]] - Q35)/_xlfn.DAYS(electricity_cost311418222630[[#This Row],[Date of reading 
(Elect + Gas)]], G35)</f>
        <v>6.6842105263157894</v>
      </c>
      <c r="W36" s="20">
        <f xml:space="preserve"> E$8 + ((electricity_cost311418222630[[#This Row],[Elect. Net cost to date
(TND)]] + E$6 + gas_cost10713519232731[[#This Row],[Gas Net cost to date
(TND)]] + E$7) * (1 + E$5))</f>
        <v>370.24464</v>
      </c>
      <c r="X36" s="38"/>
    </row>
    <row r="37" spans="2:24" x14ac:dyDescent="0.25">
      <c r="B37">
        <v>22245</v>
      </c>
      <c r="C37" s="6">
        <v>43720</v>
      </c>
      <c r="D37" s="54">
        <v>43840</v>
      </c>
      <c r="E37">
        <v>22894</v>
      </c>
      <c r="F37" s="11">
        <f>electricity_cost311418222630[[#This Row],[ Index (KWh)]]-electricity_cost311418222630[[#This Row],[Original index 
(KWh)]]</f>
        <v>649</v>
      </c>
      <c r="G37" s="6">
        <v>43839</v>
      </c>
      <c r="H37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37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117.46899999999999</v>
      </c>
      <c r="J37" s="12">
        <f xml:space="preserve"> (E$6 + electricity_cost311418222630[[#This Row],[Elect. Net cost to date
(TND)]]) * (1 + E$5)</f>
        <v>173.30542</v>
      </c>
      <c r="K37" s="12">
        <f>electricity_cost311418222630[[#This Row],[Elect. Cost  VAT included
(TND)
]]-J36/(electricity_cost311418222630[[#This Row],[Date of reading 
(Elect + Gas)]]-G36)</f>
        <v>130.67320000000001</v>
      </c>
      <c r="L37" s="12">
        <f>(electricity_cost311418222630[[#This Row],[Consumption to date (KWh)]] - F36)/_xlfn.DAYS(electricity_cost311418222630[[#This Row],[Date of reading 
(Elect + Gas)]], G36)</f>
        <v>3.25</v>
      </c>
      <c r="M37">
        <v>10928</v>
      </c>
      <c r="P37">
        <v>11314</v>
      </c>
      <c r="Q37" s="11">
        <f>gas_cost10713519232731[[#This Row],[ Index (m3)]] - gas_cost10713519232731[[#This Row],[Original index 
(m3)]]</f>
        <v>386</v>
      </c>
      <c r="R37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3</v>
      </c>
      <c r="S37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172.542</v>
      </c>
      <c r="T37" s="12">
        <f xml:space="preserve"> gas_cost10713519232731[[#This Row],[Gas Net cost to date
(TND)]]* (1 + E$5)</f>
        <v>203.59956</v>
      </c>
      <c r="U37" s="12">
        <f>(gas_cost10713519232731[[#This Row],[Gas Cost to date  VAT included
(TND)
]] - T36)/_xlfn.DAYS(electricity_cost311418222630[[#This Row],[Date of reading 
(Elect + Gas)]], G36)</f>
        <v>3.9559500000000014</v>
      </c>
      <c r="V37" s="12">
        <f>(gas_cost10713519232731[[#This Row],[Consumption (m3)]] - Q36)/_xlfn.DAYS(electricity_cost311418222630[[#This Row],[Date of reading 
(Elect + Gas)]], G36)</f>
        <v>7.5</v>
      </c>
      <c r="W37" s="20">
        <f xml:space="preserve"> E$8 + ((electricity_cost311418222630[[#This Row],[Elect. Net cost to date
(TND)]] + E$6 + gas_cost10713519232731[[#This Row],[Gas Net cost to date
(TND)]] + E$7) * (1 + E$5))</f>
        <v>388.84497999999996</v>
      </c>
      <c r="X37" s="38"/>
    </row>
    <row r="38" spans="2:24" x14ac:dyDescent="0.25">
      <c r="B38">
        <v>22245</v>
      </c>
      <c r="C38" s="6">
        <v>43720</v>
      </c>
      <c r="D38" s="54">
        <v>43840</v>
      </c>
      <c r="E38">
        <v>22908</v>
      </c>
      <c r="F38" s="11">
        <f>electricity_cost311418222630[[#This Row],[ Index (KWh)]]-electricity_cost311418222630[[#This Row],[Original index 
(KWh)]]</f>
        <v>663</v>
      </c>
      <c r="G38" s="6">
        <v>43840</v>
      </c>
      <c r="H38" s="11">
        <f xml:space="preserve"> _xlfn.IFS(electricity_cost311418222630[[#This Row],[Consumption to date (KWh)]] &lt;= K$4, 1, AND(K$4 &lt; electricity_cost311418222630[[#This Row],[Consumption to date (KWh)]],  electricity_cost311418222630[[#This Row],[Consumption to date (KWh)]]&lt;= K$5), 2, AND(K$5 &lt; electricity_cost311418222630[[#This Row],[Consumption to date (KWh)]],  electricity_cost311418222630[[#This Row],[Consumption to date (KWh)]]&lt;= K$6), 3, electricity_cost311418222630[[#This Row],[Consumption to date (KWh)]] &gt; K$6, 4)</f>
        <v>1</v>
      </c>
      <c r="I38" s="12">
        <f>_xlfn.IFS(electricity_cost311418222630[[#This Row],[Level (Elect)]]= 1, (electricity_cost311418222630[[#This Row],[Consumption to date (KWh)]] * L$4)/1000, electricity_cost311418222630[[#This Row],[Level (Elect)]] = 2, (K$4 * L$4 +((electricity_cost311418222630[[#This Row],[Consumption to date (KWh)]] - K$4) * L$5))/1000,electricity_cost311418222630[[#This Row],[Level (Elect)]] = 3, (K$4 * L$4 + (K$5-J$5) * L$5 + ((electricity_cost311418222630[[#This Row],[Consumption to date (KWh)]] - K$5) * L$6))/1000, electricity_cost311418222630[[#This Row],[Level (Elect)]] = 4, (K$4 * L$4 + (K$5-J$5) * L$5 + (K$6-J$6) * L$6 + ((electricity_cost311418222630[[#This Row],[Consumption to date (KWh)]] - K$6) * L$7))/1000)</f>
        <v>120.003</v>
      </c>
      <c r="J38" s="12">
        <f xml:space="preserve"> (E$6 + electricity_cost311418222630[[#This Row],[Elect. Net cost to date
(TND)]]) * (1 + E$5)</f>
        <v>176.29553999999999</v>
      </c>
      <c r="K38" s="12">
        <f>electricity_cost311418222630[[#This Row],[Elect. Cost  VAT included
(TND)
]]-J37/(electricity_cost311418222630[[#This Row],[Date of reading 
(Elect + Gas)]]-G37)</f>
        <v>2.9901199999999903</v>
      </c>
      <c r="L38" s="12">
        <f>(electricity_cost311418222630[[#This Row],[Consumption to date (KWh)]] - F37)/_xlfn.DAYS(electricity_cost311418222630[[#This Row],[Date of reading 
(Elect + Gas)]], G37)</f>
        <v>14</v>
      </c>
      <c r="M38">
        <v>10928</v>
      </c>
      <c r="P38">
        <v>11322</v>
      </c>
      <c r="Q38" s="11">
        <f>gas_cost10713519232731[[#This Row],[ Index (m3)]] - gas_cost10713519232731[[#This Row],[Original index 
(m3)]]</f>
        <v>394</v>
      </c>
      <c r="R38" s="11">
        <f xml:space="preserve"> _xlfn.IFS(gas_cost10713519232731[[#This Row],[Consumption (m3)]] &lt;= R$4, 1, AND(R$4 &lt; gas_cost10713519232731[[#This Row],[Consumption (m3)]], gas_cost10713519232731[[#This Row],[Consumption (m3)]] &lt;= R$5), 2, AND(R$5 &lt; gas_cost10713519232731[[#This Row],[Consumption (m3)]], gas_cost10713519232731[[#This Row],[Consumption (m3)]] &lt;= R$6), 3, gas_cost10713519232731[[#This Row],[Consumption (m3)]] &gt; R$6, 4)</f>
        <v>3</v>
      </c>
      <c r="S38" s="12">
        <f>_xlfn.IFS(gas_cost10713519232731[[#This Row],[Level (Gas)]]= 1, (gas_cost10713519232731[[#This Row],[Consumption (m3)]] * S$4)/1000, gas_cost10713519232731[[#This Row],[Level (Gas)]] = 2, (gas_cost10713519232731[[#This Row],[Consumption (m3)]] * S$5)/1000,gas_cost10713519232731[[#This Row],[Level (Gas)]] = 3, (gas_cost10713519232731[[#This Row],[Consumption (m3)]] * S$6)/1000, gas_cost10713519232731[[#This Row],[Level (Gas)]] = 4, (gas_cost10713519232731[[#This Row],[Consumption (m3)]] * S$7)/1000)</f>
        <v>176.11799999999999</v>
      </c>
      <c r="T38" s="12">
        <f xml:space="preserve"> gas_cost10713519232731[[#This Row],[Gas Net cost to date
(TND)]]* (1 + E$5)</f>
        <v>207.81923999999998</v>
      </c>
      <c r="U38" s="12">
        <f>(gas_cost10713519232731[[#This Row],[Gas Cost to date  VAT included
(TND)
]] - T37)/_xlfn.DAYS(electricity_cost311418222630[[#This Row],[Date of reading 
(Elect + Gas)]], G37)</f>
        <v>4.2196799999999826</v>
      </c>
      <c r="V38" s="12">
        <f>(gas_cost10713519232731[[#This Row],[Consumption (m3)]] - Q37)/_xlfn.DAYS(electricity_cost311418222630[[#This Row],[Date of reading 
(Elect + Gas)]], G37)</f>
        <v>8</v>
      </c>
      <c r="W38" s="20">
        <f xml:space="preserve"> E$8 + ((electricity_cost311418222630[[#This Row],[Elect. Net cost to date
(TND)]] + E$6 + gas_cost10713519232731[[#This Row],[Gas Net cost to date
(TND)]] + E$7) * (1 + E$5))</f>
        <v>396.05477999999994</v>
      </c>
      <c r="X38" s="38">
        <v>390</v>
      </c>
    </row>
    <row r="39" spans="2:24" x14ac:dyDescent="0.25">
      <c r="C39" s="6"/>
      <c r="D39" s="55"/>
      <c r="F39" s="11"/>
      <c r="G39" s="6"/>
      <c r="H39" s="11"/>
      <c r="I39" s="12"/>
      <c r="J39" s="12"/>
      <c r="K39" s="12"/>
      <c r="L39" s="12"/>
      <c r="Q39" s="11"/>
      <c r="R39" s="11"/>
      <c r="S39" s="12"/>
      <c r="T39" s="12"/>
      <c r="U39" s="12"/>
      <c r="V39" s="12"/>
      <c r="W39" s="20"/>
      <c r="X39" s="38"/>
    </row>
    <row r="40" spans="2:24" x14ac:dyDescent="0.25">
      <c r="C40" s="6"/>
      <c r="D40" s="55"/>
      <c r="F40" s="11"/>
      <c r="G40" s="6"/>
      <c r="H40" s="11"/>
      <c r="I40" s="12"/>
      <c r="J40" s="12"/>
      <c r="K40" s="12"/>
      <c r="L40" s="12"/>
      <c r="Q40" s="11"/>
      <c r="R40" s="11"/>
      <c r="S40" s="12"/>
      <c r="T40" s="12"/>
      <c r="U40" s="12"/>
      <c r="V40" s="12"/>
      <c r="W40" s="20"/>
      <c r="X40" s="38"/>
    </row>
    <row r="41" spans="2:24" x14ac:dyDescent="0.25">
      <c r="Q41" s="11"/>
      <c r="R41" s="11"/>
      <c r="S41" s="12"/>
      <c r="T41" s="12"/>
      <c r="U41" s="12"/>
      <c r="V41" s="12"/>
      <c r="W41" s="20"/>
      <c r="X41" s="38"/>
    </row>
    <row r="42" spans="2:24" x14ac:dyDescent="0.25">
      <c r="Q42" s="11"/>
      <c r="R42" s="11"/>
      <c r="S42" s="12"/>
      <c r="T42" s="12"/>
      <c r="U42" s="12"/>
      <c r="V42" s="12"/>
      <c r="W42" s="20"/>
      <c r="X42" s="38"/>
    </row>
    <row r="43" spans="2:24" x14ac:dyDescent="0.25">
      <c r="Q43" s="11"/>
      <c r="R43" s="11"/>
      <c r="S43" s="12"/>
      <c r="T43" s="12"/>
      <c r="U43" s="12"/>
      <c r="V43" s="12"/>
      <c r="W43" s="20"/>
      <c r="X43" s="38"/>
    </row>
    <row r="44" spans="2:24" x14ac:dyDescent="0.25">
      <c r="Q44" s="11"/>
      <c r="R44" s="11"/>
      <c r="S44" s="12"/>
      <c r="T44" s="12"/>
      <c r="U44" s="12"/>
      <c r="V44" s="12"/>
      <c r="W44" s="20"/>
      <c r="X44" s="38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0B94-0773-43C0-BE74-30E9472DFF50}">
  <dimension ref="B2:Y45"/>
  <sheetViews>
    <sheetView topLeftCell="F11" zoomScale="85" zoomScaleNormal="85" workbookViewId="0">
      <selection activeCell="W38" sqref="W38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5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25.425781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43956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341</v>
      </c>
      <c r="T5" t="s">
        <v>71</v>
      </c>
      <c r="U5" s="19">
        <v>43956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29.4</v>
      </c>
      <c r="I6">
        <v>3</v>
      </c>
      <c r="J6">
        <v>1201</v>
      </c>
      <c r="K6">
        <v>2000</v>
      </c>
      <c r="L6">
        <v>290</v>
      </c>
      <c r="P6">
        <v>3</v>
      </c>
      <c r="Q6">
        <v>1</v>
      </c>
      <c r="R6">
        <v>600</v>
      </c>
      <c r="S6">
        <v>447</v>
      </c>
      <c r="T6" t="s">
        <v>65</v>
      </c>
    </row>
    <row r="7" spans="2:24" x14ac:dyDescent="0.25">
      <c r="D7" s="16" t="s">
        <v>15</v>
      </c>
      <c r="E7" s="14">
        <v>4.5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6.63</v>
      </c>
      <c r="F8" s="14"/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INDEX(electricity_cost31141822263034[Elect. Net cost to date
(TND)], COUNTA(I18:I38), 1) + E6</f>
        <v>151.57499999999999</v>
      </c>
      <c r="G10" s="67" t="s">
        <v>61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75</v>
      </c>
      <c r="I11" s="33" t="s">
        <v>73</v>
      </c>
      <c r="J11" s="33" t="s">
        <v>74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600</v>
      </c>
      <c r="I12" s="34">
        <v>600</v>
      </c>
      <c r="J12" s="51">
        <v>170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700</v>
      </c>
      <c r="I13" s="35">
        <v>800</v>
      </c>
      <c r="J13" s="52">
        <v>450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>
        <v>630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>
        <v>22908</v>
      </c>
      <c r="C18" s="6">
        <v>43840</v>
      </c>
      <c r="D18" s="54">
        <v>43956</v>
      </c>
      <c r="E18">
        <v>22908</v>
      </c>
      <c r="F18" s="11">
        <f>electricity_cost31141822263034[[#This Row],[ Index (KWh)]]-electricity_cost31141822263034[[#This Row],[Original index 
(KWh)]]</f>
        <v>0</v>
      </c>
      <c r="G18" s="6">
        <v>43840</v>
      </c>
      <c r="H18" s="2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18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0</v>
      </c>
      <c r="J18" s="10">
        <f xml:space="preserve"> (E$6 + electricity_cost31141822263034[[#This Row],[Elect. Net cost to date
(TND)]]) * (1 + E$5)</f>
        <v>34.691999999999993</v>
      </c>
      <c r="K18" s="12"/>
      <c r="L18" s="12"/>
      <c r="M18" s="11">
        <v>11322</v>
      </c>
      <c r="P18" s="11">
        <v>11322</v>
      </c>
      <c r="Q18" s="11">
        <f>gas_cost1071351923273135[[#This Row],[ Index (m3)]] - gas_cost1071351923273135[[#This Row],[Original index 
(m3)]]</f>
        <v>0</v>
      </c>
      <c r="R18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1</v>
      </c>
      <c r="S18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0</v>
      </c>
      <c r="T18" s="12">
        <f xml:space="preserve"> gas_cost1071351923273135[[#This Row],[Gas Net cost to date
(TND)]]* (1 + E$5)</f>
        <v>0</v>
      </c>
      <c r="U18" s="12"/>
      <c r="V18" s="12"/>
      <c r="W18" s="20">
        <f xml:space="preserve"> E$8 + ((electricity_cost31141822263034[[#This Row],[Elect. Net cost to date
(TND)]] + E$6 + gas_cost1071351923273135[[#This Row],[Gas Net cost to date
(TND)]] + E$7) * (1 + E$5))</f>
        <v>46.631999999999998</v>
      </c>
      <c r="X18" s="38"/>
      <c r="Y18" s="37"/>
    </row>
    <row r="19" spans="2:25" x14ac:dyDescent="0.25">
      <c r="B19">
        <v>22908</v>
      </c>
      <c r="C19" s="6">
        <v>43840</v>
      </c>
      <c r="D19" s="54">
        <v>43956</v>
      </c>
      <c r="E19">
        <v>22973</v>
      </c>
      <c r="F19" s="11">
        <f>electricity_cost31141822263034[[#This Row],[ Index (KWh)]]-electricity_cost31141822263034[[#This Row],[Original index 
(KWh)]]</f>
        <v>65</v>
      </c>
      <c r="G19" s="6">
        <v>43853</v>
      </c>
      <c r="H19" s="2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19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11.765000000000001</v>
      </c>
      <c r="J19" s="10">
        <f xml:space="preserve"> (E$6 + electricity_cost31141822263034[[#This Row],[Elect. Net cost to date
(TND)]]) * (1 + E$5)</f>
        <v>48.574699999999993</v>
      </c>
      <c r="K19" s="12">
        <f>(electricity_cost31141822263034[[#This Row],[Elect. Cost  VAT included
(TND)
]]-J18)/_xlfn.DAYS(electricity_cost31141822263034[[#This Row],[Date of reading 
(Elect + Gas)]], G18)</f>
        <v>1.0679000000000001</v>
      </c>
      <c r="L19" s="12">
        <f>(electricity_cost31141822263034[[#This Row],[Consumption to date (KWh)]] - F18)/_xlfn.DAYS(electricity_cost31141822263034[[#This Row],[Date of reading 
(Elect + Gas)]], G18)</f>
        <v>5</v>
      </c>
      <c r="M19">
        <v>11322</v>
      </c>
      <c r="P19">
        <v>11443</v>
      </c>
      <c r="Q19" s="11">
        <f>gas_cost1071351923273135[[#This Row],[ Index (m3)]] - gas_cost1071351923273135[[#This Row],[Original index 
(m3)]]</f>
        <v>121</v>
      </c>
      <c r="R19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2</v>
      </c>
      <c r="S19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41.261000000000003</v>
      </c>
      <c r="T19" s="12">
        <f xml:space="preserve"> gas_cost1071351923273135[[#This Row],[Gas Net cost to date
(TND)]]* (1 + E$5)</f>
        <v>48.687980000000003</v>
      </c>
      <c r="U19" s="12">
        <f>(gas_cost1071351923273135[[#This Row],[Gas Cost to date  VAT included
(TND)
]] - T18)/_xlfn.DAYS(electricity_cost31141822263034[[#This Row],[Date of reading 
(Elect + Gas)]], G18)</f>
        <v>3.745229230769231</v>
      </c>
      <c r="V19" s="12">
        <f>(gas_cost1071351923273135[[#This Row],[Consumption (m3)]] - Q18)/_xlfn.DAYS(electricity_cost31141822263034[[#This Row],[Date of reading 
(Elect + Gas)]], G18)</f>
        <v>9.3076923076923084</v>
      </c>
      <c r="W19" s="20">
        <f xml:space="preserve"> E$8 + ((electricity_cost31141822263034[[#This Row],[Elect. Net cost to date
(TND)]] + E$6 + gas_cost1071351923273135[[#This Row],[Gas Net cost to date
(TND)]] + E$7) * (1 + E$5))</f>
        <v>109.20267999999999</v>
      </c>
      <c r="X19" s="38"/>
    </row>
    <row r="20" spans="2:25" x14ac:dyDescent="0.25">
      <c r="B20">
        <v>22908</v>
      </c>
      <c r="C20" s="6">
        <v>43840</v>
      </c>
      <c r="D20" s="54">
        <v>43956</v>
      </c>
      <c r="E20">
        <v>23078</v>
      </c>
      <c r="F20" s="11">
        <f>electricity_cost31141822263034[[#This Row],[ Index (KWh)]]-electricity_cost31141822263034[[#This Row],[Original index 
(KWh)]]</f>
        <v>170</v>
      </c>
      <c r="G20" s="6">
        <v>43872</v>
      </c>
      <c r="H20" s="2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0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30.77</v>
      </c>
      <c r="J20" s="10">
        <f xml:space="preserve"> (E$6 + electricity_cost31141822263034[[#This Row],[Elect. Net cost to date
(TND)]]) * (1 + E$5)</f>
        <v>71.000599999999991</v>
      </c>
      <c r="K20" s="12">
        <f>(electricity_cost31141822263034[[#This Row],[Elect. Cost  VAT included
(TND)
]]-J19)/_xlfn.DAYS(electricity_cost31141822263034[[#This Row],[Date of reading 
(Elect + Gas)]], G19)</f>
        <v>1.1803105263157894</v>
      </c>
      <c r="L20" s="12">
        <f>(electricity_cost31141822263034[[#This Row],[Consumption to date (KWh)]] - F19)/_xlfn.DAYS(electricity_cost31141822263034[[#This Row],[Date of reading 
(Elect + Gas)]], G19)</f>
        <v>5.5263157894736841</v>
      </c>
      <c r="M20" s="11">
        <v>11322</v>
      </c>
      <c r="P20" s="11">
        <v>11515</v>
      </c>
      <c r="Q20" s="11">
        <f>gas_cost1071351923273135[[#This Row],[ Index (m3)]] - gas_cost1071351923273135[[#This Row],[Original index 
(m3)]]</f>
        <v>193</v>
      </c>
      <c r="R20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2</v>
      </c>
      <c r="S20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65.813000000000002</v>
      </c>
      <c r="T20" s="12">
        <f xml:space="preserve"> gas_cost1071351923273135[[#This Row],[Gas Net cost to date
(TND)]]* (1 + E$5)</f>
        <v>77.65934</v>
      </c>
      <c r="U20" s="12">
        <f>(gas_cost1071351923273135[[#This Row],[Gas Cost to date  VAT included
(TND)
]] - T19)/_xlfn.DAYS(electricity_cost31141822263034[[#This Row],[Date of reading 
(Elect + Gas)]], G19)</f>
        <v>1.5248084210526314</v>
      </c>
      <c r="V20" s="12">
        <f>(gas_cost1071351923273135[[#This Row],[Consumption (m3)]] - Q19)/_xlfn.DAYS(electricity_cost31141822263034[[#This Row],[Date of reading 
(Elect + Gas)]], G19)</f>
        <v>3.7894736842105261</v>
      </c>
      <c r="W20" s="20">
        <f xml:space="preserve"> E$8 + ((electricity_cost31141822263034[[#This Row],[Elect. Net cost to date
(TND)]] + E$6 + gas_cost1071351923273135[[#This Row],[Gas Net cost to date
(TND)]] + E$7) * (1 + E$5))</f>
        <v>160.59994</v>
      </c>
      <c r="X20" s="38"/>
    </row>
    <row r="21" spans="2:25" x14ac:dyDescent="0.25">
      <c r="B21">
        <v>22908</v>
      </c>
      <c r="C21" s="6">
        <v>43840</v>
      </c>
      <c r="D21" s="54">
        <v>43956</v>
      </c>
      <c r="E21">
        <v>23089</v>
      </c>
      <c r="F21" s="11">
        <f>electricity_cost31141822263034[[#This Row],[ Index (KWh)]]-electricity_cost31141822263034[[#This Row],[Original index 
(KWh)]]</f>
        <v>181</v>
      </c>
      <c r="G21" s="6">
        <v>43874</v>
      </c>
      <c r="H21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1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32.761000000000003</v>
      </c>
      <c r="J21" s="12">
        <f xml:space="preserve"> (E$6 + electricity_cost31141822263034[[#This Row],[Elect. Net cost to date
(TND)]]) * (1 + E$5)</f>
        <v>73.349980000000002</v>
      </c>
      <c r="K21" s="12">
        <f>(electricity_cost31141822263034[[#This Row],[Elect. Cost  VAT included
(TND)
]]-J20)/_xlfn.DAYS(electricity_cost31141822263034[[#This Row],[Date of reading 
(Elect + Gas)]], G20)</f>
        <v>1.1746900000000053</v>
      </c>
      <c r="L21" s="12">
        <f>(electricity_cost31141822263034[[#This Row],[Consumption to date (KWh)]] - F20)/_xlfn.DAYS(electricity_cost31141822263034[[#This Row],[Date of reading 
(Elect + Gas)]], G20)</f>
        <v>5.5</v>
      </c>
      <c r="M21">
        <v>11322</v>
      </c>
      <c r="P21">
        <v>11591</v>
      </c>
      <c r="Q21" s="11">
        <f>gas_cost1071351923273135[[#This Row],[ Index (m3)]] - gas_cost1071351923273135[[#This Row],[Original index 
(m3)]]</f>
        <v>269</v>
      </c>
      <c r="R21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3</v>
      </c>
      <c r="S21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120.24299999999999</v>
      </c>
      <c r="T21" s="12">
        <f xml:space="preserve"> gas_cost1071351923273135[[#This Row],[Gas Net cost to date
(TND)]]* (1 + E$5)</f>
        <v>141.88673999999997</v>
      </c>
      <c r="U21" s="12">
        <f>(gas_cost1071351923273135[[#This Row],[Gas Cost to date  VAT included
(TND)
]] - T20)/_xlfn.DAYS(electricity_cost31141822263034[[#This Row],[Date of reading 
(Elect + Gas)]], G20)</f>
        <v>32.113699999999987</v>
      </c>
      <c r="V21" s="12">
        <f>(gas_cost1071351923273135[[#This Row],[Consumption (m3)]] - Q20)/_xlfn.DAYS(electricity_cost31141822263034[[#This Row],[Date of reading 
(Elect + Gas)]], G20)</f>
        <v>38</v>
      </c>
      <c r="W21" s="20">
        <f xml:space="preserve"> E$8 + ((electricity_cost31141822263034[[#This Row],[Elect. Net cost to date
(TND)]] + E$6 + gas_cost1071351923273135[[#This Row],[Gas Net cost to date
(TND)]] + E$7) * (1 + E$5))</f>
        <v>227.17671999999999</v>
      </c>
      <c r="X21" s="38"/>
    </row>
    <row r="22" spans="2:25" x14ac:dyDescent="0.25">
      <c r="B22">
        <v>22908</v>
      </c>
      <c r="C22" s="6">
        <v>43840</v>
      </c>
      <c r="D22" s="54">
        <v>43956</v>
      </c>
      <c r="E22">
        <v>23121</v>
      </c>
      <c r="F22" s="11">
        <f>electricity_cost31141822263034[[#This Row],[ Index (KWh)]]-electricity_cost31141822263034[[#This Row],[Original index 
(KWh)]]</f>
        <v>213</v>
      </c>
      <c r="G22" s="6">
        <v>43880</v>
      </c>
      <c r="H22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2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38.552999999999997</v>
      </c>
      <c r="J22" s="12">
        <f xml:space="preserve"> (E$6 + electricity_cost31141822263034[[#This Row],[Elect. Net cost to date
(TND)]]) * (1 + E$5)</f>
        <v>80.184539999999998</v>
      </c>
      <c r="K22" s="12">
        <f>(electricity_cost31141822263034[[#This Row],[Elect. Cost  VAT included
(TND)
]]-J21)/_xlfn.DAYS(electricity_cost31141822263034[[#This Row],[Date of reading 
(Elect + Gas)]], G21)</f>
        <v>1.1390933333333326</v>
      </c>
      <c r="L22" s="12">
        <f>(electricity_cost31141822263034[[#This Row],[Consumption to date (KWh)]] - F21)/_xlfn.DAYS(electricity_cost31141822263034[[#This Row],[Date of reading 
(Elect + Gas)]], G21)</f>
        <v>5.333333333333333</v>
      </c>
      <c r="M22" s="11">
        <v>11322</v>
      </c>
      <c r="P22">
        <v>11625</v>
      </c>
      <c r="Q22" s="11">
        <f>gas_cost1071351923273135[[#This Row],[ Index (m3)]] - gas_cost1071351923273135[[#This Row],[Original index 
(m3)]]</f>
        <v>303</v>
      </c>
      <c r="R22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3</v>
      </c>
      <c r="S22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135.441</v>
      </c>
      <c r="T22" s="12">
        <f xml:space="preserve"> gas_cost1071351923273135[[#This Row],[Gas Net cost to date
(TND)]]* (1 + E$5)</f>
        <v>159.82038</v>
      </c>
      <c r="U22" s="12">
        <f>(gas_cost1071351923273135[[#This Row],[Gas Cost to date  VAT included
(TND)
]] - T21)/_xlfn.DAYS(electricity_cost31141822263034[[#This Row],[Date of reading 
(Elect + Gas)]], G21)</f>
        <v>2.9889400000000044</v>
      </c>
      <c r="V22" s="12">
        <f>(gas_cost1071351923273135[[#This Row],[Consumption (m3)]] - Q21)/_xlfn.DAYS(electricity_cost31141822263034[[#This Row],[Date of reading 
(Elect + Gas)]], G21)</f>
        <v>5.666666666666667</v>
      </c>
      <c r="W22" s="20">
        <f xml:space="preserve"> E$8 + ((electricity_cost31141822263034[[#This Row],[Elect. Net cost to date
(TND)]] + E$6 + gas_cost1071351923273135[[#This Row],[Gas Net cost to date
(TND)]] + E$7) * (1 + E$5))</f>
        <v>251.94492</v>
      </c>
      <c r="X22" s="38"/>
    </row>
    <row r="23" spans="2:25" x14ac:dyDescent="0.25">
      <c r="B23">
        <v>22908</v>
      </c>
      <c r="C23" s="6">
        <v>43840</v>
      </c>
      <c r="D23" s="54">
        <v>43956</v>
      </c>
      <c r="E23">
        <v>23195</v>
      </c>
      <c r="F23" s="11">
        <f>electricity_cost31141822263034[[#This Row],[ Index (KWh)]]-electricity_cost31141822263034[[#This Row],[Original index 
(KWh)]]</f>
        <v>287</v>
      </c>
      <c r="G23" s="6">
        <v>43889</v>
      </c>
      <c r="H23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3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51.947000000000003</v>
      </c>
      <c r="J23" s="12">
        <f xml:space="preserve"> (E$6 + electricity_cost31141822263034[[#This Row],[Elect. Net cost to date
(TND)]]) * (1 + E$5)</f>
        <v>95.989460000000008</v>
      </c>
      <c r="K23" s="12">
        <f>(electricity_cost31141822263034[[#This Row],[Elect. Cost  VAT included
(TND)
]]-J22)/_xlfn.DAYS(electricity_cost31141822263034[[#This Row],[Date of reading 
(Elect + Gas)]], G22)</f>
        <v>1.7561022222222233</v>
      </c>
      <c r="L23" s="12">
        <f>(electricity_cost31141822263034[[#This Row],[Consumption to date (KWh)]] - F22)/_xlfn.DAYS(electricity_cost31141822263034[[#This Row],[Date of reading 
(Elect + Gas)]], G22)</f>
        <v>8.2222222222222214</v>
      </c>
      <c r="M23">
        <v>11322</v>
      </c>
      <c r="P23">
        <v>11674</v>
      </c>
      <c r="Q23" s="11">
        <f>gas_cost1071351923273135[[#This Row],[ Index (m3)]] - gas_cost1071351923273135[[#This Row],[Original index 
(m3)]]</f>
        <v>352</v>
      </c>
      <c r="R23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3</v>
      </c>
      <c r="S23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157.34399999999999</v>
      </c>
      <c r="T23" s="12">
        <f xml:space="preserve"> gas_cost1071351923273135[[#This Row],[Gas Net cost to date
(TND)]]* (1 + E$5)</f>
        <v>185.66591999999997</v>
      </c>
      <c r="U23" s="12">
        <f>(gas_cost1071351923273135[[#This Row],[Gas Cost to date  VAT included
(TND)
]] - T22)/_xlfn.DAYS(electricity_cost31141822263034[[#This Row],[Date of reading 
(Elect + Gas)]], G22)</f>
        <v>2.8717266666666634</v>
      </c>
      <c r="V23" s="12">
        <f>(gas_cost1071351923273135[[#This Row],[Consumption (m3)]] - Q22)/_xlfn.DAYS(electricity_cost31141822263034[[#This Row],[Date of reading 
(Elect + Gas)]], G22)</f>
        <v>5.4444444444444446</v>
      </c>
      <c r="W23" s="20">
        <f xml:space="preserve"> E$8 + ((electricity_cost31141822263034[[#This Row],[Elect. Net cost to date
(TND)]] + E$6 + gas_cost1071351923273135[[#This Row],[Gas Net cost to date
(TND)]] + E$7) * (1 + E$5))</f>
        <v>293.59537999999998</v>
      </c>
      <c r="X23" s="38"/>
    </row>
    <row r="24" spans="2:25" x14ac:dyDescent="0.25">
      <c r="B24">
        <v>22908</v>
      </c>
      <c r="C24" s="6">
        <v>43840</v>
      </c>
      <c r="D24" s="54">
        <v>43956</v>
      </c>
      <c r="E24">
        <v>23201</v>
      </c>
      <c r="F24" s="11">
        <f>electricity_cost31141822263034[[#This Row],[ Index (KWh)]]-electricity_cost31141822263034[[#This Row],[Original index 
(KWh)]]</f>
        <v>293</v>
      </c>
      <c r="G24" s="6">
        <v>43893</v>
      </c>
      <c r="H24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4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53.033000000000001</v>
      </c>
      <c r="J24" s="12">
        <f xml:space="preserve"> (E$6 + electricity_cost31141822263034[[#This Row],[Elect. Net cost to date
(TND)]]) * (1 + E$5)</f>
        <v>97.270939999999982</v>
      </c>
      <c r="K24" s="12">
        <f>(electricity_cost31141822263034[[#This Row],[Elect. Cost  VAT included
(TND)
]]-J23)/_xlfn.DAYS(electricity_cost31141822263034[[#This Row],[Date of reading 
(Elect + Gas)]], G23)</f>
        <v>0.32036999999999338</v>
      </c>
      <c r="L24" s="12">
        <f>(electricity_cost31141822263034[[#This Row],[Consumption to date (KWh)]] - F23)/_xlfn.DAYS(electricity_cost31141822263034[[#This Row],[Date of reading 
(Elect + Gas)]], G23)</f>
        <v>1.5</v>
      </c>
      <c r="M24" s="11">
        <v>11322</v>
      </c>
      <c r="P24">
        <v>11681</v>
      </c>
      <c r="Q24" s="11">
        <f>gas_cost1071351923273135[[#This Row],[ Index (m3)]] - gas_cost1071351923273135[[#This Row],[Original index 
(m3)]]</f>
        <v>359</v>
      </c>
      <c r="R24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3</v>
      </c>
      <c r="S24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160.47300000000001</v>
      </c>
      <c r="T24" s="12">
        <f xml:space="preserve"> gas_cost1071351923273135[[#This Row],[Gas Net cost to date
(TND)]]* (1 + E$5)</f>
        <v>189.35813999999999</v>
      </c>
      <c r="U24" s="12">
        <f>(gas_cost1071351923273135[[#This Row],[Gas Cost to date  VAT included
(TND)
]] - T23)/_xlfn.DAYS(electricity_cost31141822263034[[#This Row],[Date of reading 
(Elect + Gas)]], G23)</f>
        <v>0.92305500000000507</v>
      </c>
      <c r="V24" s="12">
        <f>(gas_cost1071351923273135[[#This Row],[Consumption (m3)]] - Q23)/_xlfn.DAYS(electricity_cost31141822263034[[#This Row],[Date of reading 
(Elect + Gas)]], G23)</f>
        <v>1.75</v>
      </c>
      <c r="W24" s="20">
        <f xml:space="preserve"> E$8 + ((electricity_cost31141822263034[[#This Row],[Elect. Net cost to date
(TND)]] + E$6 + gas_cost1071351923273135[[#This Row],[Gas Net cost to date
(TND)]] + E$7) * (1 + E$5))</f>
        <v>298.56907999999999</v>
      </c>
      <c r="X24" s="38"/>
    </row>
    <row r="25" spans="2:25" x14ac:dyDescent="0.25">
      <c r="B25">
        <v>22908</v>
      </c>
      <c r="C25" s="6">
        <v>43840</v>
      </c>
      <c r="D25" s="54">
        <v>43956</v>
      </c>
      <c r="E25">
        <v>23409</v>
      </c>
      <c r="F25" s="11">
        <f>electricity_cost31141822263034[[#This Row],[ Index (KWh)]]-electricity_cost31141822263034[[#This Row],[Original index 
(KWh)]]</f>
        <v>501</v>
      </c>
      <c r="G25" s="6">
        <v>43928</v>
      </c>
      <c r="H25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5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90.680999999999997</v>
      </c>
      <c r="J25" s="12">
        <f xml:space="preserve"> (E$6 + electricity_cost31141822263034[[#This Row],[Elect. Net cost to date
(TND)]]) * (1 + E$5)</f>
        <v>141.69557999999998</v>
      </c>
      <c r="K25" s="12">
        <f>(electricity_cost31141822263034[[#This Row],[Elect. Cost  VAT included
(TND)
]]-J24)/_xlfn.DAYS(electricity_cost31141822263034[[#This Row],[Date of reading 
(Elect + Gas)]], G24)</f>
        <v>1.2692754285714285</v>
      </c>
      <c r="L25" s="12">
        <f>(electricity_cost31141822263034[[#This Row],[Consumption to date (KWh)]] - F24)/_xlfn.DAYS(electricity_cost31141822263034[[#This Row],[Date of reading 
(Elect + Gas)]], G24)</f>
        <v>5.9428571428571431</v>
      </c>
      <c r="M25">
        <v>11322</v>
      </c>
      <c r="P25">
        <v>11943</v>
      </c>
      <c r="Q25" s="11">
        <f>gas_cost1071351923273135[[#This Row],[ Index (m3)]] - gas_cost1071351923273135[[#This Row],[Original index 
(m3)]]</f>
        <v>621</v>
      </c>
      <c r="R25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25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312.98399999999998</v>
      </c>
      <c r="T25" s="12">
        <f xml:space="preserve"> gas_cost1071351923273135[[#This Row],[Gas Net cost to date
(TND)]]* (1 + E$5)</f>
        <v>369.32111999999995</v>
      </c>
      <c r="U25" s="12">
        <f>(gas_cost1071351923273135[[#This Row],[Gas Cost to date  VAT included
(TND)
]] - T24)/_xlfn.DAYS(electricity_cost31141822263034[[#This Row],[Date of reading 
(Elect + Gas)]], G24)</f>
        <v>5.141799428571427</v>
      </c>
      <c r="V25" s="12">
        <f>(gas_cost1071351923273135[[#This Row],[Consumption (m3)]] - Q24)/_xlfn.DAYS(electricity_cost31141822263034[[#This Row],[Date of reading 
(Elect + Gas)]], G24)</f>
        <v>7.4857142857142858</v>
      </c>
      <c r="W25" s="20">
        <f xml:space="preserve"> E$8 + ((electricity_cost31141822263034[[#This Row],[Elect. Net cost to date
(TND)]] + E$6 + gas_cost1071351923273135[[#This Row],[Gas Net cost to date
(TND)]] + E$7) * (1 + E$5))</f>
        <v>522.95669999999996</v>
      </c>
      <c r="X25" s="38"/>
    </row>
    <row r="26" spans="2:25" x14ac:dyDescent="0.25">
      <c r="B26">
        <v>22908</v>
      </c>
      <c r="C26" s="6">
        <v>43840</v>
      </c>
      <c r="D26" s="54">
        <v>43956</v>
      </c>
      <c r="E26">
        <v>23416</v>
      </c>
      <c r="F26" s="11">
        <f>electricity_cost31141822263034[[#This Row],[ Index (KWh)]]-electricity_cost31141822263034[[#This Row],[Original index 
(KWh)]]</f>
        <v>508</v>
      </c>
      <c r="G26" s="6">
        <v>43929</v>
      </c>
      <c r="H26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6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91.947999999999993</v>
      </c>
      <c r="J26" s="12">
        <f xml:space="preserve"> (E$6 + electricity_cost31141822263034[[#This Row],[Elect. Net cost to date
(TND)]]) * (1 + E$5)</f>
        <v>143.19063999999997</v>
      </c>
      <c r="K26" s="12">
        <f>(electricity_cost31141822263034[[#This Row],[Elect. Cost  VAT included
(TND)
]]-J25)/_xlfn.DAYS(electricity_cost31141822263034[[#This Row],[Date of reading 
(Elect + Gas)]], G25)</f>
        <v>1.4950599999999952</v>
      </c>
      <c r="L26" s="12">
        <f>(electricity_cost31141822263034[[#This Row],[Consumption to date (KWh)]] - F25)/_xlfn.DAYS(electricity_cost31141822263034[[#This Row],[Date of reading 
(Elect + Gas)]], G25)</f>
        <v>7</v>
      </c>
      <c r="M26" s="11">
        <v>11322</v>
      </c>
      <c r="P26">
        <v>11947</v>
      </c>
      <c r="Q26" s="11">
        <f>gas_cost1071351923273135[[#This Row],[ Index (m3)]] - gas_cost1071351923273135[[#This Row],[Original index 
(m3)]]</f>
        <v>625</v>
      </c>
      <c r="R26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26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315</v>
      </c>
      <c r="T26" s="12">
        <f xml:space="preserve"> gas_cost1071351923273135[[#This Row],[Gas Net cost to date
(TND)]]* (1 + E$5)</f>
        <v>371.7</v>
      </c>
      <c r="U26" s="12">
        <f>(gas_cost1071351923273135[[#This Row],[Gas Cost to date  VAT included
(TND)
]] - T25)/_xlfn.DAYS(electricity_cost31141822263034[[#This Row],[Date of reading 
(Elect + Gas)]], G25)</f>
        <v>2.3788800000000379</v>
      </c>
      <c r="V26" s="12">
        <f>(gas_cost1071351923273135[[#This Row],[Consumption (m3)]] - Q25)/_xlfn.DAYS(electricity_cost31141822263034[[#This Row],[Date of reading 
(Elect + Gas)]], G25)</f>
        <v>4</v>
      </c>
      <c r="W26" s="20">
        <f xml:space="preserve"> E$8 + ((electricity_cost31141822263034[[#This Row],[Elect. Net cost to date
(TND)]] + E$6 + gas_cost1071351923273135[[#This Row],[Gas Net cost to date
(TND)]] + E$7) * (1 + E$5))</f>
        <v>526.8306399999999</v>
      </c>
      <c r="X26" s="38"/>
    </row>
    <row r="27" spans="2:25" x14ac:dyDescent="0.25">
      <c r="B27">
        <v>22908</v>
      </c>
      <c r="C27" s="6">
        <v>43840</v>
      </c>
      <c r="D27" s="54">
        <v>43956</v>
      </c>
      <c r="E27">
        <v>23421</v>
      </c>
      <c r="F27" s="11">
        <f>electricity_cost31141822263034[[#This Row],[ Index (KWh)]]-electricity_cost31141822263034[[#This Row],[Original index 
(KWh)]]</f>
        <v>513</v>
      </c>
      <c r="G27" s="6">
        <v>43930</v>
      </c>
      <c r="H27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7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92.852999999999994</v>
      </c>
      <c r="J27" s="12">
        <f xml:space="preserve"> (E$6 + electricity_cost31141822263034[[#This Row],[Elect. Net cost to date
(TND)]]) * (1 + E$5)</f>
        <v>144.25853999999998</v>
      </c>
      <c r="K27" s="12">
        <f>(electricity_cost31141822263034[[#This Row],[Elect. Cost  VAT included
(TND)
]]-J26)/_xlfn.DAYS(electricity_cost31141822263034[[#This Row],[Date of reading 
(Elect + Gas)]], G26)</f>
        <v>1.0679000000000087</v>
      </c>
      <c r="L27" s="12">
        <f>(electricity_cost31141822263034[[#This Row],[Consumption to date (KWh)]] - F26)/_xlfn.DAYS(electricity_cost31141822263034[[#This Row],[Date of reading 
(Elect + Gas)]], G26)</f>
        <v>5</v>
      </c>
      <c r="M27">
        <v>11322</v>
      </c>
      <c r="P27">
        <v>11948</v>
      </c>
      <c r="Q27" s="11">
        <f>gas_cost1071351923273135[[#This Row],[ Index (m3)]] - gas_cost1071351923273135[[#This Row],[Original index 
(m3)]]</f>
        <v>626</v>
      </c>
      <c r="R27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27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315.50400000000002</v>
      </c>
      <c r="T27" s="12">
        <f xml:space="preserve"> gas_cost1071351923273135[[#This Row],[Gas Net cost to date
(TND)]]* (1 + E$5)</f>
        <v>372.29471999999998</v>
      </c>
      <c r="U27" s="12">
        <f>(gas_cost1071351923273135[[#This Row],[Gas Cost to date  VAT included
(TND)
]] - T26)/_xlfn.DAYS(electricity_cost31141822263034[[#This Row],[Date of reading 
(Elect + Gas)]], G26)</f>
        <v>0.59471999999999525</v>
      </c>
      <c r="V27" s="12">
        <f>(gas_cost1071351923273135[[#This Row],[Consumption (m3)]] - Q26)/_xlfn.DAYS(electricity_cost31141822263034[[#This Row],[Date of reading 
(Elect + Gas)]], G26)</f>
        <v>1</v>
      </c>
      <c r="W27" s="20">
        <f xml:space="preserve"> E$8 + ((electricity_cost31141822263034[[#This Row],[Elect. Net cost to date
(TND)]] + E$6 + gas_cost1071351923273135[[#This Row],[Gas Net cost to date
(TND)]] + E$7) * (1 + E$5))</f>
        <v>528.49325999999996</v>
      </c>
      <c r="X27" s="38"/>
    </row>
    <row r="28" spans="2:25" x14ac:dyDescent="0.25">
      <c r="B28">
        <v>22908</v>
      </c>
      <c r="C28" s="6">
        <v>43840</v>
      </c>
      <c r="D28" s="54">
        <v>43956</v>
      </c>
      <c r="E28">
        <v>23427</v>
      </c>
      <c r="F28" s="11">
        <f>electricity_cost31141822263034[[#This Row],[ Index (KWh)]]-electricity_cost31141822263034[[#This Row],[Original index 
(KWh)]]</f>
        <v>519</v>
      </c>
      <c r="G28" s="6">
        <v>43931</v>
      </c>
      <c r="H28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8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93.938999999999993</v>
      </c>
      <c r="J28" s="12">
        <f xml:space="preserve"> (E$6 + electricity_cost31141822263034[[#This Row],[Elect. Net cost to date
(TND)]]) * (1 + E$5)</f>
        <v>145.54002</v>
      </c>
      <c r="K28" s="12">
        <f>(electricity_cost31141822263034[[#This Row],[Elect. Cost  VAT included
(TND)
]]-J27)/_xlfn.DAYS(electricity_cost31141822263034[[#This Row],[Date of reading 
(Elect + Gas)]], G27)</f>
        <v>1.2814800000000162</v>
      </c>
      <c r="L28" s="12">
        <f>(electricity_cost31141822263034[[#This Row],[Consumption to date (KWh)]] - F27)/_xlfn.DAYS(electricity_cost31141822263034[[#This Row],[Date of reading 
(Elect + Gas)]], G27)</f>
        <v>6</v>
      </c>
      <c r="M28" s="11">
        <v>11322</v>
      </c>
      <c r="P28">
        <v>11954</v>
      </c>
      <c r="Q28" s="11">
        <f>gas_cost1071351923273135[[#This Row],[ Index (m3)]] - gas_cost1071351923273135[[#This Row],[Original index 
(m3)]]</f>
        <v>632</v>
      </c>
      <c r="R28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28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318.52800000000002</v>
      </c>
      <c r="T28" s="12">
        <f xml:space="preserve"> gas_cost1071351923273135[[#This Row],[Gas Net cost to date
(TND)]]* (1 + E$5)</f>
        <v>375.86304000000001</v>
      </c>
      <c r="U28" s="12">
        <f>(gas_cost1071351923273135[[#This Row],[Gas Cost to date  VAT included
(TND)
]] - T27)/_xlfn.DAYS(electricity_cost31141822263034[[#This Row],[Date of reading 
(Elect + Gas)]], G27)</f>
        <v>3.5683200000000284</v>
      </c>
      <c r="V28" s="12">
        <f>(gas_cost1071351923273135[[#This Row],[Consumption (m3)]] - Q27)/_xlfn.DAYS(electricity_cost31141822263034[[#This Row],[Date of reading 
(Elect + Gas)]], G27)</f>
        <v>6</v>
      </c>
      <c r="W28" s="20">
        <f xml:space="preserve"> E$8 + ((electricity_cost31141822263034[[#This Row],[Elect. Net cost to date
(TND)]] + E$6 + gas_cost1071351923273135[[#This Row],[Gas Net cost to date
(TND)]] + E$7) * (1 + E$5))</f>
        <v>533.34306000000004</v>
      </c>
      <c r="X28" s="38"/>
    </row>
    <row r="29" spans="2:25" x14ac:dyDescent="0.25">
      <c r="B29">
        <v>22908</v>
      </c>
      <c r="C29" s="6">
        <v>43840</v>
      </c>
      <c r="D29" s="54">
        <v>43956</v>
      </c>
      <c r="E29">
        <v>23433</v>
      </c>
      <c r="F29" s="11">
        <f>electricity_cost31141822263034[[#This Row],[ Index (KWh)]]-electricity_cost31141822263034[[#This Row],[Original index 
(KWh)]]</f>
        <v>525</v>
      </c>
      <c r="G29" s="6">
        <v>43932</v>
      </c>
      <c r="H29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29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95.025000000000006</v>
      </c>
      <c r="J29" s="12">
        <f xml:space="preserve"> (E$6 + electricity_cost31141822263034[[#This Row],[Elect. Net cost to date
(TND)]]) * (1 + E$5)</f>
        <v>146.82150000000001</v>
      </c>
      <c r="K29" s="12">
        <f>(electricity_cost31141822263034[[#This Row],[Elect. Cost  VAT included
(TND)
]]-J28)/_xlfn.DAYS(electricity_cost31141822263034[[#This Row],[Date of reading 
(Elect + Gas)]], G28)</f>
        <v>1.2814800000000162</v>
      </c>
      <c r="L29" s="12">
        <f>(electricity_cost31141822263034[[#This Row],[Consumption to date (KWh)]] - F28)/_xlfn.DAYS(electricity_cost31141822263034[[#This Row],[Date of reading 
(Elect + Gas)]], G28)</f>
        <v>6</v>
      </c>
      <c r="M29">
        <v>11322</v>
      </c>
      <c r="P29">
        <v>11958</v>
      </c>
      <c r="Q29" s="11">
        <f>gas_cost1071351923273135[[#This Row],[ Index (m3)]] - gas_cost1071351923273135[[#This Row],[Original index 
(m3)]]</f>
        <v>636</v>
      </c>
      <c r="R29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29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320.54399999999998</v>
      </c>
      <c r="T29" s="12">
        <f xml:space="preserve"> gas_cost1071351923273135[[#This Row],[Gas Net cost to date
(TND)]]* (1 + E$5)</f>
        <v>378.24191999999994</v>
      </c>
      <c r="U29" s="12">
        <f>(gas_cost1071351923273135[[#This Row],[Gas Cost to date  VAT included
(TND)
]] - T28)/_xlfn.DAYS(electricity_cost31141822263034[[#This Row],[Date of reading 
(Elect + Gas)]], G28)</f>
        <v>2.3788799999999242</v>
      </c>
      <c r="V29" s="12">
        <f>(gas_cost1071351923273135[[#This Row],[Consumption (m3)]] - Q28)/_xlfn.DAYS(electricity_cost31141822263034[[#This Row],[Date of reading 
(Elect + Gas)]], G28)</f>
        <v>4</v>
      </c>
      <c r="W29" s="20">
        <f xml:space="preserve"> E$8 + ((electricity_cost31141822263034[[#This Row],[Elect. Net cost to date
(TND)]] + E$6 + gas_cost1071351923273135[[#This Row],[Gas Net cost to date
(TND)]] + E$7) * (1 + E$5))</f>
        <v>537.00342000000001</v>
      </c>
      <c r="X29" s="38"/>
    </row>
    <row r="30" spans="2:25" x14ac:dyDescent="0.25">
      <c r="B30">
        <v>22908</v>
      </c>
      <c r="C30" s="6">
        <v>43840</v>
      </c>
      <c r="D30" s="54">
        <v>43956</v>
      </c>
      <c r="E30">
        <v>23456</v>
      </c>
      <c r="F30" s="11">
        <f>electricity_cost31141822263034[[#This Row],[ Index (KWh)]]-electricity_cost31141822263034[[#This Row],[Original index 
(KWh)]]</f>
        <v>548</v>
      </c>
      <c r="G30" s="6">
        <v>43936</v>
      </c>
      <c r="H30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30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99.188000000000002</v>
      </c>
      <c r="J30" s="12">
        <f xml:space="preserve"> (E$6 + electricity_cost31141822263034[[#This Row],[Elect. Net cost to date
(TND)]]) * (1 + E$5)</f>
        <v>151.73383999999999</v>
      </c>
      <c r="K30" s="12">
        <f>(electricity_cost31141822263034[[#This Row],[Elect. Cost  VAT included
(TND)
]]-J29)/_xlfn.DAYS(electricity_cost31141822263034[[#This Row],[Date of reading 
(Elect + Gas)]], G29)</f>
        <v>1.228084999999993</v>
      </c>
      <c r="L30" s="12">
        <f>(electricity_cost31141822263034[[#This Row],[Consumption to date (KWh)]] - F29)/_xlfn.DAYS(electricity_cost31141822263034[[#This Row],[Date of reading 
(Elect + Gas)]], G29)</f>
        <v>5.75</v>
      </c>
      <c r="M30" s="11">
        <v>11322</v>
      </c>
      <c r="P30">
        <v>11967</v>
      </c>
      <c r="Q30" s="11">
        <f>gas_cost1071351923273135[[#This Row],[ Index (m3)]] - gas_cost1071351923273135[[#This Row],[Original index 
(m3)]]</f>
        <v>645</v>
      </c>
      <c r="R30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30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325.08</v>
      </c>
      <c r="T30" s="12">
        <f xml:space="preserve"> gas_cost1071351923273135[[#This Row],[Gas Net cost to date
(TND)]]* (1 + E$5)</f>
        <v>383.59439999999995</v>
      </c>
      <c r="U30" s="12">
        <f>(gas_cost1071351923273135[[#This Row],[Gas Cost to date  VAT included
(TND)
]] - T29)/_xlfn.DAYS(electricity_cost31141822263034[[#This Row],[Date of reading 
(Elect + Gas)]], G29)</f>
        <v>1.3381200000000035</v>
      </c>
      <c r="V30" s="12">
        <f>(gas_cost1071351923273135[[#This Row],[Consumption (m3)]] - Q29)/_xlfn.DAYS(electricity_cost31141822263034[[#This Row],[Date of reading 
(Elect + Gas)]], G29)</f>
        <v>2.25</v>
      </c>
      <c r="W30" s="20">
        <f xml:space="preserve"> E$8 + ((electricity_cost31141822263034[[#This Row],[Elect. Net cost to date
(TND)]] + E$6 + gas_cost1071351923273135[[#This Row],[Gas Net cost to date
(TND)]] + E$7) * (1 + E$5))</f>
        <v>547.26823999999999</v>
      </c>
      <c r="X30" s="38"/>
    </row>
    <row r="31" spans="2:25" x14ac:dyDescent="0.25">
      <c r="B31">
        <v>22908</v>
      </c>
      <c r="C31" s="6">
        <v>43840</v>
      </c>
      <c r="D31" s="54">
        <v>43956</v>
      </c>
      <c r="E31">
        <v>23462</v>
      </c>
      <c r="F31" s="11">
        <f>electricity_cost31141822263034[[#This Row],[ Index (KWh)]]-electricity_cost31141822263034[[#This Row],[Original index 
(KWh)]]</f>
        <v>554</v>
      </c>
      <c r="G31" s="6">
        <v>43937</v>
      </c>
      <c r="H31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31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100.274</v>
      </c>
      <c r="J31" s="12">
        <f xml:space="preserve"> (E$6 + electricity_cost31141822263034[[#This Row],[Elect. Net cost to date
(TND)]]) * (1 + E$5)</f>
        <v>153.01532</v>
      </c>
      <c r="K31" s="12">
        <f>electricity_cost31141822263034[[#This Row],[Elect. Cost  VAT included
(TND)
]]-J30/(electricity_cost31141822263034[[#This Row],[Date of reading 
(Elect + Gas)]]-G30)</f>
        <v>1.2814800000000162</v>
      </c>
      <c r="L31" s="12">
        <f>(electricity_cost31141822263034[[#This Row],[Consumption to date (KWh)]] - F30)/_xlfn.DAYS(electricity_cost31141822263034[[#This Row],[Date of reading 
(Elect + Gas)]], G30)</f>
        <v>6</v>
      </c>
      <c r="M31" s="11">
        <v>11322</v>
      </c>
      <c r="P31">
        <v>11968</v>
      </c>
      <c r="Q31" s="11">
        <f>gas_cost1071351923273135[[#This Row],[ Index (m3)]] - gas_cost1071351923273135[[#This Row],[Original index 
(m3)]]</f>
        <v>646</v>
      </c>
      <c r="R31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31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325.584</v>
      </c>
      <c r="T31" s="12">
        <f xml:space="preserve"> gas_cost1071351923273135[[#This Row],[Gas Net cost to date
(TND)]]* (1 + E$5)</f>
        <v>384.18912</v>
      </c>
      <c r="U31" s="12">
        <f>(gas_cost1071351923273135[[#This Row],[Gas Cost to date  VAT included
(TND)
]] - T30)/_xlfn.DAYS(electricity_cost31141822263034[[#This Row],[Date of reading 
(Elect + Gas)]], G30)</f>
        <v>0.5947200000000521</v>
      </c>
      <c r="V31" s="12">
        <f>(gas_cost1071351923273135[[#This Row],[Consumption (m3)]] - Q30)/_xlfn.DAYS(electricity_cost31141822263034[[#This Row],[Date of reading 
(Elect + Gas)]], G30)</f>
        <v>1</v>
      </c>
      <c r="W31" s="20">
        <f xml:space="preserve"> E$8 + ((electricity_cost31141822263034[[#This Row],[Elect. Net cost to date
(TND)]] + E$6 + gas_cost1071351923273135[[#This Row],[Gas Net cost to date
(TND)]] + E$7) * (1 + E$5))</f>
        <v>549.14444000000003</v>
      </c>
      <c r="X31" s="38"/>
    </row>
    <row r="32" spans="2:25" x14ac:dyDescent="0.25">
      <c r="B32">
        <v>22908</v>
      </c>
      <c r="C32" s="6">
        <v>43840</v>
      </c>
      <c r="D32" s="54">
        <v>43956</v>
      </c>
      <c r="E32">
        <v>23474</v>
      </c>
      <c r="F32" s="11">
        <f>electricity_cost31141822263034[[#This Row],[ Index (KWh)]]-electricity_cost31141822263034[[#This Row],[Original index 
(KWh)]]</f>
        <v>566</v>
      </c>
      <c r="G32" s="6">
        <v>43939</v>
      </c>
      <c r="H32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32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102.446</v>
      </c>
      <c r="J32" s="12">
        <f xml:space="preserve"> (E$6 + electricity_cost31141822263034[[#This Row],[Elect. Net cost to date
(TND)]]) * (1 + E$5)</f>
        <v>155.57828000000001</v>
      </c>
      <c r="K32" s="12">
        <f>(electricity_cost31141822263034[[#This Row],[Elect. Cost  VAT included
(TND)
]]-J31)/_xlfn.DAYS(electricity_cost31141822263034[[#This Row],[Date of reading 
(Elect + Gas)]], G31)</f>
        <v>1.281480000000002</v>
      </c>
      <c r="L32" s="12">
        <f>(electricity_cost31141822263034[[#This Row],[Consumption to date (KWh)]] - F31)/_xlfn.DAYS(electricity_cost31141822263034[[#This Row],[Date of reading 
(Elect + Gas)]], G31)</f>
        <v>6</v>
      </c>
      <c r="M32">
        <v>11322</v>
      </c>
      <c r="P32">
        <v>11971</v>
      </c>
      <c r="Q32" s="11">
        <f>gas_cost1071351923273135[[#This Row],[ Index (m3)]] - gas_cost1071351923273135[[#This Row],[Original index 
(m3)]]</f>
        <v>649</v>
      </c>
      <c r="R32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32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327.096</v>
      </c>
      <c r="T32" s="12">
        <f xml:space="preserve"> gas_cost1071351923273135[[#This Row],[Gas Net cost to date
(TND)]]* (1 + E$5)</f>
        <v>385.97327999999999</v>
      </c>
      <c r="U32" s="12">
        <f>(gas_cost1071351923273135[[#This Row],[Gas Cost to date  VAT included
(TND)
]] - T31)/_xlfn.DAYS(electricity_cost31141822263034[[#This Row],[Date of reading 
(Elect + Gas)]], G31)</f>
        <v>0.89207999999999288</v>
      </c>
      <c r="V32" s="12">
        <f>(gas_cost1071351923273135[[#This Row],[Consumption (m3)]] - Q31)/_xlfn.DAYS(electricity_cost31141822263034[[#This Row],[Date of reading 
(Elect + Gas)]], G31)</f>
        <v>1.5</v>
      </c>
      <c r="W32" s="20">
        <f xml:space="preserve"> E$8 + ((electricity_cost31141822263034[[#This Row],[Elect. Net cost to date
(TND)]] + E$6 + gas_cost1071351923273135[[#This Row],[Gas Net cost to date
(TND)]] + E$7) * (1 + E$5))</f>
        <v>553.49155999999994</v>
      </c>
      <c r="X32" s="38"/>
    </row>
    <row r="33" spans="2:24" x14ac:dyDescent="0.25">
      <c r="B33">
        <v>22908</v>
      </c>
      <c r="C33" s="6">
        <v>43840</v>
      </c>
      <c r="D33" s="54">
        <v>43956</v>
      </c>
      <c r="E33">
        <v>23488</v>
      </c>
      <c r="F33" s="11">
        <f>electricity_cost31141822263034[[#This Row],[ Index (KWh)]]-electricity_cost31141822263034[[#This Row],[Original index 
(KWh)]]</f>
        <v>580</v>
      </c>
      <c r="G33" s="6">
        <v>43941</v>
      </c>
      <c r="H33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33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104.98</v>
      </c>
      <c r="J33" s="12">
        <f xml:space="preserve"> (E$6 + electricity_cost31141822263034[[#This Row],[Elect. Net cost to date
(TND)]]) * (1 + E$5)</f>
        <v>158.5684</v>
      </c>
      <c r="K33" s="12">
        <f>(electricity_cost31141822263034[[#This Row],[Elect. Cost  VAT included
(TND)
]]-J32)/_xlfn.DAYS(electricity_cost31141822263034[[#This Row],[Date of reading 
(Elect + Gas)]], G32)</f>
        <v>1.4950599999999952</v>
      </c>
      <c r="L33" s="12">
        <f>(electricity_cost31141822263034[[#This Row],[Consumption to date (KWh)]] - F32)/_xlfn.DAYS(electricity_cost31141822263034[[#This Row],[Date of reading 
(Elect + Gas)]], G32)</f>
        <v>7</v>
      </c>
      <c r="M33" s="11">
        <v>11322</v>
      </c>
      <c r="P33">
        <v>11974</v>
      </c>
      <c r="Q33" s="11">
        <f>gas_cost1071351923273135[[#This Row],[ Index (m3)]] - gas_cost1071351923273135[[#This Row],[Original index 
(m3)]]</f>
        <v>652</v>
      </c>
      <c r="R33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33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328.608</v>
      </c>
      <c r="T33" s="12">
        <f xml:space="preserve"> gas_cost1071351923273135[[#This Row],[Gas Net cost to date
(TND)]]* (1 + E$5)</f>
        <v>387.75743999999997</v>
      </c>
      <c r="U33" s="12">
        <f>(gas_cost1071351923273135[[#This Row],[Gas Cost to date  VAT included
(TND)
]] - T32)/_xlfn.DAYS(electricity_cost31141822263034[[#This Row],[Date of reading 
(Elect + Gas)]], G32)</f>
        <v>0.89207999999999288</v>
      </c>
      <c r="V33" s="12">
        <f>(gas_cost1071351923273135[[#This Row],[Consumption (m3)]] - Q32)/_xlfn.DAYS(electricity_cost31141822263034[[#This Row],[Date of reading 
(Elect + Gas)]], G32)</f>
        <v>1.5</v>
      </c>
      <c r="W33" s="20">
        <f xml:space="preserve"> E$8 + ((electricity_cost31141822263034[[#This Row],[Elect. Net cost to date
(TND)]] + E$6 + gas_cost1071351923273135[[#This Row],[Gas Net cost to date
(TND)]] + E$7) * (1 + E$5))</f>
        <v>558.26583999999991</v>
      </c>
      <c r="X33" s="38"/>
    </row>
    <row r="34" spans="2:24" x14ac:dyDescent="0.25">
      <c r="B34">
        <v>22908</v>
      </c>
      <c r="C34" s="6">
        <v>43840</v>
      </c>
      <c r="D34" s="54">
        <v>43956</v>
      </c>
      <c r="E34">
        <v>23499</v>
      </c>
      <c r="F34" s="11">
        <f>electricity_cost31141822263034[[#This Row],[ Index (KWh)]]-electricity_cost31141822263034[[#This Row],[Original index 
(KWh)]]</f>
        <v>591</v>
      </c>
      <c r="G34" s="6">
        <v>43943</v>
      </c>
      <c r="H34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34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106.971</v>
      </c>
      <c r="J34" s="12">
        <f xml:space="preserve"> (E$6 + electricity_cost31141822263034[[#This Row],[Elect. Net cost to date
(TND)]]) * (1 + E$5)</f>
        <v>160.91777999999999</v>
      </c>
      <c r="K34" s="12">
        <f>(electricity_cost31141822263034[[#This Row],[Elect. Cost  VAT included
(TND)
]]-J33)/_xlfn.DAYS(electricity_cost31141822263034[[#This Row],[Date of reading 
(Elect + Gas)]], G33)</f>
        <v>1.1746899999999982</v>
      </c>
      <c r="L34" s="12">
        <f>(electricity_cost31141822263034[[#This Row],[Consumption to date (KWh)]] - F33)/_xlfn.DAYS(electricity_cost31141822263034[[#This Row],[Date of reading 
(Elect + Gas)]], G33)</f>
        <v>5.5</v>
      </c>
      <c r="M34" s="11">
        <v>11322</v>
      </c>
      <c r="P34">
        <v>11976</v>
      </c>
      <c r="Q34" s="11">
        <f>gas_cost1071351923273135[[#This Row],[ Index (m3)]] - gas_cost1071351923273135[[#This Row],[Original index 
(m3)]]</f>
        <v>654</v>
      </c>
      <c r="R34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34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329.61599999999999</v>
      </c>
      <c r="T34" s="12">
        <f xml:space="preserve"> gas_cost1071351923273135[[#This Row],[Gas Net cost to date
(TND)]]* (1 + E$5)</f>
        <v>388.94687999999996</v>
      </c>
      <c r="U34" s="12">
        <f>(gas_cost1071351923273135[[#This Row],[Gas Cost to date  VAT included
(TND)
]] - T33)/_xlfn.DAYS(electricity_cost31141822263034[[#This Row],[Date of reading 
(Elect + Gas)]], G33)</f>
        <v>0.59471999999999525</v>
      </c>
      <c r="V34" s="12">
        <f>(gas_cost1071351923273135[[#This Row],[Consumption (m3)]] - Q33)/_xlfn.DAYS(electricity_cost31141822263034[[#This Row],[Date of reading 
(Elect + Gas)]], G33)</f>
        <v>1</v>
      </c>
      <c r="W34" s="20">
        <f xml:space="preserve"> E$8 + ((electricity_cost31141822263034[[#This Row],[Elect. Net cost to date
(TND)]] + E$6 + gas_cost1071351923273135[[#This Row],[Gas Net cost to date
(TND)]] + E$7) * (1 + E$5))</f>
        <v>561.8046599999999</v>
      </c>
      <c r="X34" s="38"/>
    </row>
    <row r="35" spans="2:24" x14ac:dyDescent="0.25">
      <c r="B35">
        <v>22908</v>
      </c>
      <c r="C35" s="6">
        <v>43840</v>
      </c>
      <c r="D35" s="54">
        <v>43956</v>
      </c>
      <c r="E35">
        <v>23520</v>
      </c>
      <c r="F35" s="11">
        <f>electricity_cost31141822263034[[#This Row],[ Index (KWh)]]-electricity_cost31141822263034[[#This Row],[Original index 
(KWh)]]</f>
        <v>612</v>
      </c>
      <c r="G35" s="6">
        <v>43946</v>
      </c>
      <c r="H35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35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110.77200000000001</v>
      </c>
      <c r="J35" s="12">
        <f xml:space="preserve"> (E$6 + electricity_cost31141822263034[[#This Row],[Elect. Net cost to date
(TND)]]) * (1 + E$5)</f>
        <v>165.40295999999998</v>
      </c>
      <c r="K35" s="12">
        <f>(electricity_cost31141822263034[[#This Row],[Elect. Cost  VAT included
(TND)
]]-J34)/_xlfn.DAYS(electricity_cost31141822263034[[#This Row],[Date of reading 
(Elect + Gas)]], G34)</f>
        <v>1.4950599999999952</v>
      </c>
      <c r="L35" s="12">
        <f>(electricity_cost31141822263034[[#This Row],[Consumption to date (KWh)]] - F34)/_xlfn.DAYS(electricity_cost31141822263034[[#This Row],[Date of reading 
(Elect + Gas)]], G34)</f>
        <v>7</v>
      </c>
      <c r="M35" s="11">
        <v>11322</v>
      </c>
      <c r="P35">
        <v>11980</v>
      </c>
      <c r="Q35" s="11">
        <f>gas_cost1071351923273135[[#This Row],[ Index (m3)]] - gas_cost1071351923273135[[#This Row],[Original index 
(m3)]]</f>
        <v>658</v>
      </c>
      <c r="R35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35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331.63200000000001</v>
      </c>
      <c r="T35" s="12">
        <f xml:space="preserve"> gas_cost1071351923273135[[#This Row],[Gas Net cost to date
(TND)]]* (1 + E$5)</f>
        <v>391.32576</v>
      </c>
      <c r="U35" s="12">
        <f>(gas_cost1071351923273135[[#This Row],[Gas Cost to date  VAT included
(TND)
]] - T34)/_xlfn.DAYS(electricity_cost31141822263034[[#This Row],[Date of reading 
(Elect + Gas)]], G34)</f>
        <v>0.79296000000001265</v>
      </c>
      <c r="V35" s="12">
        <f>(gas_cost1071351923273135[[#This Row],[Consumption (m3)]] - Q34)/_xlfn.DAYS(electricity_cost31141822263034[[#This Row],[Date of reading 
(Elect + Gas)]], G34)</f>
        <v>1.3333333333333333</v>
      </c>
      <c r="W35" s="20">
        <f xml:space="preserve"> E$8 + ((electricity_cost31141822263034[[#This Row],[Elect. Net cost to date
(TND)]] + E$6 + gas_cost1071351923273135[[#This Row],[Gas Net cost to date
(TND)]] + E$7) * (1 + E$5))</f>
        <v>568.66871999999989</v>
      </c>
      <c r="X35" s="38"/>
    </row>
    <row r="36" spans="2:24" x14ac:dyDescent="0.25">
      <c r="B36">
        <v>22908</v>
      </c>
      <c r="C36" s="6">
        <v>43840</v>
      </c>
      <c r="D36" s="54">
        <v>43956</v>
      </c>
      <c r="E36">
        <v>23538</v>
      </c>
      <c r="F36" s="11">
        <f>electricity_cost31141822263034[[#This Row],[ Index (KWh)]]-electricity_cost31141822263034[[#This Row],[Original index 
(KWh)]]</f>
        <v>630</v>
      </c>
      <c r="G36" s="6">
        <v>43949</v>
      </c>
      <c r="H36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36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114.03</v>
      </c>
      <c r="J36" s="12">
        <f xml:space="preserve"> (E$6 + electricity_cost31141822263034[[#This Row],[Elect. Net cost to date
(TND)]]) * (1 + E$5)</f>
        <v>169.2474</v>
      </c>
      <c r="K36" s="12">
        <f>(electricity_cost31141822263034[[#This Row],[Elect. Cost  VAT included
(TND)
]]-J35)/_xlfn.DAYS(electricity_cost31141822263034[[#This Row],[Date of reading 
(Elect + Gas)]], G35)</f>
        <v>1.2814800000000066</v>
      </c>
      <c r="L36" s="12">
        <f>(electricity_cost31141822263034[[#This Row],[Consumption to date (KWh)]] - F35)/_xlfn.DAYS(electricity_cost31141822263034[[#This Row],[Date of reading 
(Elect + Gas)]], G35)</f>
        <v>6</v>
      </c>
      <c r="M36" s="11">
        <v>11322</v>
      </c>
      <c r="P36">
        <v>11984</v>
      </c>
      <c r="Q36" s="11">
        <f>gas_cost1071351923273135[[#This Row],[ Index (m3)]] - gas_cost1071351923273135[[#This Row],[Original index 
(m3)]]</f>
        <v>662</v>
      </c>
      <c r="R36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36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333.64800000000002</v>
      </c>
      <c r="T36" s="12">
        <f xml:space="preserve"> gas_cost1071351923273135[[#This Row],[Gas Net cost to date
(TND)]]* (1 + E$5)</f>
        <v>393.70463999999998</v>
      </c>
      <c r="U36" s="12">
        <f>(gas_cost1071351923273135[[#This Row],[Gas Cost to date  VAT included
(TND)
]] - T35)/_xlfn.DAYS(electricity_cost31141822263034[[#This Row],[Date of reading 
(Elect + Gas)]], G35)</f>
        <v>0.79295999999999367</v>
      </c>
      <c r="V36" s="12">
        <f>(gas_cost1071351923273135[[#This Row],[Consumption (m3)]] - Q35)/_xlfn.DAYS(electricity_cost31141822263034[[#This Row],[Date of reading 
(Elect + Gas)]], G35)</f>
        <v>1.3333333333333333</v>
      </c>
      <c r="W36" s="20">
        <f xml:space="preserve"> E$8 + ((electricity_cost31141822263034[[#This Row],[Elect. Net cost to date
(TND)]] + E$6 + gas_cost1071351923273135[[#This Row],[Gas Net cost to date
(TND)]] + E$7) * (1 + E$5))</f>
        <v>574.89203999999995</v>
      </c>
      <c r="X36" s="38"/>
    </row>
    <row r="37" spans="2:24" x14ac:dyDescent="0.25">
      <c r="B37">
        <v>22908</v>
      </c>
      <c r="C37" s="6">
        <v>43840</v>
      </c>
      <c r="D37" s="54">
        <v>43956</v>
      </c>
      <c r="E37">
        <v>23578</v>
      </c>
      <c r="F37" s="11">
        <f>electricity_cost31141822263034[[#This Row],[ Index (KWh)]]-electricity_cost31141822263034[[#This Row],[Original index 
(KWh)]]</f>
        <v>670</v>
      </c>
      <c r="G37" s="6">
        <v>43955</v>
      </c>
      <c r="H37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37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121.27</v>
      </c>
      <c r="J37" s="12">
        <f xml:space="preserve"> (E$6 + electricity_cost31141822263034[[#This Row],[Elect. Net cost to date
(TND)]]) * (1 + E$5)</f>
        <v>177.79059999999998</v>
      </c>
      <c r="K37" s="12">
        <f>(electricity_cost31141822263034[[#This Row],[Elect. Cost  VAT included
(TND)
]]-J36)/_xlfn.DAYS(electricity_cost31141822263034[[#This Row],[Date of reading 
(Elect + Gas)]], G36)</f>
        <v>1.4238666666666642</v>
      </c>
      <c r="L37" s="12">
        <f>(electricity_cost31141822263034[[#This Row],[Consumption to date (KWh)]] - F36)/_xlfn.DAYS(electricity_cost31141822263034[[#This Row],[Date of reading 
(Elect + Gas)]], G36)</f>
        <v>6.666666666666667</v>
      </c>
      <c r="M37" s="11">
        <v>11322</v>
      </c>
      <c r="P37">
        <v>11990</v>
      </c>
      <c r="Q37" s="11">
        <f>gas_cost1071351923273135[[#This Row],[ Index (m3)]] - gas_cost1071351923273135[[#This Row],[Original index 
(m3)]]</f>
        <v>668</v>
      </c>
      <c r="R37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37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336.67200000000003</v>
      </c>
      <c r="T37" s="12">
        <f xml:space="preserve"> gas_cost1071351923273135[[#This Row],[Gas Net cost to date
(TND)]]* (1 + E$5)</f>
        <v>397.27296000000001</v>
      </c>
      <c r="U37" s="12">
        <f>(gas_cost1071351923273135[[#This Row],[Gas Cost to date  VAT included
(TND)
]] - T36)/_xlfn.DAYS(electricity_cost31141822263034[[#This Row],[Date of reading 
(Elect + Gas)]], G36)</f>
        <v>0.59472000000000469</v>
      </c>
      <c r="V37" s="12">
        <f>(gas_cost1071351923273135[[#This Row],[Consumption (m3)]] - Q36)/_xlfn.DAYS(electricity_cost31141822263034[[#This Row],[Date of reading 
(Elect + Gas)]], G36)</f>
        <v>1</v>
      </c>
      <c r="W37" s="20">
        <f xml:space="preserve"> E$8 + ((electricity_cost31141822263034[[#This Row],[Elect. Net cost to date
(TND)]] + E$6 + gas_cost1071351923273135[[#This Row],[Gas Net cost to date
(TND)]] + E$7) * (1 + E$5))</f>
        <v>587.00355999999999</v>
      </c>
      <c r="X37" s="38"/>
    </row>
    <row r="38" spans="2:24" x14ac:dyDescent="0.25">
      <c r="B38">
        <v>22908</v>
      </c>
      <c r="C38" s="6">
        <v>43840</v>
      </c>
      <c r="D38" s="54">
        <v>43956</v>
      </c>
      <c r="E38">
        <v>23583</v>
      </c>
      <c r="F38" s="11">
        <f>electricity_cost31141822263034[[#This Row],[ Index (KWh)]]-electricity_cost31141822263034[[#This Row],[Original index 
(KWh)]]</f>
        <v>675</v>
      </c>
      <c r="G38" s="6">
        <v>43956</v>
      </c>
      <c r="H38" s="11">
        <f xml:space="preserve"> _xlfn.IFS(electricity_cost31141822263034[[#This Row],[Consumption to date (KWh)]] &lt;= K$4, 1, AND(K$4 &lt; electricity_cost31141822263034[[#This Row],[Consumption to date (KWh)]],  electricity_cost31141822263034[[#This Row],[Consumption to date (KWh)]]&lt;= K$5), 2, AND(K$5 &lt; electricity_cost31141822263034[[#This Row],[Consumption to date (KWh)]],  electricity_cost31141822263034[[#This Row],[Consumption to date (KWh)]]&lt;= K$6), 3, electricity_cost31141822263034[[#This Row],[Consumption to date (KWh)]] &gt; K$6, 4)</f>
        <v>1</v>
      </c>
      <c r="I38" s="12">
        <f>_xlfn.IFS(electricity_cost31141822263034[[#This Row],[Level (Elect)]]= 1, (electricity_cost31141822263034[[#This Row],[Consumption to date (KWh)]] * L$4)/1000, electricity_cost31141822263034[[#This Row],[Level (Elect)]] = 2, (K$4 * L$4 +((electricity_cost31141822263034[[#This Row],[Consumption to date (KWh)]] - K$4) * L$5))/1000,electricity_cost31141822263034[[#This Row],[Level (Elect)]] = 3, (K$4 * L$4 + (K$5-J$5) * L$5 + ((electricity_cost31141822263034[[#This Row],[Consumption to date (KWh)]] - K$5) * L$6))/1000, electricity_cost31141822263034[[#This Row],[Level (Elect)]] = 4, (K$4 * L$4 + (K$5-J$5) * L$5 + (K$6-J$6) * L$6 + ((electricity_cost31141822263034[[#This Row],[Consumption to date (KWh)]] - K$6) * L$7))/1000)</f>
        <v>122.175</v>
      </c>
      <c r="J38" s="12">
        <f xml:space="preserve"> (E$6 + electricity_cost31141822263034[[#This Row],[Elect. Net cost to date
(TND)]]) * (1 + E$5)</f>
        <v>178.85849999999996</v>
      </c>
      <c r="K38" s="12">
        <f>(electricity_cost31141822263034[[#This Row],[Elect. Cost  VAT included
(TND)
]]-J37)/_xlfn.DAYS(electricity_cost31141822263034[[#This Row],[Date of reading 
(Elect + Gas)]], G37)</f>
        <v>1.0678999999999803</v>
      </c>
      <c r="L38" s="12">
        <f>(electricity_cost31141822263034[[#This Row],[Consumption to date (KWh)]] - F37)/_xlfn.DAYS(electricity_cost31141822263034[[#This Row],[Date of reading 
(Elect + Gas)]], G37)</f>
        <v>5</v>
      </c>
      <c r="M38" s="11">
        <v>11322</v>
      </c>
      <c r="P38">
        <v>11996</v>
      </c>
      <c r="Q38" s="11">
        <f>gas_cost1071351923273135[[#This Row],[ Index (m3)]] - gas_cost1071351923273135[[#This Row],[Original index 
(m3)]]</f>
        <v>674</v>
      </c>
      <c r="R38" s="11">
        <f xml:space="preserve"> _xlfn.IFS(gas_cost1071351923273135[[#This Row],[Consumption (m3)]] &lt;= R$4, 1, AND(R$4 &lt; gas_cost1071351923273135[[#This Row],[Consumption (m3)]], gas_cost1071351923273135[[#This Row],[Consumption (m3)]] &lt;= R$5), 2, AND(R$5 &lt; gas_cost1071351923273135[[#This Row],[Consumption (m3)]], gas_cost1071351923273135[[#This Row],[Consumption (m3)]] &lt;= R$6), 3, gas_cost1071351923273135[[#This Row],[Consumption (m3)]] &gt; R$6, 4)</f>
        <v>4</v>
      </c>
      <c r="S38" s="12">
        <f>_xlfn.IFS(gas_cost1071351923273135[[#This Row],[Level (Gas)]]= 1, (gas_cost1071351923273135[[#This Row],[Consumption (m3)]] * S$4)/1000, gas_cost1071351923273135[[#This Row],[Level (Gas)]] = 2, (gas_cost1071351923273135[[#This Row],[Consumption (m3)]] * S$5)/1000,gas_cost1071351923273135[[#This Row],[Level (Gas)]] = 3, (gas_cost1071351923273135[[#This Row],[Consumption (m3)]] * S$6)/1000, gas_cost1071351923273135[[#This Row],[Level (Gas)]] = 4, (gas_cost1071351923273135[[#This Row],[Consumption (m3)]] * S$7)/1000)</f>
        <v>339.69600000000003</v>
      </c>
      <c r="T38" s="12">
        <f xml:space="preserve"> gas_cost1071351923273135[[#This Row],[Gas Net cost to date
(TND)]]* (1 + E$5)</f>
        <v>400.84127999999998</v>
      </c>
      <c r="U38" s="12">
        <f>(gas_cost1071351923273135[[#This Row],[Gas Cost to date  VAT included
(TND)
]] - T37)/_xlfn.DAYS(electricity_cost31141822263034[[#This Row],[Date of reading 
(Elect + Gas)]], G37)</f>
        <v>3.5683199999999715</v>
      </c>
      <c r="V38" s="12">
        <f>(gas_cost1071351923273135[[#This Row],[Consumption (m3)]] - Q37)/_xlfn.DAYS(electricity_cost31141822263034[[#This Row],[Date of reading 
(Elect + Gas)]], G37)</f>
        <v>6</v>
      </c>
      <c r="W38" s="20">
        <f xml:space="preserve"> E$8 + ((electricity_cost31141822263034[[#This Row],[Elect. Net cost to date
(TND)]] + E$6 + gas_cost1071351923273135[[#This Row],[Gas Net cost to date
(TND)]] + E$7) * (1 + E$5))</f>
        <v>591.63977999999997</v>
      </c>
      <c r="X38" s="38"/>
    </row>
    <row r="39" spans="2:24" x14ac:dyDescent="0.25">
      <c r="C39" s="6"/>
      <c r="D39" s="55"/>
      <c r="F39" s="11"/>
      <c r="G39" s="6"/>
      <c r="H39" s="11"/>
      <c r="I39" s="12"/>
      <c r="J39" s="12"/>
      <c r="K39" s="12"/>
      <c r="L39" s="12"/>
      <c r="M39" s="11"/>
      <c r="Q39" s="11"/>
      <c r="R39" s="11"/>
      <c r="S39" s="12"/>
      <c r="T39" s="12"/>
      <c r="U39" s="12"/>
      <c r="V39" s="12"/>
      <c r="W39" s="20"/>
      <c r="X39" s="38"/>
    </row>
    <row r="40" spans="2:24" x14ac:dyDescent="0.25">
      <c r="C40" s="6"/>
      <c r="D40" s="55"/>
      <c r="F40" s="11"/>
      <c r="G40" s="6"/>
      <c r="H40" s="11"/>
      <c r="I40" s="12"/>
      <c r="J40" s="12"/>
      <c r="K40" s="12"/>
      <c r="L40" s="12"/>
      <c r="M40" s="11"/>
      <c r="Q40" s="11"/>
      <c r="R40" s="11"/>
      <c r="S40" s="12"/>
      <c r="T40" s="12"/>
      <c r="U40" s="12"/>
      <c r="V40" s="12"/>
      <c r="W40" s="20"/>
      <c r="X40" s="38"/>
    </row>
    <row r="41" spans="2:24" x14ac:dyDescent="0.25">
      <c r="C41" s="6"/>
      <c r="D41" s="55"/>
      <c r="F41" s="11"/>
      <c r="G41" s="6"/>
      <c r="H41" s="11"/>
      <c r="I41" s="12"/>
      <c r="J41" s="12"/>
      <c r="K41" s="12"/>
      <c r="L41" s="12"/>
      <c r="M41" s="11"/>
      <c r="Q41" s="11"/>
      <c r="R41" s="11"/>
      <c r="S41" s="12"/>
      <c r="T41" s="12"/>
      <c r="U41" s="12"/>
      <c r="V41" s="12"/>
      <c r="W41" s="20"/>
      <c r="X41" s="38"/>
    </row>
    <row r="42" spans="2:24" x14ac:dyDescent="0.25">
      <c r="Q42" s="11"/>
      <c r="R42" s="11"/>
      <c r="S42" s="12"/>
      <c r="T42" s="12"/>
      <c r="U42" s="12"/>
      <c r="V42" s="12"/>
      <c r="W42" s="20"/>
      <c r="X42" s="20"/>
    </row>
    <row r="43" spans="2:24" x14ac:dyDescent="0.25">
      <c r="Q43" s="11"/>
      <c r="R43" s="11"/>
      <c r="S43" s="12"/>
      <c r="T43" s="12"/>
      <c r="U43" s="12"/>
      <c r="V43" s="12"/>
      <c r="W43" s="20"/>
      <c r="X43" s="20"/>
    </row>
    <row r="44" spans="2:24" x14ac:dyDescent="0.25">
      <c r="Q44" s="11"/>
      <c r="R44" s="11"/>
      <c r="S44" s="12"/>
      <c r="T44" s="12"/>
      <c r="U44" s="12"/>
      <c r="V44" s="12"/>
      <c r="W44" s="20"/>
      <c r="X44" s="20"/>
    </row>
    <row r="45" spans="2:24" x14ac:dyDescent="0.25">
      <c r="Q45" s="11"/>
      <c r="R45" s="11"/>
      <c r="S45" s="12"/>
      <c r="T45" s="12"/>
      <c r="U45" s="12"/>
      <c r="V45" s="12"/>
      <c r="W45" s="20"/>
      <c r="X45" s="20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811F-51E3-412B-9EB7-614A11F65B5C}">
  <dimension ref="B2:Y42"/>
  <sheetViews>
    <sheetView topLeftCell="B15" zoomScale="85" zoomScaleNormal="85" workbookViewId="0">
      <selection activeCell="G18" sqref="G18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7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25.425781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44082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341</v>
      </c>
      <c r="T5" t="s">
        <v>71</v>
      </c>
      <c r="U5" s="19">
        <v>44082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29.4</v>
      </c>
      <c r="I6">
        <v>3</v>
      </c>
      <c r="J6">
        <v>1201</v>
      </c>
      <c r="K6">
        <v>2000</v>
      </c>
      <c r="L6">
        <v>346</v>
      </c>
      <c r="P6">
        <v>3</v>
      </c>
      <c r="Q6">
        <v>1</v>
      </c>
      <c r="R6">
        <v>600</v>
      </c>
      <c r="S6">
        <v>447</v>
      </c>
      <c r="T6" t="s">
        <v>65</v>
      </c>
    </row>
    <row r="7" spans="2:24" x14ac:dyDescent="0.25">
      <c r="D7" s="16" t="s">
        <v>15</v>
      </c>
      <c r="E7" s="14">
        <v>4.5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6.63</v>
      </c>
      <c r="F8" s="14"/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INDEX(electricity_cost3114182226303438[Elect. Net cost to date
(TND)], COUNTA(I18:I37), 1) + E6</f>
        <v>273.21100000000001</v>
      </c>
      <c r="G10" s="67" t="s">
        <v>61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75</v>
      </c>
      <c r="I11" s="33" t="s">
        <v>73</v>
      </c>
      <c r="J11" s="33" t="s">
        <v>74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600</v>
      </c>
      <c r="I12" s="34">
        <v>600</v>
      </c>
      <c r="J12" s="51">
        <v>170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700</v>
      </c>
      <c r="I13" s="35">
        <v>800</v>
      </c>
      <c r="J13" s="52">
        <v>450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>
        <v>630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>
        <v>23583</v>
      </c>
      <c r="C18" s="6">
        <v>43956</v>
      </c>
      <c r="D18" s="54">
        <v>44082</v>
      </c>
      <c r="E18">
        <v>23583</v>
      </c>
      <c r="F18" s="11">
        <f>electricity_cost3114182226303438[[#This Row],[ Index (KWh)]]-electricity_cost3114182226303438[[#This Row],[Original index 
(KWh)]]</f>
        <v>0</v>
      </c>
      <c r="G18" s="6">
        <v>43956</v>
      </c>
      <c r="H18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18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0</v>
      </c>
      <c r="J18" s="10">
        <f xml:space="preserve"> (E$6 + electricity_cost3114182226303438[[#This Row],[Elect. Net cost to date
(TND)]]) * (1 + E$5)</f>
        <v>34.691999999999993</v>
      </c>
      <c r="K18" s="12"/>
      <c r="L18" s="12"/>
      <c r="M18" s="11">
        <v>11991</v>
      </c>
      <c r="P18" s="11">
        <v>11991</v>
      </c>
      <c r="Q18" s="11">
        <f>gas_cost107135192327313539[[#This Row],[ Index (m3)]] - gas_cost107135192327313539[[#This Row],[Original index 
(m3)]]</f>
        <v>0</v>
      </c>
      <c r="R18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18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0</v>
      </c>
      <c r="T18" s="12">
        <f xml:space="preserve"> gas_cost107135192327313539[[#This Row],[Gas Net cost to date
(TND)]]* (1 + E$5)</f>
        <v>0</v>
      </c>
      <c r="U18" s="12"/>
      <c r="V18" s="12"/>
      <c r="W18" s="20">
        <f xml:space="preserve"> E$8 + ((electricity_cost3114182226303438[[#This Row],[Elect. Net cost to date
(TND)]] + E$6 + gas_cost107135192327313539[[#This Row],[Gas Net cost to date
(TND)]] + E$7) * (1 + E$5))</f>
        <v>46.631999999999998</v>
      </c>
      <c r="X18" s="38"/>
      <c r="Y18" s="37"/>
    </row>
    <row r="19" spans="2:25" x14ac:dyDescent="0.25">
      <c r="B19">
        <v>23583</v>
      </c>
      <c r="C19" s="6">
        <v>43956</v>
      </c>
      <c r="D19" s="54">
        <v>44082</v>
      </c>
      <c r="E19">
        <v>23595</v>
      </c>
      <c r="F19" s="11">
        <f>electricity_cost3114182226303438[[#This Row],[ Index (KWh)]]-electricity_cost3114182226303438[[#This Row],[Original index 
(KWh)]]</f>
        <v>12</v>
      </c>
      <c r="G19" s="6">
        <v>43958</v>
      </c>
      <c r="H19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19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2.1720000000000002</v>
      </c>
      <c r="J19" s="10">
        <f xml:space="preserve"> (E$6 + electricity_cost3114182226303438[[#This Row],[Elect. Net cost to date
(TND)]]) * (1 + E$5)</f>
        <v>37.254959999999997</v>
      </c>
      <c r="K19" s="12">
        <f>(electricity_cost3114182226303438[[#This Row],[Elect. Cost  VAT included
(TND)
]]-J18)/_xlfn.DAYS(electricity_cost3114182226303438[[#This Row],[Date of reading 
(Elect + Gas)]], G18)</f>
        <v>1.281480000000002</v>
      </c>
      <c r="L19" s="12">
        <f>(electricity_cost3114182226303438[[#This Row],[Consumption to date (KWh)]] - F18)/_xlfn.DAYS(electricity_cost3114182226303438[[#This Row],[Date of reading 
(Elect + Gas)]], G18)</f>
        <v>6</v>
      </c>
      <c r="M19" s="11">
        <v>11991</v>
      </c>
      <c r="P19" s="11">
        <v>11992</v>
      </c>
      <c r="Q19" s="11">
        <f>gas_cost107135192327313539[[#This Row],[ Index (m3)]] - gas_cost107135192327313539[[#This Row],[Original index 
(m3)]]</f>
        <v>1</v>
      </c>
      <c r="R19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19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0.23100000000000001</v>
      </c>
      <c r="T19" s="12">
        <f xml:space="preserve"> gas_cost107135192327313539[[#This Row],[Gas Net cost to date
(TND)]]* (1 + E$5)</f>
        <v>0.27257999999999999</v>
      </c>
      <c r="U19" s="12">
        <f>(gas_cost107135192327313539[[#This Row],[Gas Cost to date  VAT included
(TND)
]] - T18)/_xlfn.DAYS(electricity_cost3114182226303438[[#This Row],[Date of reading 
(Elect + Gas)]], G18)</f>
        <v>0.13628999999999999</v>
      </c>
      <c r="V19" s="12">
        <f>(gas_cost107135192327313539[[#This Row],[Consumption (m3)]] - Q18)/_xlfn.DAYS(electricity_cost3114182226303438[[#This Row],[Date of reading 
(Elect + Gas)]], G18)</f>
        <v>0.5</v>
      </c>
      <c r="W19" s="20">
        <f xml:space="preserve"> E$8 + ((electricity_cost3114182226303438[[#This Row],[Elect. Net cost to date
(TND)]] + E$6 + gas_cost107135192327313539[[#This Row],[Gas Net cost to date
(TND)]] + E$7) * (1 + E$5))</f>
        <v>49.46754</v>
      </c>
      <c r="X19" s="38"/>
    </row>
    <row r="20" spans="2:25" x14ac:dyDescent="0.25">
      <c r="B20">
        <v>23583</v>
      </c>
      <c r="C20" s="6">
        <v>43956</v>
      </c>
      <c r="D20" s="54">
        <v>44082</v>
      </c>
      <c r="E20">
        <v>23653</v>
      </c>
      <c r="F20" s="11">
        <f>electricity_cost3114182226303438[[#This Row],[ Index (KWh)]]-electricity_cost3114182226303438[[#This Row],[Original index 
(KWh)]]</f>
        <v>70</v>
      </c>
      <c r="G20" s="6">
        <v>43967</v>
      </c>
      <c r="H20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20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12.67</v>
      </c>
      <c r="J20" s="10">
        <f xml:space="preserve"> (E$6 + electricity_cost3114182226303438[[#This Row],[Elect. Net cost to date
(TND)]]) * (1 + E$5)</f>
        <v>49.642599999999995</v>
      </c>
      <c r="K20" s="12">
        <f>(electricity_cost3114182226303438[[#This Row],[Elect. Cost  VAT included
(TND)
]]-J19)/_xlfn.DAYS(electricity_cost3114182226303438[[#This Row],[Date of reading 
(Elect + Gas)]], G19)</f>
        <v>1.3764044444444441</v>
      </c>
      <c r="L20" s="12">
        <f>(electricity_cost3114182226303438[[#This Row],[Consumption to date (KWh)]] - F19)/_xlfn.DAYS(electricity_cost3114182226303438[[#This Row],[Date of reading 
(Elect + Gas)]], G19)</f>
        <v>6.4444444444444446</v>
      </c>
      <c r="M20" s="11">
        <v>11991</v>
      </c>
      <c r="P20" s="11">
        <v>12001</v>
      </c>
      <c r="Q20" s="11">
        <f>gas_cost107135192327313539[[#This Row],[ Index (m3)]] - gas_cost107135192327313539[[#This Row],[Original index 
(m3)]]</f>
        <v>10</v>
      </c>
      <c r="R20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0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2.31</v>
      </c>
      <c r="T20" s="12">
        <f xml:space="preserve"> gas_cost107135192327313539[[#This Row],[Gas Net cost to date
(TND)]]* (1 + E$5)</f>
        <v>2.7258</v>
      </c>
      <c r="U20" s="12">
        <f>(gas_cost107135192327313539[[#This Row],[Gas Cost to date  VAT included
(TND)
]] - T19)/_xlfn.DAYS(electricity_cost3114182226303438[[#This Row],[Date of reading 
(Elect + Gas)]], G19)</f>
        <v>0.27257999999999999</v>
      </c>
      <c r="V20" s="12">
        <f>(gas_cost107135192327313539[[#This Row],[Consumption (m3)]] - Q19)/_xlfn.DAYS(electricity_cost3114182226303438[[#This Row],[Date of reading 
(Elect + Gas)]], G19)</f>
        <v>1</v>
      </c>
      <c r="W20" s="20">
        <f xml:space="preserve"> E$8 + ((electricity_cost3114182226303438[[#This Row],[Elect. Net cost to date
(TND)]] + E$6 + gas_cost107135192327313539[[#This Row],[Gas Net cost to date
(TND)]] + E$7) * (1 + E$5))</f>
        <v>64.308400000000006</v>
      </c>
      <c r="X20" s="38"/>
    </row>
    <row r="21" spans="2:25" x14ac:dyDescent="0.25">
      <c r="B21">
        <v>23583</v>
      </c>
      <c r="C21" s="6">
        <v>43956</v>
      </c>
      <c r="D21" s="54">
        <v>44082</v>
      </c>
      <c r="E21">
        <v>23776</v>
      </c>
      <c r="F21" s="11">
        <f>electricity_cost3114182226303438[[#This Row],[ Index (KWh)]]-electricity_cost3114182226303438[[#This Row],[Original index 
(KWh)]]</f>
        <v>193</v>
      </c>
      <c r="G21" s="6">
        <v>43990</v>
      </c>
      <c r="H21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21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34.933</v>
      </c>
      <c r="J21" s="10">
        <f xml:space="preserve"> (E$6 + electricity_cost3114182226303438[[#This Row],[Elect. Net cost to date
(TND)]]) * (1 + E$5)</f>
        <v>75.912939999999992</v>
      </c>
      <c r="K21" s="12">
        <f>(electricity_cost3114182226303438[[#This Row],[Elect. Cost  VAT included
(TND)
]]-J20)/_xlfn.DAYS(electricity_cost3114182226303438[[#This Row],[Date of reading 
(Elect + Gas)]], G20)</f>
        <v>1.1421886956521738</v>
      </c>
      <c r="L21" s="12">
        <f>(electricity_cost3114182226303438[[#This Row],[Consumption to date (KWh)]] - F20)/_xlfn.DAYS(electricity_cost3114182226303438[[#This Row],[Date of reading 
(Elect + Gas)]], G20)</f>
        <v>5.3478260869565215</v>
      </c>
      <c r="M21" s="11">
        <v>11991</v>
      </c>
      <c r="P21" s="11">
        <v>12020</v>
      </c>
      <c r="Q21" s="11">
        <f>gas_cost107135192327313539[[#This Row],[ Index (m3)]] - gas_cost107135192327313539[[#This Row],[Original index 
(m3)]]</f>
        <v>29</v>
      </c>
      <c r="R21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1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6.6989999999999998</v>
      </c>
      <c r="T21" s="12">
        <f xml:space="preserve"> gas_cost107135192327313539[[#This Row],[Gas Net cost to date
(TND)]]* (1 + E$5)</f>
        <v>7.9048199999999991</v>
      </c>
      <c r="U21" s="12">
        <f>(gas_cost107135192327313539[[#This Row],[Gas Cost to date  VAT included
(TND)
]] - T20)/_xlfn.DAYS(electricity_cost3114182226303438[[#This Row],[Date of reading 
(Elect + Gas)]], G20)</f>
        <v>0.22517478260869564</v>
      </c>
      <c r="V21" s="12">
        <f>(gas_cost107135192327313539[[#This Row],[Consumption (m3)]] - Q20)/_xlfn.DAYS(electricity_cost3114182226303438[[#This Row],[Date of reading 
(Elect + Gas)]], G20)</f>
        <v>0.82608695652173914</v>
      </c>
      <c r="W21" s="20">
        <f xml:space="preserve"> E$8 + ((electricity_cost3114182226303438[[#This Row],[Elect. Net cost to date
(TND)]] + E$6 + gas_cost107135192327313539[[#This Row],[Gas Net cost to date
(TND)]] + E$7) * (1 + E$5))</f>
        <v>95.75775999999999</v>
      </c>
      <c r="X21" s="38"/>
    </row>
    <row r="22" spans="2:25" x14ac:dyDescent="0.25">
      <c r="B22">
        <v>23583</v>
      </c>
      <c r="C22" s="6">
        <v>43956</v>
      </c>
      <c r="D22" s="54">
        <v>44082</v>
      </c>
      <c r="E22">
        <v>24101</v>
      </c>
      <c r="F22" s="11">
        <f>electricity_cost3114182226303438[[#This Row],[ Index (KWh)]]-electricity_cost3114182226303438[[#This Row],[Original index 
(KWh)]]</f>
        <v>518</v>
      </c>
      <c r="G22" s="6">
        <v>44028</v>
      </c>
      <c r="H22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22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93.757999999999996</v>
      </c>
      <c r="J22" s="10">
        <f xml:space="preserve"> (E$6 + electricity_cost3114182226303438[[#This Row],[Elect. Net cost to date
(TND)]]) * (1 + E$5)</f>
        <v>145.32643999999999</v>
      </c>
      <c r="K22" s="12">
        <f>(electricity_cost3114182226303438[[#This Row],[Elect. Cost  VAT included
(TND)
]]-J21)/_xlfn.DAYS(electricity_cost3114182226303438[[#This Row],[Date of reading 
(Elect + Gas)]], G21)</f>
        <v>1.826671052631579</v>
      </c>
      <c r="L22" s="12">
        <f>(electricity_cost3114182226303438[[#This Row],[Consumption to date (KWh)]] - F21)/_xlfn.DAYS(electricity_cost3114182226303438[[#This Row],[Date of reading 
(Elect + Gas)]], G21)</f>
        <v>8.5526315789473681</v>
      </c>
      <c r="M22" s="11">
        <v>11991</v>
      </c>
      <c r="P22" s="11">
        <v>12036</v>
      </c>
      <c r="Q22" s="11">
        <f>gas_cost107135192327313539[[#This Row],[ Index (m3)]] - gas_cost107135192327313539[[#This Row],[Original index 
(m3)]]</f>
        <v>45</v>
      </c>
      <c r="R22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2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10.395</v>
      </c>
      <c r="T22" s="12">
        <f xml:space="preserve"> gas_cost107135192327313539[[#This Row],[Gas Net cost to date
(TND)]]* (1 + E$5)</f>
        <v>12.266099999999998</v>
      </c>
      <c r="U22" s="12">
        <f>(gas_cost107135192327313539[[#This Row],[Gas Cost to date  VAT included
(TND)
]] - T21)/_xlfn.DAYS(electricity_cost3114182226303438[[#This Row],[Date of reading 
(Elect + Gas)]], G21)</f>
        <v>0.11477052631578945</v>
      </c>
      <c r="V22" s="12">
        <f>(gas_cost107135192327313539[[#This Row],[Consumption (m3)]] - Q21)/_xlfn.DAYS(electricity_cost3114182226303438[[#This Row],[Date of reading 
(Elect + Gas)]], G21)</f>
        <v>0.42105263157894735</v>
      </c>
      <c r="W22" s="20">
        <f xml:space="preserve"> E$8 + ((electricity_cost3114182226303438[[#This Row],[Elect. Net cost to date
(TND)]] + E$6 + gas_cost107135192327313539[[#This Row],[Gas Net cost to date
(TND)]] + E$7) * (1 + E$5))</f>
        <v>169.53253999999998</v>
      </c>
      <c r="X22" s="38"/>
    </row>
    <row r="23" spans="2:25" x14ac:dyDescent="0.25">
      <c r="B23">
        <v>23583</v>
      </c>
      <c r="C23" s="6">
        <v>43956</v>
      </c>
      <c r="D23" s="54">
        <v>44082</v>
      </c>
      <c r="E23">
        <v>24105</v>
      </c>
      <c r="F23" s="11">
        <f>electricity_cost3114182226303438[[#This Row],[ Index (KWh)]]-electricity_cost3114182226303438[[#This Row],[Original index 
(KWh)]]</f>
        <v>522</v>
      </c>
      <c r="G23" s="6">
        <v>44029</v>
      </c>
      <c r="H23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23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94.481999999999999</v>
      </c>
      <c r="J23" s="10">
        <f xml:space="preserve"> (E$6 + electricity_cost3114182226303438[[#This Row],[Elect. Net cost to date
(TND)]]) * (1 + E$5)</f>
        <v>146.18075999999999</v>
      </c>
      <c r="K23" s="12">
        <f>(electricity_cost3114182226303438[[#This Row],[Elect. Cost  VAT included
(TND)
]]-J22)/_xlfn.DAYS(electricity_cost3114182226303438[[#This Row],[Date of reading 
(Elect + Gas)]], G22)</f>
        <v>0.8543200000000013</v>
      </c>
      <c r="L23" s="12">
        <f>(electricity_cost3114182226303438[[#This Row],[Consumption to date (KWh)]] - F22)/_xlfn.DAYS(electricity_cost3114182226303438[[#This Row],[Date of reading 
(Elect + Gas)]], G22)</f>
        <v>4</v>
      </c>
      <c r="M23" s="11">
        <v>11991</v>
      </c>
      <c r="P23" s="11">
        <v>12036</v>
      </c>
      <c r="Q23" s="11">
        <f>gas_cost107135192327313539[[#This Row],[ Index (m3)]] - gas_cost107135192327313539[[#This Row],[Original index 
(m3)]]</f>
        <v>45</v>
      </c>
      <c r="R23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3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10.395</v>
      </c>
      <c r="T23" s="12">
        <f xml:space="preserve"> gas_cost107135192327313539[[#This Row],[Gas Net cost to date
(TND)]]* (1 + E$5)</f>
        <v>12.266099999999998</v>
      </c>
      <c r="U23" s="12">
        <f>(gas_cost107135192327313539[[#This Row],[Gas Cost to date  VAT included
(TND)
]] - T22)/_xlfn.DAYS(electricity_cost[[#This Row],[Date of reading 
(Elect)]], G22)</f>
        <v>0</v>
      </c>
      <c r="V23" s="12">
        <f>(gas_cost107135192327313539[[#This Row],[Consumption (m3)]] - Q22)/_xlfn.DAYS(electricity_cost311[[#This Row],[Date of reading 
(Elect + Gas)]], G22)</f>
        <v>0</v>
      </c>
      <c r="W23" s="20">
        <f xml:space="preserve"> E$8 + ((electricity_cost3114182226303438[[#This Row],[Elect. Net cost to date
(TND)]] + E$6 + gas_cost107135192327313539[[#This Row],[Gas Net cost to date
(TND)]] + E$7) * (1 + E$5))</f>
        <v>170.38686000000001</v>
      </c>
      <c r="X23" s="38"/>
    </row>
    <row r="24" spans="2:25" x14ac:dyDescent="0.25">
      <c r="B24">
        <v>23583</v>
      </c>
      <c r="C24" s="6">
        <v>43956</v>
      </c>
      <c r="D24" s="54">
        <v>44082</v>
      </c>
      <c r="E24">
        <v>24109</v>
      </c>
      <c r="F24" s="11">
        <f>electricity_cost3114182226303438[[#This Row],[ Index (KWh)]]-electricity_cost3114182226303438[[#This Row],[Original index 
(KWh)]]</f>
        <v>526</v>
      </c>
      <c r="G24" s="6">
        <v>44030</v>
      </c>
      <c r="H24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24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95.206000000000003</v>
      </c>
      <c r="J24" s="10">
        <f xml:space="preserve"> (E$6 + electricity_cost3114182226303438[[#This Row],[Elect. Net cost to date
(TND)]]) * (1 + E$5)</f>
        <v>147.03507999999999</v>
      </c>
      <c r="K24" s="12">
        <f>(electricity_cost3114182226303438[[#This Row],[Elect. Cost  VAT included
(TND)
]]-J23)/_xlfn.DAYS(electricity_cost3114182226303438[[#This Row],[Date of reading 
(Elect + Gas)]], G23)</f>
        <v>0.8543200000000013</v>
      </c>
      <c r="L24" s="12">
        <f>(electricity_cost3114182226303438[[#This Row],[Consumption to date (KWh)]] - F23)/_xlfn.DAYS(electricity_cost3114182226303438[[#This Row],[Date of reading 
(Elect + Gas)]], G23)</f>
        <v>4</v>
      </c>
      <c r="M24" s="11">
        <v>11991</v>
      </c>
      <c r="P24" s="11">
        <v>12036</v>
      </c>
      <c r="Q24" s="11">
        <f>gas_cost107135192327313539[[#This Row],[ Index (m3)]] - gas_cost107135192327313539[[#This Row],[Original index 
(m3)]]</f>
        <v>45</v>
      </c>
      <c r="R24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4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10.395</v>
      </c>
      <c r="T24" s="12">
        <f xml:space="preserve"> gas_cost107135192327313539[[#This Row],[Gas Net cost to date
(TND)]]* (1 + E$5)</f>
        <v>12.266099999999998</v>
      </c>
      <c r="U24" s="12">
        <f>(gas_cost107135192327313539[[#This Row],[Gas Cost to date  VAT included
(TND)
]] - T23)/_xlfn.DAYS(electricity_cost[[#This Row],[Date of reading 
(Elect)]], G23)</f>
        <v>0</v>
      </c>
      <c r="V24" s="12">
        <f>(gas_cost107135192327313539[[#This Row],[Consumption (m3)]] - Q23)/_xlfn.DAYS(electricity_cost311[[#This Row],[Date of reading 
(Elect + Gas)]], G23)</f>
        <v>0</v>
      </c>
      <c r="W24" s="20">
        <f xml:space="preserve"> E$8 + ((electricity_cost3114182226303438[[#This Row],[Elect. Net cost to date
(TND)]] + E$6 + gas_cost107135192327313539[[#This Row],[Gas Net cost to date
(TND)]] + E$7) * (1 + E$5))</f>
        <v>171.24117999999999</v>
      </c>
      <c r="X24" s="38"/>
    </row>
    <row r="25" spans="2:25" x14ac:dyDescent="0.25">
      <c r="B25">
        <v>23583</v>
      </c>
      <c r="C25" s="6">
        <v>43956</v>
      </c>
      <c r="D25" s="54">
        <v>44082</v>
      </c>
      <c r="E25">
        <v>24116</v>
      </c>
      <c r="F25" s="11">
        <f>electricity_cost3114182226303438[[#This Row],[ Index (KWh)]]-electricity_cost3114182226303438[[#This Row],[Original index 
(KWh)]]</f>
        <v>533</v>
      </c>
      <c r="G25" s="6">
        <v>44032</v>
      </c>
      <c r="H25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25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96.472999999999999</v>
      </c>
      <c r="J25" s="10">
        <f xml:space="preserve"> (E$6 + electricity_cost3114182226303438[[#This Row],[Elect. Net cost to date
(TND)]]) * (1 + E$5)</f>
        <v>148.53013999999999</v>
      </c>
      <c r="K25" s="12">
        <f>(electricity_cost3114182226303438[[#This Row],[Elect. Cost  VAT included
(TND)
]]-J24)/_xlfn.DAYS(electricity_cost3114182226303438[[#This Row],[Date of reading 
(Elect + Gas)]], G24)</f>
        <v>0.74752999999999759</v>
      </c>
      <c r="L25" s="12">
        <f>(electricity_cost3114182226303438[[#This Row],[Consumption to date (KWh)]] - F24)/_xlfn.DAYS(electricity_cost3114182226303438[[#This Row],[Date of reading 
(Elect + Gas)]], G24)</f>
        <v>3.5</v>
      </c>
      <c r="M25" s="11">
        <v>11991</v>
      </c>
      <c r="P25" s="11">
        <v>12037</v>
      </c>
      <c r="Q25" s="11">
        <f>gas_cost107135192327313539[[#This Row],[ Index (m3)]] - gas_cost107135192327313539[[#This Row],[Original index 
(m3)]]</f>
        <v>46</v>
      </c>
      <c r="R25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5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10.625999999999999</v>
      </c>
      <c r="T25" s="12">
        <f xml:space="preserve"> gas_cost107135192327313539[[#This Row],[Gas Net cost to date
(TND)]]* (1 + E$5)</f>
        <v>12.538679999999999</v>
      </c>
      <c r="U25" s="12">
        <f>(gas_cost107135192327313539[[#This Row],[Gas Cost to date  VAT included
(TND)
]] - T24)/_xlfn.DAYS(electricity_cost[[#This Row],[Date of reading 
(Elect)]], G24)</f>
        <v>-2.444663677130057E-4</v>
      </c>
      <c r="V25" s="12">
        <f>(gas_cost107135192327313539[[#This Row],[Consumption (m3)]] - Q24)/_xlfn.DAYS(electricity_cost311[[#This Row],[Date of reading 
(Elect + Gas)]], G24)</f>
        <v>-1.1025358324145535E-3</v>
      </c>
      <c r="W25" s="20">
        <f xml:space="preserve"> E$8 + ((electricity_cost3114182226303438[[#This Row],[Elect. Net cost to date
(TND)]] + E$6 + gas_cost107135192327313539[[#This Row],[Gas Net cost to date
(TND)]] + E$7) * (1 + E$5))</f>
        <v>173.00881999999999</v>
      </c>
      <c r="X25" s="38"/>
    </row>
    <row r="26" spans="2:25" x14ac:dyDescent="0.25">
      <c r="B26">
        <v>23583</v>
      </c>
      <c r="C26" s="6">
        <v>43956</v>
      </c>
      <c r="D26" s="54">
        <v>44082</v>
      </c>
      <c r="E26">
        <v>24145</v>
      </c>
      <c r="F26" s="11">
        <f>electricity_cost3114182226303438[[#This Row],[ Index (KWh)]]-electricity_cost3114182226303438[[#This Row],[Original index 
(KWh)]]</f>
        <v>562</v>
      </c>
      <c r="G26" s="6">
        <v>44037</v>
      </c>
      <c r="H26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26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101.72199999999999</v>
      </c>
      <c r="J26" s="10">
        <f xml:space="preserve"> (E$6 + electricity_cost3114182226303438[[#This Row],[Elect. Net cost to date
(TND)]]) * (1 + E$5)</f>
        <v>154.72395999999998</v>
      </c>
      <c r="K26" s="12">
        <f>(electricity_cost3114182226303438[[#This Row],[Elect. Cost  VAT included
(TND)
]]-J25)/_xlfn.DAYS(electricity_cost3114182226303438[[#This Row],[Date of reading 
(Elect + Gas)]], G25)</f>
        <v>1.2387639999999975</v>
      </c>
      <c r="L26" s="12">
        <f>(electricity_cost3114182226303438[[#This Row],[Consumption to date (KWh)]] - F25)/_xlfn.DAYS(electricity_cost3114182226303438[[#This Row],[Date of reading 
(Elect + Gas)]], G25)</f>
        <v>5.8</v>
      </c>
      <c r="M26" s="11">
        <v>11991</v>
      </c>
      <c r="P26" s="11">
        <v>12038</v>
      </c>
      <c r="Q26" s="11">
        <f>gas_cost107135192327313539[[#This Row],[ Index (m3)]] - gas_cost107135192327313539[[#This Row],[Original index 
(m3)]]</f>
        <v>47</v>
      </c>
      <c r="R26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6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10.856999999999999</v>
      </c>
      <c r="T26" s="12">
        <f xml:space="preserve"> gas_cost107135192327313539[[#This Row],[Gas Net cost to date
(TND)]]* (1 + E$5)</f>
        <v>12.811259999999999</v>
      </c>
      <c r="U26" s="12">
        <f>(gas_cost107135192327313539[[#This Row],[Gas Cost to date  VAT included
(TND)
]] - T25)/_xlfn.DAYS(electricity_cost[[#This Row],[Date of reading 
(Elect)]], G25)</f>
        <v>-2.4424731182795664E-4</v>
      </c>
      <c r="V26" s="12">
        <f>(gas_cost107135192327313539[[#This Row],[Consumption (m3)]] - Q25)/_xlfn.DAYS(electricity_cost311[[#This Row],[Date of reading 
(Elect + Gas)]], G25)</f>
        <v>-1.1025358324145535E-3</v>
      </c>
      <c r="W26" s="20">
        <f xml:space="preserve"> E$8 + ((electricity_cost3114182226303438[[#This Row],[Elect. Net cost to date
(TND)]] + E$6 + gas_cost107135192327313539[[#This Row],[Gas Net cost to date
(TND)]] + E$7) * (1 + E$5))</f>
        <v>179.47521999999998</v>
      </c>
      <c r="X26" s="38"/>
    </row>
    <row r="27" spans="2:25" x14ac:dyDescent="0.25">
      <c r="B27">
        <v>23583</v>
      </c>
      <c r="C27" s="6">
        <v>43956</v>
      </c>
      <c r="D27" s="54">
        <v>44082</v>
      </c>
      <c r="E27">
        <v>24322</v>
      </c>
      <c r="F27" s="11">
        <f>electricity_cost3114182226303438[[#This Row],[ Index (KWh)]]-electricity_cost3114182226303438[[#This Row],[Original index 
(KWh)]]</f>
        <v>739</v>
      </c>
      <c r="G27" s="6">
        <v>44053</v>
      </c>
      <c r="H27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1</v>
      </c>
      <c r="I27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133.75899999999999</v>
      </c>
      <c r="J27" s="10">
        <f xml:space="preserve"> (E$6 + electricity_cost3114182226303438[[#This Row],[Elect. Net cost to date
(TND)]]) * (1 + E$5)</f>
        <v>192.52761999999998</v>
      </c>
      <c r="K27" s="12">
        <f>(electricity_cost3114182226303438[[#This Row],[Elect. Cost  VAT included
(TND)
]]-J26)/_xlfn.DAYS(electricity_cost3114182226303438[[#This Row],[Date of reading 
(Elect + Gas)]], G26)</f>
        <v>2.3627287500000005</v>
      </c>
      <c r="L27" s="12">
        <f>(electricity_cost3114182226303438[[#This Row],[Consumption to date (KWh)]] - F26)/_xlfn.DAYS(electricity_cost3114182226303438[[#This Row],[Date of reading 
(Elect + Gas)]], G26)</f>
        <v>11.0625</v>
      </c>
      <c r="M27" s="11">
        <v>11991</v>
      </c>
      <c r="P27" s="11">
        <v>12044</v>
      </c>
      <c r="Q27" s="11">
        <f>gas_cost107135192327313539[[#This Row],[ Index (m3)]] - gas_cost107135192327313539[[#This Row],[Original index 
(m3)]]</f>
        <v>53</v>
      </c>
      <c r="R27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7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12.243</v>
      </c>
      <c r="T27" s="12">
        <f xml:space="preserve"> gas_cost107135192327313539[[#This Row],[Gas Net cost to date
(TND)]]* (1 + E$5)</f>
        <v>14.44674</v>
      </c>
      <c r="U27" s="12">
        <f>(gas_cost107135192327313539[[#This Row],[Gas Cost to date  VAT included
(TND)
]] - T26)/_xlfn.DAYS(electricity_cost3114182226303438[[#This Row],[Date of reading 
(Elect + Gas)]], G26)</f>
        <v>0.10221750000000007</v>
      </c>
      <c r="V27" s="12">
        <f>(gas_cost107135192327313539[[#This Row],[Consumption (m3)]] - Q26)/_xlfn.DAYS(electricity_cost3114182226303438[[#This Row],[Date of reading 
(Elect + Gas)]], G26)</f>
        <v>0.375</v>
      </c>
      <c r="W27" s="20">
        <f xml:space="preserve"> E$8 + ((electricity_cost3114182226303438[[#This Row],[Elect. Net cost to date
(TND)]] + E$6 + gas_cost107135192327313539[[#This Row],[Gas Net cost to date
(TND)]] + E$7) * (1 + E$5))</f>
        <v>218.91435999999996</v>
      </c>
      <c r="X27" s="38"/>
    </row>
    <row r="28" spans="2:25" x14ac:dyDescent="0.25">
      <c r="B28">
        <v>23583</v>
      </c>
      <c r="C28" s="6">
        <v>43956</v>
      </c>
      <c r="D28" s="54">
        <v>44082</v>
      </c>
      <c r="E28">
        <v>24490</v>
      </c>
      <c r="F28" s="11">
        <f>electricity_cost3114182226303438[[#This Row],[ Index (KWh)]]-electricity_cost3114182226303438[[#This Row],[Original index 
(KWh)]]</f>
        <v>907</v>
      </c>
      <c r="G28" s="6">
        <v>44060</v>
      </c>
      <c r="H28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2</v>
      </c>
      <c r="I28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168.661</v>
      </c>
      <c r="J28" s="10">
        <f xml:space="preserve"> (E$6 + electricity_cost3114182226303438[[#This Row],[Elect. Net cost to date
(TND)]]) * (1 + E$5)</f>
        <v>233.71197999999998</v>
      </c>
      <c r="K28" s="12">
        <f>(electricity_cost3114182226303438[[#This Row],[Elect. Cost  VAT included
(TND)
]]-J27)/_xlfn.DAYS(electricity_cost3114182226303438[[#This Row],[Date of reading 
(Elect + Gas)]], G27)</f>
        <v>5.8834799999999996</v>
      </c>
      <c r="L28" s="12">
        <f>(electricity_cost3114182226303438[[#This Row],[Consumption to date (KWh)]] - F27)/_xlfn.DAYS(electricity_cost3114182226303438[[#This Row],[Date of reading 
(Elect + Gas)]], G27)</f>
        <v>24</v>
      </c>
      <c r="M28" s="11">
        <v>11991</v>
      </c>
      <c r="P28" s="11">
        <v>12046</v>
      </c>
      <c r="Q28" s="11">
        <f>gas_cost107135192327313539[[#This Row],[ Index (m3)]] - gas_cost107135192327313539[[#This Row],[Original index 
(m3)]]</f>
        <v>55</v>
      </c>
      <c r="R28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8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12.705</v>
      </c>
      <c r="T28" s="12">
        <f xml:space="preserve"> gas_cost107135192327313539[[#This Row],[Gas Net cost to date
(TND)]]* (1 + E$5)</f>
        <v>14.991899999999999</v>
      </c>
      <c r="U28" s="12">
        <f>(gas_cost107135192327313539[[#This Row],[Gas Cost to date  VAT included
(TND)
]] - T27)/_xlfn.DAYS(electricity_cost3114182226303438[[#This Row],[Date of reading 
(Elect + Gas)]], G27)</f>
        <v>7.787999999999988E-2</v>
      </c>
      <c r="V28" s="12">
        <f>(gas_cost107135192327313539[[#This Row],[Consumption (m3)]] - Q27)/_xlfn.DAYS(electricity_cost3114182226303438[[#This Row],[Date of reading 
(Elect + Gas)]], G27)</f>
        <v>0.2857142857142857</v>
      </c>
      <c r="W28" s="20">
        <f xml:space="preserve"> E$8 + ((electricity_cost3114182226303438[[#This Row],[Elect. Net cost to date
(TND)]] + E$6 + gas_cost107135192327313539[[#This Row],[Gas Net cost to date
(TND)]] + E$7) * (1 + E$5))</f>
        <v>260.64388000000002</v>
      </c>
      <c r="X28" s="38"/>
    </row>
    <row r="29" spans="2:25" x14ac:dyDescent="0.25">
      <c r="B29">
        <v>23583</v>
      </c>
      <c r="C29" s="6">
        <v>43956</v>
      </c>
      <c r="D29" s="54">
        <v>44082</v>
      </c>
      <c r="E29">
        <v>24510</v>
      </c>
      <c r="F29" s="11">
        <f>electricity_cost3114182226303438[[#This Row],[ Index (KWh)]]-electricity_cost3114182226303438[[#This Row],[Original index 
(KWh)]]</f>
        <v>927</v>
      </c>
      <c r="G29" s="6">
        <v>44061</v>
      </c>
      <c r="H29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2</v>
      </c>
      <c r="I29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173.12100000000001</v>
      </c>
      <c r="J29" s="10">
        <f xml:space="preserve"> (E$6 + electricity_cost3114182226303438[[#This Row],[Elect. Net cost to date
(TND)]]) * (1 + E$5)</f>
        <v>238.97478000000001</v>
      </c>
      <c r="K29" s="12">
        <f>(electricity_cost3114182226303438[[#This Row],[Elect. Cost  VAT included
(TND)
]]-J28)/_xlfn.DAYS(electricity_cost3114182226303438[[#This Row],[Date of reading 
(Elect + Gas)]], G28)</f>
        <v>5.262800000000027</v>
      </c>
      <c r="L29" s="12">
        <f>(electricity_cost3114182226303438[[#This Row],[Consumption to date (KWh)]] - F28)/_xlfn.DAYS(electricity_cost3114182226303438[[#This Row],[Date of reading 
(Elect + Gas)]], G28)</f>
        <v>20</v>
      </c>
      <c r="M29" s="11">
        <v>11991</v>
      </c>
      <c r="P29" s="11">
        <v>12047</v>
      </c>
      <c r="Q29" s="11">
        <f>gas_cost107135192327313539[[#This Row],[ Index (m3)]] - gas_cost107135192327313539[[#This Row],[Original index 
(m3)]]</f>
        <v>56</v>
      </c>
      <c r="R29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29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12.936</v>
      </c>
      <c r="T29" s="12">
        <f xml:space="preserve"> gas_cost107135192327313539[[#This Row],[Gas Net cost to date
(TND)]]* (1 + E$5)</f>
        <v>15.264479999999999</v>
      </c>
      <c r="U29" s="12">
        <f>(gas_cost107135192327313539[[#This Row],[Gas Cost to date  VAT included
(TND)
]] - T28)/_xlfn.DAYS(electricity_cost3114182226303438[[#This Row],[Date of reading 
(Elect + Gas)]], G28)</f>
        <v>0.2725799999999996</v>
      </c>
      <c r="V29" s="12">
        <f>(gas_cost107135192327313539[[#This Row],[Consumption (m3)]] - Q28)/_xlfn.DAYS(electricity_cost3114182226303438[[#This Row],[Date of reading 
(Elect + Gas)]], G28)</f>
        <v>1</v>
      </c>
      <c r="W29" s="20">
        <f xml:space="preserve"> E$8 + ((electricity_cost3114182226303438[[#This Row],[Elect. Net cost to date
(TND)]] + E$6 + gas_cost107135192327313539[[#This Row],[Gas Net cost to date
(TND)]] + E$7) * (1 + E$5))</f>
        <v>266.17926</v>
      </c>
      <c r="X29" s="38"/>
    </row>
    <row r="30" spans="2:25" x14ac:dyDescent="0.25">
      <c r="B30">
        <v>23583</v>
      </c>
      <c r="C30" s="6">
        <v>43956</v>
      </c>
      <c r="D30" s="54">
        <v>44082</v>
      </c>
      <c r="E30">
        <v>24537</v>
      </c>
      <c r="F30" s="11">
        <f>electricity_cost3114182226303438[[#This Row],[ Index (KWh)]]-electricity_cost3114182226303438[[#This Row],[Original index 
(KWh)]]</f>
        <v>954</v>
      </c>
      <c r="G30" s="6">
        <v>44062</v>
      </c>
      <c r="H30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2</v>
      </c>
      <c r="I30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179.142</v>
      </c>
      <c r="J30" s="10">
        <f xml:space="preserve"> (E$6 + electricity_cost3114182226303438[[#This Row],[Elect. Net cost to date
(TND)]]) * (1 + E$5)</f>
        <v>246.07955999999999</v>
      </c>
      <c r="K30" s="12">
        <f>(electricity_cost3114182226303438[[#This Row],[Elect. Cost  VAT included
(TND)
]]-J29)/_xlfn.DAYS(electricity_cost3114182226303438[[#This Row],[Date of reading 
(Elect + Gas)]], G29)</f>
        <v>7.1047799999999768</v>
      </c>
      <c r="L30" s="12">
        <f>(electricity_cost3114182226303438[[#This Row],[Consumption to date (KWh)]] - F29)/_xlfn.DAYS(electricity_cost3114182226303438[[#This Row],[Date of reading 
(Elect + Gas)]], G29)</f>
        <v>27</v>
      </c>
      <c r="M30" s="11">
        <v>11991</v>
      </c>
      <c r="P30" s="11">
        <v>12047</v>
      </c>
      <c r="Q30" s="11">
        <f>gas_cost107135192327313539[[#This Row],[ Index (m3)]] - gas_cost107135192327313539[[#This Row],[Original index 
(m3)]]</f>
        <v>56</v>
      </c>
      <c r="R30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30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12.936</v>
      </c>
      <c r="T30" s="12">
        <f xml:space="preserve"> gas_cost107135192327313539[[#This Row],[Gas Net cost to date
(TND)]]* (1 + E$5)</f>
        <v>15.264479999999999</v>
      </c>
      <c r="U30" s="12">
        <f>(gas_cost107135192327313539[[#This Row],[Gas Cost to date  VAT included
(TND)
]] - T29)/_xlfn.DAYS(electricity_cost[[#This Row],[Date of reading 
(Elect)]], G29)</f>
        <v>0</v>
      </c>
      <c r="V30" s="12">
        <f>(gas_cost107135192327313539[[#This Row],[Consumption (m3)]] - Q29)/_xlfn.DAYS(electricity_cost311[[#This Row],[Date of reading 
(Elect + Gas)]], G29)</f>
        <v>0</v>
      </c>
      <c r="W30" s="20">
        <f xml:space="preserve"> E$8 + ((electricity_cost3114182226303438[[#This Row],[Elect. Net cost to date
(TND)]] + E$6 + gas_cost107135192327313539[[#This Row],[Gas Net cost to date
(TND)]] + E$7) * (1 + E$5))</f>
        <v>273.28404</v>
      </c>
      <c r="X30" s="38"/>
    </row>
    <row r="31" spans="2:25" x14ac:dyDescent="0.25">
      <c r="B31">
        <v>23583</v>
      </c>
      <c r="C31" s="6">
        <v>43956</v>
      </c>
      <c r="D31" s="54">
        <v>44082</v>
      </c>
      <c r="E31">
        <v>24637</v>
      </c>
      <c r="F31" s="11">
        <f>electricity_cost3114182226303438[[#This Row],[ Index (KWh)]]-electricity_cost3114182226303438[[#This Row],[Original index 
(KWh)]]</f>
        <v>1054</v>
      </c>
      <c r="G31" s="6">
        <v>44068</v>
      </c>
      <c r="H31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2</v>
      </c>
      <c r="I31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201.44200000000001</v>
      </c>
      <c r="J31" s="10">
        <f xml:space="preserve"> (E$6 + electricity_cost3114182226303438[[#This Row],[Elect. Net cost to date
(TND)]]) * (1 + E$5)</f>
        <v>272.39355999999998</v>
      </c>
      <c r="K31" s="12">
        <f>(electricity_cost3114182226303438[[#This Row],[Elect. Cost  VAT included
(TND)
]]-J30)/_xlfn.DAYS(electricity_cost3114182226303438[[#This Row],[Date of reading 
(Elect + Gas)]], G30)</f>
        <v>4.3856666666666655</v>
      </c>
      <c r="L31" s="12">
        <f>(electricity_cost3114182226303438[[#This Row],[Consumption to date (KWh)]] - F30)/_xlfn.DAYS(electricity_cost3114182226303438[[#This Row],[Date of reading 
(Elect + Gas)]], G30)</f>
        <v>16.666666666666668</v>
      </c>
      <c r="M31" s="11">
        <v>11991</v>
      </c>
      <c r="P31" s="11">
        <v>12050</v>
      </c>
      <c r="Q31" s="11">
        <f>gas_cost107135192327313539[[#This Row],[ Index (m3)]] - gas_cost107135192327313539[[#This Row],[Original index 
(m3)]]</f>
        <v>59</v>
      </c>
      <c r="R31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31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13.629</v>
      </c>
      <c r="T31" s="12">
        <f xml:space="preserve"> gas_cost107135192327313539[[#This Row],[Gas Net cost to date
(TND)]]* (1 + E$5)</f>
        <v>16.08222</v>
      </c>
      <c r="U31" s="12">
        <f>(gas_cost107135192327313539[[#This Row],[Gas Cost to date  VAT included
(TND)
]] - T30)/_xlfn.DAYS(electricity_cost[[#This Row],[Date of reading 
(Elect)]], G30)</f>
        <v>-7.1794556628621648E-4</v>
      </c>
      <c r="V31" s="12">
        <f>(gas_cost107135192327313539[[#This Row],[Consumption (m3)]] - Q30)/_xlfn.DAYS(electricity_cost311[[#This Row],[Date of reading 
(Elect + Gas)]], G30)</f>
        <v>-3.2679738562091504E-3</v>
      </c>
      <c r="W31" s="20">
        <f xml:space="preserve"> E$8 + ((electricity_cost3114182226303438[[#This Row],[Elect. Net cost to date
(TND)]] + E$6 + gas_cost107135192327313539[[#This Row],[Gas Net cost to date
(TND)]] + E$7) * (1 + E$5))</f>
        <v>300.41577999999998</v>
      </c>
      <c r="X31" s="38"/>
    </row>
    <row r="32" spans="2:25" x14ac:dyDescent="0.25">
      <c r="B32">
        <v>23583</v>
      </c>
      <c r="C32" s="6">
        <v>43956</v>
      </c>
      <c r="D32" s="54">
        <v>44082</v>
      </c>
      <c r="E32">
        <v>24710</v>
      </c>
      <c r="F32" s="11">
        <f>electricity_cost3114182226303438[[#This Row],[ Index (KWh)]]-electricity_cost3114182226303438[[#This Row],[Original index 
(KWh)]]</f>
        <v>1127</v>
      </c>
      <c r="G32" s="6">
        <v>44072</v>
      </c>
      <c r="H32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2</v>
      </c>
      <c r="I32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217.721</v>
      </c>
      <c r="J32" s="10">
        <f xml:space="preserve"> (E$6 + electricity_cost3114182226303438[[#This Row],[Elect. Net cost to date
(TND)]]) * (1 + E$5)</f>
        <v>291.60278</v>
      </c>
      <c r="K32" s="12">
        <f>(electricity_cost3114182226303438[[#This Row],[Elect. Cost  VAT included
(TND)
]]-J31)/_xlfn.DAYS(electricity_cost3114182226303438[[#This Row],[Date of reading 
(Elect + Gas)]], G31)</f>
        <v>4.802305000000004</v>
      </c>
      <c r="L32" s="12">
        <f>(electricity_cost3114182226303438[[#This Row],[Consumption to date (KWh)]] - F31)/_xlfn.DAYS(electricity_cost3114182226303438[[#This Row],[Date of reading 
(Elect + Gas)]], G31)</f>
        <v>18.25</v>
      </c>
      <c r="M32" s="11">
        <v>11991</v>
      </c>
      <c r="P32" s="11">
        <v>12052</v>
      </c>
      <c r="Q32" s="11">
        <f>gas_cost107135192327313539[[#This Row],[ Index (m3)]] - gas_cost107135192327313539[[#This Row],[Original index 
(m3)]]</f>
        <v>61</v>
      </c>
      <c r="R32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32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14.090999999999999</v>
      </c>
      <c r="T32" s="12">
        <f xml:space="preserve"> gas_cost107135192327313539[[#This Row],[Gas Net cost to date
(TND)]]* (1 + E$5)</f>
        <v>16.627379999999999</v>
      </c>
      <c r="U32" s="12">
        <f>(gas_cost107135192327313539[[#This Row],[Gas Cost to date  VAT included
(TND)
]] - T31)/_xlfn.DAYS(electricity_cost[[#This Row],[Date of reading 
(Elect)]], G31)</f>
        <v>-4.7653846153846086E-4</v>
      </c>
      <c r="V32" s="12">
        <f>(gas_cost107135192327313539[[#This Row],[Consumption (m3)]] - Q31)/_xlfn.DAYS(electricity_cost311[[#This Row],[Date of reading 
(Elect + Gas)]], G31)</f>
        <v>-2.1668472372697724E-3</v>
      </c>
      <c r="W32" s="20">
        <f xml:space="preserve"> E$8 + ((electricity_cost3114182226303438[[#This Row],[Elect. Net cost to date
(TND)]] + E$6 + gas_cost107135192327313539[[#This Row],[Gas Net cost to date
(TND)]] + E$7) * (1 + E$5))</f>
        <v>320.17015999999995</v>
      </c>
      <c r="X32" s="38"/>
    </row>
    <row r="33" spans="2:24" x14ac:dyDescent="0.25">
      <c r="B33">
        <v>23583</v>
      </c>
      <c r="C33" s="6">
        <v>43956</v>
      </c>
      <c r="D33" s="54">
        <v>44082</v>
      </c>
      <c r="E33">
        <v>24742</v>
      </c>
      <c r="F33" s="11">
        <f>electricity_cost3114182226303438[[#This Row],[ Index (KWh)]]-electricity_cost3114182226303438[[#This Row],[Original index 
(KWh)]]</f>
        <v>1159</v>
      </c>
      <c r="G33" s="6">
        <v>44073</v>
      </c>
      <c r="H33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2</v>
      </c>
      <c r="I33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224.857</v>
      </c>
      <c r="J33" s="10">
        <f xml:space="preserve"> (E$6 + electricity_cost3114182226303438[[#This Row],[Elect. Net cost to date
(TND)]]) * (1 + E$5)</f>
        <v>300.02325999999999</v>
      </c>
      <c r="K33" s="12">
        <f>(electricity_cost3114182226303438[[#This Row],[Elect. Cost  VAT included
(TND)
]]-J32)/_xlfn.DAYS(electricity_cost3114182226303438[[#This Row],[Date of reading 
(Elect + Gas)]], G32)</f>
        <v>8.4204799999999977</v>
      </c>
      <c r="L33" s="12">
        <f>(electricity_cost3114182226303438[[#This Row],[Consumption to date (KWh)]] - F32)/_xlfn.DAYS(electricity_cost3114182226303438[[#This Row],[Date of reading 
(Elect + Gas)]], G32)</f>
        <v>32</v>
      </c>
      <c r="M33" s="11">
        <v>11991</v>
      </c>
      <c r="P33" s="11">
        <v>12053</v>
      </c>
      <c r="Q33" s="11">
        <f>gas_cost107135192327313539[[#This Row],[ Index (m3)]] - gas_cost107135192327313539[[#This Row],[Original index 
(m3)]]</f>
        <v>62</v>
      </c>
      <c r="R33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33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14.321999999999999</v>
      </c>
      <c r="T33" s="12">
        <f xml:space="preserve"> gas_cost107135192327313539[[#This Row],[Gas Net cost to date
(TND)]]* (1 + E$5)</f>
        <v>16.899959999999997</v>
      </c>
      <c r="U33" s="12">
        <f>(gas_cost107135192327313539[[#This Row],[Gas Cost to date  VAT included
(TND)
]] - T32)/_xlfn.DAYS(electricity_cost[[#This Row],[Date of reading 
(Elect)]], G32)</f>
        <v>-2.3806113537117713E-4</v>
      </c>
      <c r="V33" s="12">
        <f>(gas_cost107135192327313539[[#This Row],[Consumption (m3)]] - Q32)/_xlfn.DAYS(electricity_cost311[[#This Row],[Date of reading 
(Elect + Gas)]], G32)</f>
        <v>-1.0857763300760044E-3</v>
      </c>
      <c r="W33" s="20">
        <f xml:space="preserve"> E$8 + ((electricity_cost3114182226303438[[#This Row],[Elect. Net cost to date
(TND)]] + E$6 + gas_cost107135192327313539[[#This Row],[Gas Net cost to date
(TND)]] + E$7) * (1 + E$5))</f>
        <v>328.86322000000001</v>
      </c>
      <c r="X33" s="38"/>
    </row>
    <row r="34" spans="2:24" x14ac:dyDescent="0.25">
      <c r="B34">
        <v>23583</v>
      </c>
      <c r="C34" s="6">
        <v>43956</v>
      </c>
      <c r="D34" s="54">
        <v>44082</v>
      </c>
      <c r="E34">
        <v>24750</v>
      </c>
      <c r="F34" s="11">
        <f>electricity_cost3114182226303438[[#This Row],[ Index (KWh)]]-electricity_cost3114182226303438[[#This Row],[Original index 
(KWh)]]</f>
        <v>1167</v>
      </c>
      <c r="G34" s="6">
        <v>44074</v>
      </c>
      <c r="H34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2</v>
      </c>
      <c r="I34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226.64099999999999</v>
      </c>
      <c r="J34" s="10">
        <f xml:space="preserve"> (E$6 + electricity_cost3114182226303438[[#This Row],[Elect. Net cost to date
(TND)]]) * (1 + E$5)</f>
        <v>302.12837999999999</v>
      </c>
      <c r="K34" s="12">
        <f>(electricity_cost3114182226303438[[#This Row],[Elect. Cost  VAT included
(TND)
]]-J33)/_xlfn.DAYS(electricity_cost3114182226303438[[#This Row],[Date of reading 
(Elect + Gas)]], G33)</f>
        <v>2.1051199999999994</v>
      </c>
      <c r="L34" s="12">
        <f>(electricity_cost3114182226303438[[#This Row],[Consumption to date (KWh)]] - F33)/_xlfn.DAYS(electricity_cost3114182226303438[[#This Row],[Date of reading 
(Elect + Gas)]], G33)</f>
        <v>8</v>
      </c>
      <c r="M34" s="11">
        <v>11991</v>
      </c>
      <c r="P34" s="11">
        <v>12053</v>
      </c>
      <c r="Q34" s="11">
        <f>gas_cost107135192327313539[[#This Row],[ Index (m3)]] - gas_cost107135192327313539[[#This Row],[Original index 
(m3)]]</f>
        <v>62</v>
      </c>
      <c r="R34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34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14.321999999999999</v>
      </c>
      <c r="T34" s="12">
        <f xml:space="preserve"> gas_cost107135192327313539[[#This Row],[Gas Net cost to date
(TND)]]* (1 + E$5)</f>
        <v>16.899959999999997</v>
      </c>
      <c r="U34" s="12">
        <f>(gas_cost107135192327313539[[#This Row],[Gas Cost to date  VAT included
(TND)
]] - T33)/_xlfn.DAYS(electricity_cost[[#This Row],[Date of reading 
(Elect)]], G33)</f>
        <v>0</v>
      </c>
      <c r="V34" s="12">
        <f>(gas_cost107135192327313539[[#This Row],[Consumption (m3)]] - Q33)/_xlfn.DAYS(electricity_cost311[[#This Row],[Date of reading 
(Elect + Gas)]], G33)</f>
        <v>0</v>
      </c>
      <c r="W34" s="20">
        <f xml:space="preserve"> E$8 + ((electricity_cost3114182226303438[[#This Row],[Elect. Net cost to date
(TND)]] + E$6 + gas_cost107135192327313539[[#This Row],[Gas Net cost to date
(TND)]] + E$7) * (1 + E$5))</f>
        <v>330.96833999999996</v>
      </c>
      <c r="X34" s="38"/>
    </row>
    <row r="35" spans="2:24" x14ac:dyDescent="0.25">
      <c r="B35">
        <v>23583</v>
      </c>
      <c r="C35" s="6">
        <v>43956</v>
      </c>
      <c r="D35" s="54">
        <v>44082</v>
      </c>
      <c r="E35">
        <v>24801</v>
      </c>
      <c r="F35" s="11">
        <f>electricity_cost3114182226303438[[#This Row],[ Index (KWh)]]-electricity_cost3114182226303438[[#This Row],[Original index 
(KWh)]]</f>
        <v>1218</v>
      </c>
      <c r="G35" s="6">
        <v>44080</v>
      </c>
      <c r="H35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3</v>
      </c>
      <c r="I35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240.005</v>
      </c>
      <c r="J35" s="10">
        <f xml:space="preserve"> (E$6 + electricity_cost3114182226303438[[#This Row],[Elect. Net cost to date
(TND)]]) * (1 + E$5)</f>
        <v>317.89789999999994</v>
      </c>
      <c r="K35" s="12">
        <f>(electricity_cost3114182226303438[[#This Row],[Elect. Cost  VAT included
(TND)
]]-J34)/_xlfn.DAYS(electricity_cost3114182226303438[[#This Row],[Date of reading 
(Elect + Gas)]], G34)</f>
        <v>2.628253333333324</v>
      </c>
      <c r="L35" s="12">
        <f>(electricity_cost3114182226303438[[#This Row],[Consumption to date (KWh)]] - F34)/_xlfn.DAYS(electricity_cost3114182226303438[[#This Row],[Date of reading 
(Elect + Gas)]], G34)</f>
        <v>8.5</v>
      </c>
      <c r="M35" s="11">
        <v>11991</v>
      </c>
      <c r="P35" s="11">
        <v>12056</v>
      </c>
      <c r="Q35" s="11">
        <f>gas_cost107135192327313539[[#This Row],[ Index (m3)]] - gas_cost107135192327313539[[#This Row],[Original index 
(m3)]]</f>
        <v>65</v>
      </c>
      <c r="R35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35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15.015000000000001</v>
      </c>
      <c r="T35" s="12">
        <f xml:space="preserve"> gas_cost107135192327313539[[#This Row],[Gas Net cost to date
(TND)]]* (1 + E$5)</f>
        <v>17.717700000000001</v>
      </c>
      <c r="U35" s="12">
        <f>(gas_cost107135192327313539[[#This Row],[Gas Cost to date  VAT included
(TND)
]] - T34)/_xlfn.DAYS(electricity_cost[[#This Row],[Date of reading 
(Elect)]], G34)</f>
        <v>-7.1543307086614533E-4</v>
      </c>
      <c r="V35" s="12">
        <f>(gas_cost107135192327313539[[#This Row],[Consumption (m3)]] - Q34)/_xlfn.DAYS(electricity_cost311[[#This Row],[Date of reading 
(Elect + Gas)]], G34)</f>
        <v>-3.4207525655644243E-3</v>
      </c>
      <c r="W35" s="20">
        <f xml:space="preserve"> E$8 + ((electricity_cost3114182226303438[[#This Row],[Elect. Net cost to date
(TND)]] + E$6 + gas_cost107135192327313539[[#This Row],[Gas Net cost to date
(TND)]] + E$7) * (1 + E$5))</f>
        <v>347.55559999999991</v>
      </c>
      <c r="X35" s="38"/>
    </row>
    <row r="36" spans="2:24" x14ac:dyDescent="0.25">
      <c r="B36">
        <v>23583</v>
      </c>
      <c r="C36" s="6">
        <v>43956</v>
      </c>
      <c r="D36" s="54">
        <v>44082</v>
      </c>
      <c r="E36">
        <v>24807</v>
      </c>
      <c r="F36" s="11">
        <f>electricity_cost3114182226303438[[#This Row],[ Index (KWh)]]-electricity_cost3114182226303438[[#This Row],[Original index 
(KWh)]]</f>
        <v>1224</v>
      </c>
      <c r="G36" s="6">
        <v>44081</v>
      </c>
      <c r="H36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3</v>
      </c>
      <c r="I36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242.08099999999999</v>
      </c>
      <c r="J36" s="10">
        <f xml:space="preserve"> (E$6 + electricity_cost3114182226303438[[#This Row],[Elect. Net cost to date
(TND)]]) * (1 + E$5)</f>
        <v>320.34757999999999</v>
      </c>
      <c r="K36" s="12">
        <f>(electricity_cost3114182226303438[[#This Row],[Elect. Cost  VAT included
(TND)
]]-J35)/_xlfn.DAYS(electricity_cost3114182226303438[[#This Row],[Date of reading 
(Elect + Gas)]], G35)</f>
        <v>2.4496800000000576</v>
      </c>
      <c r="L36" s="12">
        <f>(electricity_cost3114182226303438[[#This Row],[Consumption to date (KWh)]] - F35)/_xlfn.DAYS(electricity_cost3114182226303438[[#This Row],[Date of reading 
(Elect + Gas)]], G35)</f>
        <v>6</v>
      </c>
      <c r="M36" s="11">
        <v>11991</v>
      </c>
      <c r="P36" s="11">
        <v>12058</v>
      </c>
      <c r="Q36" s="11">
        <f>gas_cost107135192327313539[[#This Row],[ Index (m3)]] - gas_cost107135192327313539[[#This Row],[Original index 
(m3)]]</f>
        <v>67</v>
      </c>
      <c r="R36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36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15.477</v>
      </c>
      <c r="T36" s="12">
        <f xml:space="preserve"> gas_cost107135192327313539[[#This Row],[Gas Net cost to date
(TND)]]* (1 + E$5)</f>
        <v>18.26286</v>
      </c>
      <c r="U36" s="12">
        <f>(gas_cost107135192327313539[[#This Row],[Gas Cost to date  VAT included
(TND)
]] - T35)/_xlfn.DAYS(electricity_cost[[#This Row],[Date of reading 
(Elect)]], G35)</f>
        <v>-4.7487804878048711E-4</v>
      </c>
      <c r="V36" s="12">
        <f>(gas_cost107135192327313539[[#This Row],[Consumption (m3)]] - Q35)/_xlfn.DAYS(electricity_cost311[[#This Row],[Date of reading 
(Elect + Gas)]], G35)</f>
        <v>-2.2675736961451248E-3</v>
      </c>
      <c r="W36" s="20">
        <f xml:space="preserve"> E$8 + ((electricity_cost3114182226303438[[#This Row],[Elect. Net cost to date
(TND)]] + E$6 + gas_cost107135192327313539[[#This Row],[Gas Net cost to date
(TND)]] + E$7) * (1 + E$5))</f>
        <v>350.55043999999992</v>
      </c>
      <c r="X36" s="38"/>
    </row>
    <row r="37" spans="2:24" x14ac:dyDescent="0.25">
      <c r="B37">
        <v>23583</v>
      </c>
      <c r="C37" s="6">
        <v>43956</v>
      </c>
      <c r="D37" s="54">
        <v>44082</v>
      </c>
      <c r="E37">
        <v>24812</v>
      </c>
      <c r="F37" s="11">
        <f>electricity_cost3114182226303438[[#This Row],[ Index (KWh)]]-electricity_cost3114182226303438[[#This Row],[Original index 
(KWh)]]</f>
        <v>1229</v>
      </c>
      <c r="G37" s="6">
        <v>44082</v>
      </c>
      <c r="H37" s="21">
        <f xml:space="preserve"> _xlfn.IFS(electricity_cost3114182226303438[[#This Row],[Consumption to date (KWh)]] &lt;= K$4, 1, AND(K$4 &lt; electricity_cost3114182226303438[[#This Row],[Consumption to date (KWh)]],  electricity_cost3114182226303438[[#This Row],[Consumption to date (KWh)]]&lt;= K$5), 2, AND(K$5 &lt; electricity_cost3114182226303438[[#This Row],[Consumption to date (KWh)]],  electricity_cost3114182226303438[[#This Row],[Consumption to date (KWh)]]&lt;= K$6), 3, electricity_cost3114182226303438[[#This Row],[Consumption to date (KWh)]] &gt; K$6, 4)</f>
        <v>3</v>
      </c>
      <c r="I37" s="12">
        <f>_xlfn.IFS(electricity_cost3114182226303438[[#This Row],[Level (Elect)]]= 1, (electricity_cost3114182226303438[[#This Row],[Consumption to date (KWh)]] * L$4)/1000, electricity_cost3114182226303438[[#This Row],[Level (Elect)]] = 2, (K$4 * L$4 +((electricity_cost3114182226303438[[#This Row],[Consumption to date (KWh)]] - K$4) * L$5))/1000,electricity_cost3114182226303438[[#This Row],[Level (Elect)]] = 3, (K$4 * L$4 + (K$5-J$5) * L$5 + ((electricity_cost3114182226303438[[#This Row],[Consumption to date (KWh)]] - K$5) * L$6))/1000, electricity_cost3114182226303438[[#This Row],[Level (Elect)]] = 4, (K$4 * L$4 + (K$5-J$5) * L$5 + (K$6-J$6) * L$6 + ((electricity_cost3114182226303438[[#This Row],[Consumption to date (KWh)]] - K$6) * L$7))/1000)</f>
        <v>243.81100000000001</v>
      </c>
      <c r="J37" s="10">
        <f xml:space="preserve"> (E$6 + electricity_cost3114182226303438[[#This Row],[Elect. Net cost to date
(TND)]]) * (1 + E$5)</f>
        <v>322.38898</v>
      </c>
      <c r="K37" s="12">
        <f>(electricity_cost3114182226303438[[#This Row],[Elect. Cost  VAT included
(TND)
]]-J36)/_xlfn.DAYS(electricity_cost3114182226303438[[#This Row],[Date of reading 
(Elect + Gas)]], G36)</f>
        <v>2.0414000000000101</v>
      </c>
      <c r="L37" s="12">
        <f>(electricity_cost3114182226303438[[#This Row],[Consumption to date (KWh)]] - F36)/_xlfn.DAYS(electricity_cost3114182226303438[[#This Row],[Date of reading 
(Elect + Gas)]], G36)</f>
        <v>5</v>
      </c>
      <c r="M37" s="11">
        <v>11991</v>
      </c>
      <c r="P37" s="11">
        <v>12058</v>
      </c>
      <c r="Q37" s="11">
        <f>gas_cost107135192327313539[[#This Row],[ Index (m3)]] - gas_cost107135192327313539[[#This Row],[Original index 
(m3)]]</f>
        <v>67</v>
      </c>
      <c r="R37" s="11">
        <f xml:space="preserve"> _xlfn.IFS(gas_cost107135192327313539[[#This Row],[Consumption (m3)]] &lt;= R$4, 1, AND(R$4 &lt; gas_cost107135192327313539[[#This Row],[Consumption (m3)]], gas_cost107135192327313539[[#This Row],[Consumption (m3)]] &lt;= R$5), 2, AND(R$5 &lt; gas_cost107135192327313539[[#This Row],[Consumption (m3)]], gas_cost107135192327313539[[#This Row],[Consumption (m3)]] &lt;= R$6), 3, gas_cost107135192327313539[[#This Row],[Consumption (m3)]] &gt; R$6, 4)</f>
        <v>1</v>
      </c>
      <c r="S37" s="12">
        <f>_xlfn.IFS(gas_cost107135192327313539[[#This Row],[Level (Gas)]]= 1, (gas_cost107135192327313539[[#This Row],[Consumption (m3)]] * S$4)/1000, gas_cost107135192327313539[[#This Row],[Level (Gas)]] = 2, (gas_cost107135192327313539[[#This Row],[Consumption (m3)]] * S$5)/1000,gas_cost107135192327313539[[#This Row],[Level (Gas)]] = 3, (gas_cost107135192327313539[[#This Row],[Consumption (m3)]] * S$6)/1000, gas_cost107135192327313539[[#This Row],[Level (Gas)]] = 4, (gas_cost107135192327313539[[#This Row],[Consumption (m3)]] * S$7)/1000)</f>
        <v>15.477</v>
      </c>
      <c r="T37" s="12">
        <f xml:space="preserve"> gas_cost107135192327313539[[#This Row],[Gas Net cost to date
(TND)]]* (1 + E$5)</f>
        <v>18.26286</v>
      </c>
      <c r="U37" s="12">
        <f>(gas_cost107135192327313539[[#This Row],[Gas Cost to date  VAT included
(TND)
]] - T36)/_xlfn.DAYS(electricity_cost[[#This Row],[Date of reading 
(Elect)]], G36)</f>
        <v>0</v>
      </c>
      <c r="V37" s="12">
        <f>(gas_cost107135192327313539[[#This Row],[Consumption (m3)]] - Q36)/_xlfn.DAYS(electricity_cost311[[#This Row],[Date of reading 
(Elect + Gas)]], G36)</f>
        <v>0</v>
      </c>
      <c r="W37" s="20">
        <f xml:space="preserve"> E$8 + ((electricity_cost3114182226303438[[#This Row],[Elect. Net cost to date
(TND)]] + E$6 + gas_cost107135192327313539[[#This Row],[Gas Net cost to date
(TND)]] + E$7) * (1 + E$5))</f>
        <v>352.59183999999999</v>
      </c>
      <c r="X37" s="38"/>
    </row>
    <row r="38" spans="2:24" x14ac:dyDescent="0.25">
      <c r="C38" s="6"/>
      <c r="D38" s="55"/>
      <c r="F38" s="11"/>
      <c r="G38" s="6"/>
      <c r="H38" s="11"/>
      <c r="I38" s="12"/>
      <c r="J38" s="12"/>
      <c r="K38" s="12"/>
      <c r="L38" s="12"/>
      <c r="M38" s="11"/>
      <c r="Q38" s="11"/>
      <c r="R38" s="11"/>
      <c r="S38" s="12"/>
      <c r="T38" s="12"/>
      <c r="U38" s="12"/>
      <c r="V38" s="12"/>
      <c r="W38" s="20"/>
      <c r="X38" s="38"/>
    </row>
    <row r="39" spans="2:24" x14ac:dyDescent="0.25">
      <c r="Q39" s="11"/>
      <c r="R39" s="11"/>
      <c r="S39" s="12"/>
      <c r="T39" s="12"/>
      <c r="U39" s="12"/>
      <c r="V39" s="12"/>
      <c r="W39" s="20"/>
      <c r="X39" s="20"/>
    </row>
    <row r="40" spans="2:24" x14ac:dyDescent="0.25">
      <c r="Q40" s="11"/>
      <c r="R40" s="11"/>
      <c r="S40" s="12"/>
      <c r="T40" s="12"/>
      <c r="U40" s="12"/>
      <c r="V40" s="12"/>
      <c r="W40" s="20"/>
      <c r="X40" s="20"/>
    </row>
    <row r="41" spans="2:24" x14ac:dyDescent="0.25">
      <c r="Q41" s="11"/>
      <c r="R41" s="11"/>
      <c r="S41" s="12"/>
      <c r="T41" s="12"/>
      <c r="U41" s="12"/>
      <c r="V41" s="12"/>
      <c r="W41" s="20"/>
      <c r="X41" s="20"/>
    </row>
    <row r="42" spans="2:24" x14ac:dyDescent="0.25">
      <c r="Q42" s="11"/>
      <c r="R42" s="11"/>
      <c r="S42" s="12"/>
      <c r="T42" s="12"/>
      <c r="U42" s="12"/>
      <c r="V42" s="12"/>
      <c r="W42" s="20"/>
      <c r="X42" s="20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522D-6C0B-4E58-B9D4-268634D6DB48}">
  <dimension ref="B2:Y47"/>
  <sheetViews>
    <sheetView topLeftCell="G55" zoomScaleNormal="100" workbookViewId="0">
      <selection activeCell="W19" sqref="W19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7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25.425781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44209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341</v>
      </c>
      <c r="T5" t="s">
        <v>71</v>
      </c>
      <c r="U5" s="19">
        <v>44209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29.4</v>
      </c>
      <c r="I6">
        <v>3</v>
      </c>
      <c r="J6">
        <v>1201</v>
      </c>
      <c r="K6">
        <v>2000</v>
      </c>
      <c r="L6">
        <v>346</v>
      </c>
      <c r="P6">
        <v>3</v>
      </c>
      <c r="Q6">
        <v>1</v>
      </c>
      <c r="R6">
        <v>600</v>
      </c>
      <c r="S6">
        <v>447</v>
      </c>
      <c r="T6" t="s">
        <v>65</v>
      </c>
    </row>
    <row r="7" spans="2:24" x14ac:dyDescent="0.25">
      <c r="D7" s="16" t="s">
        <v>15</v>
      </c>
      <c r="E7" s="14">
        <v>4.5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6.63</v>
      </c>
      <c r="F8" s="14"/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INDEX(electricity_cost311418222630343842[Elect. Net cost to date
(TND)], COUNTA(I18:I44), 1) + E6</f>
        <v>147.774</v>
      </c>
      <c r="G10" s="67" t="s">
        <v>76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75</v>
      </c>
      <c r="I11" s="33" t="s">
        <v>73</v>
      </c>
      <c r="J11" s="33" t="s">
        <v>74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600</v>
      </c>
      <c r="I12" s="34">
        <v>600</v>
      </c>
      <c r="J12" s="51">
        <v>170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700</v>
      </c>
      <c r="I13" s="35">
        <v>800</v>
      </c>
      <c r="J13" s="52">
        <v>450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>
        <v>630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>
        <v>24815</v>
      </c>
      <c r="C18" s="6">
        <v>44082</v>
      </c>
      <c r="D18" s="54">
        <v>44209</v>
      </c>
      <c r="E18">
        <v>24815</v>
      </c>
      <c r="F18" s="11">
        <f>electricity_cost311418222630343842[[#This Row],[ Index (KWh)]]-electricity_cost311418222630343842[[#This Row],[Original index 
(KWh)]]</f>
        <v>0</v>
      </c>
      <c r="G18" s="6">
        <v>44082</v>
      </c>
      <c r="H18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18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0</v>
      </c>
      <c r="J18" s="10">
        <f xml:space="preserve"> (E$6 + electricity_cost311418222630343842[[#This Row],[Elect. Net cost to date
(TND)]]) * (1 + E$5)</f>
        <v>34.691999999999993</v>
      </c>
      <c r="K18" s="12"/>
      <c r="L18" s="12"/>
      <c r="M18" s="11">
        <v>12058</v>
      </c>
      <c r="P18" s="11">
        <v>12058</v>
      </c>
      <c r="Q18" s="11">
        <f>gas_cost10713519232731353943[[#This Row],[ Index (m3)]] - gas_cost10713519232731353943[[#This Row],[Original index 
(m3)]]</f>
        <v>0</v>
      </c>
      <c r="R18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18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0</v>
      </c>
      <c r="T18" s="12">
        <f xml:space="preserve"> gas_cost10713519232731353943[[#This Row],[Gas Net cost to date
(TND)]]* (1 + E$5)</f>
        <v>0</v>
      </c>
      <c r="U18" s="12"/>
      <c r="V18" s="12"/>
      <c r="W18" s="20">
        <f xml:space="preserve"> E$8 + ((electricity_cost311418222630343842[[#This Row],[Elect. Net cost to date
(TND)]] + E$6 + gas_cost10713519232731353943[[#This Row],[Gas Net cost to date
(TND)]] + E$7) * (1 + E$5))</f>
        <v>46.631999999999998</v>
      </c>
      <c r="X18" s="38"/>
      <c r="Y18" s="37"/>
    </row>
    <row r="19" spans="2:25" x14ac:dyDescent="0.25">
      <c r="B19">
        <v>24815</v>
      </c>
      <c r="C19" s="6">
        <v>44082</v>
      </c>
      <c r="D19" s="54">
        <v>44209</v>
      </c>
      <c r="E19">
        <v>24818</v>
      </c>
      <c r="F19" s="11">
        <f>electricity_cost311418222630343842[[#This Row],[ Index (KWh)]]-electricity_cost311418222630343842[[#This Row],[Original index 
(KWh)]]</f>
        <v>3</v>
      </c>
      <c r="G19" s="6">
        <v>44083</v>
      </c>
      <c r="H19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19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0.54300000000000004</v>
      </c>
      <c r="J19" s="10">
        <f xml:space="preserve"> (E$6 + electricity_cost311418222630343842[[#This Row],[Elect. Net cost to date
(TND)]]) * (1 + E$5)</f>
        <v>35.332739999999994</v>
      </c>
      <c r="K19" s="12">
        <f>(electricity_cost311418222630343842[[#This Row],[Elect. Cost  VAT included
(TND)
]]-J18)/_xlfn.DAYS(electricity_cost311418222630343842[[#This Row],[Date of reading 
(Elect + Gas)]], G18)</f>
        <v>0.64074000000000098</v>
      </c>
      <c r="L19" s="12">
        <f>(electricity_cost311418222630343842[[#This Row],[Consumption to date (KWh)]] - F18)/_xlfn.DAYS(electricity_cost311418222630343842[[#This Row],[Date of reading 
(Elect + Gas)]], G18)</f>
        <v>3</v>
      </c>
      <c r="M19" s="11">
        <v>12058</v>
      </c>
      <c r="P19" s="11">
        <v>12059</v>
      </c>
      <c r="Q19" s="11">
        <f>gas_cost10713519232731353943[[#This Row],[ Index (m3)]] - gas_cost10713519232731353943[[#This Row],[Original index 
(m3)]]</f>
        <v>1</v>
      </c>
      <c r="R19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19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0.23100000000000001</v>
      </c>
      <c r="T19" s="12">
        <f xml:space="preserve"> gas_cost10713519232731353943[[#This Row],[Gas Net cost to date
(TND)]]* (1 + E$5)</f>
        <v>0.27257999999999999</v>
      </c>
      <c r="U19" s="12">
        <f>(gas_cost10713519232731353943[[#This Row],[Gas Cost to date  VAT included
(TND)
]] - T18)/_xlfn.DAYS(electricity_cost311418222630343842[[#This Row],[Date of reading 
(Elect + Gas)]], G18)</f>
        <v>0.27257999999999999</v>
      </c>
      <c r="V19" s="12">
        <f>(gas_cost10713519232731353943[[#This Row],[Consumption (m3)]] - Q18)/_xlfn.DAYS(electricity_cost311418222630343842[[#This Row],[Date of reading 
(Elect + Gas)]], G18)</f>
        <v>1</v>
      </c>
      <c r="W19" s="20">
        <f xml:space="preserve"> E$8 + ((electricity_cost311418222630343842[[#This Row],[Elect. Net cost to date
(TND)]] + E$6 + gas_cost10713519232731353943[[#This Row],[Gas Net cost to date
(TND)]] + E$7) * (1 + E$5))</f>
        <v>47.545319999999997</v>
      </c>
      <c r="X19" s="38"/>
    </row>
    <row r="20" spans="2:25" x14ac:dyDescent="0.25">
      <c r="B20">
        <v>24815</v>
      </c>
      <c r="C20" s="6">
        <v>44082</v>
      </c>
      <c r="D20" s="54">
        <v>44209</v>
      </c>
      <c r="E20">
        <v>24835</v>
      </c>
      <c r="F20" s="11">
        <f>electricity_cost311418222630343842[[#This Row],[ Index (KWh)]]-electricity_cost311418222630343842[[#This Row],[Original index 
(KWh)]]</f>
        <v>20</v>
      </c>
      <c r="G20" s="6">
        <v>44085</v>
      </c>
      <c r="H20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0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3.62</v>
      </c>
      <c r="J20" s="10">
        <f xml:space="preserve"> (E$6 + electricity_cost311418222630343842[[#This Row],[Elect. Net cost to date
(TND)]]) * (1 + E$5)</f>
        <v>38.963599999999992</v>
      </c>
      <c r="K20" s="12">
        <f>electricity_cost311418222630343842[[#This Row],[Elect. Cost  VAT included
(TND)
]]-J19/(electricity_cost311418222630343842[[#This Row],[Date of reading 
(Elect + Gas)]]-G19)</f>
        <v>21.297229999999995</v>
      </c>
      <c r="L20" s="12">
        <f>(electricity_cost311418222630343842[[#This Row],[Consumption to date (KWh)]] - F19)/_xlfn.DAYS(electricity_cost311418222630343842[[#This Row],[Date of reading 
(Elect + Gas)]], G19)</f>
        <v>8.5</v>
      </c>
      <c r="M20" s="11">
        <v>12058</v>
      </c>
      <c r="P20" s="11">
        <v>12059</v>
      </c>
      <c r="Q20" s="11">
        <f>gas_cost10713519232731353943[[#This Row],[ Index (m3)]] - gas_cost10713519232731353943[[#This Row],[Original index 
(m3)]]</f>
        <v>1</v>
      </c>
      <c r="R20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0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0.23100000000000001</v>
      </c>
      <c r="T20" s="12">
        <f xml:space="preserve"> gas_cost10713519232731353943[[#This Row],[Gas Net cost to date
(TND)]]* (1 + E$5)</f>
        <v>0.27257999999999999</v>
      </c>
      <c r="U20" s="12">
        <f>(gas_cost10713519232731353943[[#This Row],[Gas Cost to date  VAT included
(TND)
]] - T19)/_xlfn.DAYS(electricity_cost311418222630343842[[#This Row],[Date of reading 
(Elect + Gas)]], G19)</f>
        <v>0</v>
      </c>
      <c r="V20" s="12">
        <f>(gas_cost10713519232731353943[[#This Row],[Consumption (m3)]] - Q19)/_xlfn.DAYS(electricity_cost311418222630343842[[#This Row],[Date of reading 
(Elect + Gas)]], G19)</f>
        <v>0</v>
      </c>
      <c r="W20" s="20">
        <f xml:space="preserve"> E$8 + ((electricity_cost311418222630343842[[#This Row],[Elect. Net cost to date
(TND)]] + E$6 + gas_cost10713519232731353943[[#This Row],[Gas Net cost to date
(TND)]] + E$7) * (1 + E$5))</f>
        <v>51.176179999999995</v>
      </c>
      <c r="X20" s="38"/>
    </row>
    <row r="21" spans="2:25" x14ac:dyDescent="0.25">
      <c r="B21">
        <v>24815</v>
      </c>
      <c r="C21" s="6">
        <v>44082</v>
      </c>
      <c r="D21" s="54">
        <v>44209</v>
      </c>
      <c r="E21">
        <v>24847</v>
      </c>
      <c r="F21" s="11">
        <f>electricity_cost311418222630343842[[#This Row],[ Index (KWh)]]-electricity_cost311418222630343842[[#This Row],[Original index 
(KWh)]]</f>
        <v>32</v>
      </c>
      <c r="G21" s="6">
        <v>44087</v>
      </c>
      <c r="H21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1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5.7919999999999998</v>
      </c>
      <c r="J21" s="10">
        <f xml:space="preserve"> (E$6 + electricity_cost311418222630343842[[#This Row],[Elect. Net cost to date
(TND)]]) * (1 + E$5)</f>
        <v>41.526559999999996</v>
      </c>
      <c r="K21" s="12">
        <f>(electricity_cost311418222630343842[[#This Row],[Elect. Cost  VAT included
(TND)
]]-J20)/_xlfn.DAYS(electricity_cost311418222630343842[[#This Row],[Date of reading 
(Elect + Gas)]], G20)</f>
        <v>1.281480000000002</v>
      </c>
      <c r="L21" s="12">
        <f>(electricity_cost311418222630343842[[#This Row],[Consumption to date (KWh)]] - F20)/_xlfn.DAYS(electricity_cost311418222630343842[[#This Row],[Date of reading 
(Elect + Gas)]], G20)</f>
        <v>6</v>
      </c>
      <c r="M21" s="11">
        <v>12058</v>
      </c>
      <c r="P21" s="11">
        <v>12061</v>
      </c>
      <c r="Q21" s="11">
        <f>gas_cost10713519232731353943[[#This Row],[ Index (m3)]] - gas_cost10713519232731353943[[#This Row],[Original index 
(m3)]]</f>
        <v>3</v>
      </c>
      <c r="R21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1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0.69299999999999995</v>
      </c>
      <c r="T21" s="12">
        <f xml:space="preserve"> gas_cost10713519232731353943[[#This Row],[Gas Net cost to date
(TND)]]* (1 + E$5)</f>
        <v>0.81773999999999991</v>
      </c>
      <c r="U21" s="12">
        <f>(gas_cost10713519232731353943[[#This Row],[Gas Cost to date  VAT included
(TND)
]] - T20)/_xlfn.DAYS(electricity_cost311418222630343842[[#This Row],[Date of reading 
(Elect + Gas)]], G20)</f>
        <v>0.27257999999999993</v>
      </c>
      <c r="V21" s="12">
        <f>(gas_cost10713519232731353943[[#This Row],[Consumption (m3)]] - Q20)/_xlfn.DAYS(electricity_cost311418222630343842[[#This Row],[Date of reading 
(Elect + Gas)]], G20)</f>
        <v>1</v>
      </c>
      <c r="W21" s="20">
        <f xml:space="preserve"> E$8 + ((electricity_cost311418222630343842[[#This Row],[Elect. Net cost to date
(TND)]] + E$6 + gas_cost10713519232731353943[[#This Row],[Gas Net cost to date
(TND)]] + E$7) * (1 + E$5))</f>
        <v>54.284299999999995</v>
      </c>
      <c r="X21" s="38"/>
    </row>
    <row r="22" spans="2:25" x14ac:dyDescent="0.25">
      <c r="B22">
        <v>24815</v>
      </c>
      <c r="C22" s="6">
        <v>44082</v>
      </c>
      <c r="D22" s="54">
        <v>44209</v>
      </c>
      <c r="E22">
        <v>24851</v>
      </c>
      <c r="F22" s="11">
        <f>electricity_cost311418222630343842[[#This Row],[ Index (KWh)]]-electricity_cost311418222630343842[[#This Row],[Original index 
(KWh)]]</f>
        <v>36</v>
      </c>
      <c r="G22" s="6">
        <v>44088</v>
      </c>
      <c r="H22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2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6.516</v>
      </c>
      <c r="J22" s="10">
        <f xml:space="preserve"> (E$6 + electricity_cost311418222630343842[[#This Row],[Elect. Net cost to date
(TND)]]) * (1 + E$5)</f>
        <v>42.380879999999991</v>
      </c>
      <c r="K22" s="12">
        <f>electricity_cost311418222630343842[[#This Row],[Elect. Cost  VAT included
(TND)
]]-J21/(electricity_cost311418222630343842[[#This Row],[Date of reading 
(Elect + Gas)]]-G21)</f>
        <v>0.8543199999999942</v>
      </c>
      <c r="L22" s="12">
        <f>(electricity_cost311418222630343842[[#This Row],[Consumption to date (KWh)]] - F21)/_xlfn.DAYS(electricity_cost311418222630343842[[#This Row],[Date of reading 
(Elect + Gas)]], G21)</f>
        <v>4</v>
      </c>
      <c r="M22" s="11">
        <v>12058</v>
      </c>
      <c r="P22" s="11">
        <v>12062</v>
      </c>
      <c r="Q22" s="11">
        <f>gas_cost10713519232731353943[[#This Row],[ Index (m3)]] - gas_cost10713519232731353943[[#This Row],[Original index 
(m3)]]</f>
        <v>4</v>
      </c>
      <c r="R22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2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0.92400000000000004</v>
      </c>
      <c r="T22" s="12">
        <f xml:space="preserve"> gas_cost10713519232731353943[[#This Row],[Gas Net cost to date
(TND)]]* (1 + E$5)</f>
        <v>1.09032</v>
      </c>
      <c r="U22" s="12">
        <f>(gas_cost10713519232731353943[[#This Row],[Gas Cost to date  VAT included
(TND)
]] - T21)/_xlfn.DAYS(electricity_cost311418222630343842[[#This Row],[Date of reading 
(Elect + Gas)]], G21)</f>
        <v>0.27258000000000004</v>
      </c>
      <c r="V22" s="12">
        <f>(gas_cost10713519232731353943[[#This Row],[Consumption (m3)]] - Q21)/_xlfn.DAYS(electricity_cost311418222630343842[[#This Row],[Date of reading 
(Elect + Gas)]], G21)</f>
        <v>1</v>
      </c>
      <c r="W22" s="20">
        <f xml:space="preserve"> E$8 + ((electricity_cost311418222630343842[[#This Row],[Elect. Net cost to date
(TND)]] + E$6 + gas_cost10713519232731353943[[#This Row],[Gas Net cost to date
(TND)]] + E$7) * (1 + E$5))</f>
        <v>55.411199999999994</v>
      </c>
      <c r="X22" s="38"/>
    </row>
    <row r="23" spans="2:25" x14ac:dyDescent="0.25">
      <c r="B23">
        <v>24815</v>
      </c>
      <c r="C23" s="6">
        <v>44082</v>
      </c>
      <c r="D23" s="54">
        <v>44209</v>
      </c>
      <c r="E23">
        <v>24870</v>
      </c>
      <c r="F23" s="11">
        <f>electricity_cost311418222630343842[[#This Row],[ Index (KWh)]]-electricity_cost311418222630343842[[#This Row],[Original index 
(KWh)]]</f>
        <v>55</v>
      </c>
      <c r="G23" s="6">
        <v>44092</v>
      </c>
      <c r="H23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3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9.9550000000000001</v>
      </c>
      <c r="J23" s="10">
        <f xml:space="preserve"> (E$6 + electricity_cost311418222630343842[[#This Row],[Elect. Net cost to date
(TND)]]) * (1 + E$5)</f>
        <v>46.438899999999997</v>
      </c>
      <c r="K23" s="12">
        <f>(electricity_cost311418222630343842[[#This Row],[Elect. Cost  VAT included
(TND)
]]-J22)/_xlfn.DAYS(electricity_cost311418222630343842[[#This Row],[Date of reading 
(Elect + Gas)]], G22)</f>
        <v>1.0145050000000015</v>
      </c>
      <c r="L23" s="12">
        <f>(electricity_cost311418222630343842[[#This Row],[Consumption to date (KWh)]] - F22)/_xlfn.DAYS(electricity_cost311418222630343842[[#This Row],[Date of reading 
(Elect + Gas)]], G22)</f>
        <v>4.75</v>
      </c>
      <c r="M23" s="11">
        <v>12058</v>
      </c>
      <c r="P23" s="11">
        <v>12064</v>
      </c>
      <c r="Q23" s="11">
        <f>gas_cost10713519232731353943[[#This Row],[ Index (m3)]] - gas_cost10713519232731353943[[#This Row],[Original index 
(m3)]]</f>
        <v>6</v>
      </c>
      <c r="R23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3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1.3859999999999999</v>
      </c>
      <c r="T23" s="12">
        <f xml:space="preserve"> gas_cost10713519232731353943[[#This Row],[Gas Net cost to date
(TND)]]* (1 + E$5)</f>
        <v>1.6354799999999998</v>
      </c>
      <c r="U23" s="12">
        <f>(gas_cost10713519232731353943[[#This Row],[Gas Cost to date  VAT included
(TND)
]] - T22)/_xlfn.DAYS(electricity_cost311418222630343842[[#This Row],[Date of reading 
(Elect + Gas)]], G22)</f>
        <v>0.13628999999999997</v>
      </c>
      <c r="V23" s="12">
        <f>(gas_cost10713519232731353943[[#This Row],[Consumption (m3)]] - Q22)/_xlfn.DAYS(electricity_cost311418222630343842[[#This Row],[Date of reading 
(Elect + Gas)]], G22)</f>
        <v>0.5</v>
      </c>
      <c r="W23" s="20">
        <f xml:space="preserve"> E$8 + ((electricity_cost311418222630343842[[#This Row],[Elect. Net cost to date
(TND)]] + E$6 + gas_cost10713519232731353943[[#This Row],[Gas Net cost to date
(TND)]] + E$7) * (1 + E$5))</f>
        <v>60.014380000000003</v>
      </c>
      <c r="X23" s="38"/>
    </row>
    <row r="24" spans="2:25" x14ac:dyDescent="0.25">
      <c r="B24">
        <v>24815</v>
      </c>
      <c r="C24" s="6">
        <v>44082</v>
      </c>
      <c r="D24" s="54">
        <v>44209</v>
      </c>
      <c r="E24">
        <v>24901</v>
      </c>
      <c r="F24" s="11">
        <f>electricity_cost311418222630343842[[#This Row],[ Index (KWh)]]-electricity_cost311418222630343842[[#This Row],[Original index 
(KWh)]]</f>
        <v>86</v>
      </c>
      <c r="G24" s="6">
        <v>44098</v>
      </c>
      <c r="H24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4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15.566000000000001</v>
      </c>
      <c r="J24" s="10">
        <f xml:space="preserve"> (E$6 + electricity_cost311418222630343842[[#This Row],[Elect. Net cost to date
(TND)]]) * (1 + E$5)</f>
        <v>53.05988</v>
      </c>
      <c r="K24" s="12">
        <f>electricity_cost311418222630343842[[#This Row],[Elect. Cost  VAT included
(TND)
]]-J23/(electricity_cost311418222630343842[[#This Row],[Date of reading 
(Elect + Gas)]]-G23)</f>
        <v>45.320063333333337</v>
      </c>
      <c r="L24" s="12">
        <f>(electricity_cost311418222630343842[[#This Row],[Consumption to date (KWh)]] - F23)/_xlfn.DAYS(electricity_cost311418222630343842[[#This Row],[Date of reading 
(Elect + Gas)]], G23)</f>
        <v>5.166666666666667</v>
      </c>
      <c r="M24" s="11">
        <v>12058</v>
      </c>
      <c r="P24" s="11">
        <v>12069</v>
      </c>
      <c r="Q24" s="11">
        <f>gas_cost10713519232731353943[[#This Row],[ Index (m3)]] - gas_cost10713519232731353943[[#This Row],[Original index 
(m3)]]</f>
        <v>11</v>
      </c>
      <c r="R24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4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2.5409999999999999</v>
      </c>
      <c r="T24" s="12">
        <f xml:space="preserve"> gas_cost10713519232731353943[[#This Row],[Gas Net cost to date
(TND)]]* (1 + E$5)</f>
        <v>2.9983799999999996</v>
      </c>
      <c r="U24" s="12">
        <f>(gas_cost10713519232731353943[[#This Row],[Gas Cost to date  VAT included
(TND)
]] - T23)/_xlfn.DAYS(electricity_cost311418222630343842[[#This Row],[Date of reading 
(Elect + Gas)]], G23)</f>
        <v>0.22714999999999996</v>
      </c>
      <c r="V24" s="12">
        <f>(gas_cost10713519232731353943[[#This Row],[Consumption (m3)]] - Q23)/_xlfn.DAYS(electricity_cost311418222630343842[[#This Row],[Date of reading 
(Elect + Gas)]], G23)</f>
        <v>0.83333333333333337</v>
      </c>
      <c r="W24" s="20">
        <f xml:space="preserve"> E$8 + ((electricity_cost311418222630343842[[#This Row],[Elect. Net cost to date
(TND)]] + E$6 + gas_cost10713519232731353943[[#This Row],[Gas Net cost to date
(TND)]] + E$7) * (1 + E$5))</f>
        <v>67.998259999999988</v>
      </c>
      <c r="X24" s="38"/>
    </row>
    <row r="25" spans="2:25" x14ac:dyDescent="0.25">
      <c r="B25">
        <v>24815</v>
      </c>
      <c r="C25" s="6">
        <v>44082</v>
      </c>
      <c r="D25" s="54">
        <v>44209</v>
      </c>
      <c r="E25" s="15">
        <v>25015</v>
      </c>
      <c r="F25" s="60">
        <f>electricity_cost311418222630343842[[#This Row],[ Index (KWh)]]-electricity_cost311418222630343842[[#This Row],[Original index 
(KWh)]]</f>
        <v>200</v>
      </c>
      <c r="G25" s="58">
        <v>44123</v>
      </c>
      <c r="H25" s="6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5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36.200000000000003</v>
      </c>
      <c r="J25" s="10">
        <f xml:space="preserve"> (E$6 + electricity_cost311418222630343842[[#This Row],[Elect. Net cost to date
(TND)]]) * (1 + E$5)</f>
        <v>77.407999999999987</v>
      </c>
      <c r="K25" s="12">
        <f>(electricity_cost311418222630343842[[#This Row],[Elect. Cost  VAT included
(TND)
]]-J24)/_xlfn.DAYS(electricity_cost311418222630343842[[#This Row],[Date of reading 
(Elect + Gas)]], G24)</f>
        <v>0.97392479999999948</v>
      </c>
      <c r="L25" s="12">
        <f>(electricity_cost311418222630343842[[#This Row],[Consumption to date (KWh)]] - F24)/_xlfn.DAYS(electricity_cost311418222630343842[[#This Row],[Date of reading 
(Elect + Gas)]], G24)</f>
        <v>4.5599999999999996</v>
      </c>
      <c r="M25" s="11">
        <v>12058</v>
      </c>
      <c r="P25" s="11">
        <v>12091</v>
      </c>
      <c r="Q25" s="11">
        <f>gas_cost10713519232731353943[[#This Row],[ Index (m3)]] - gas_cost10713519232731353943[[#This Row],[Original index 
(m3)]]</f>
        <v>33</v>
      </c>
      <c r="R25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5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7.6230000000000002</v>
      </c>
      <c r="T25" s="12">
        <f xml:space="preserve"> gas_cost10713519232731353943[[#This Row],[Gas Net cost to date
(TND)]]* (1 + E$5)</f>
        <v>8.9951399999999992</v>
      </c>
      <c r="U25" s="12">
        <f>(gas_cost10713519232731353943[[#This Row],[Gas Cost to date  VAT included
(TND)
]] - T24)/_xlfn.DAYS(electricity_cost311418222630343842[[#This Row],[Date of reading 
(Elect + Gas)]], G24)</f>
        <v>0.23987040000000001</v>
      </c>
      <c r="V25" s="12">
        <f>(gas_cost10713519232731353943[[#This Row],[Consumption (m3)]] - Q24)/_xlfn.DAYS(electricity_cost311418222630343842[[#This Row],[Date of reading 
(Elect + Gas)]], G24)</f>
        <v>0.88</v>
      </c>
      <c r="W25" s="20">
        <f xml:space="preserve"> E$8 + ((electricity_cost311418222630343842[[#This Row],[Elect. Net cost to date
(TND)]] + E$6 + gas_cost10713519232731353943[[#This Row],[Gas Net cost to date
(TND)]] + E$7) * (1 + E$5))</f>
        <v>98.343139999999991</v>
      </c>
      <c r="X25" s="38"/>
    </row>
    <row r="26" spans="2:25" x14ac:dyDescent="0.25">
      <c r="B26">
        <v>24815</v>
      </c>
      <c r="C26" s="6">
        <v>44082</v>
      </c>
      <c r="D26" s="54">
        <v>44209</v>
      </c>
      <c r="E26">
        <v>25019</v>
      </c>
      <c r="F26" s="11">
        <f>electricity_cost311418222630343842[[#This Row],[ Index (KWh)]]-electricity_cost311418222630343842[[#This Row],[Original index 
(KWh)]]</f>
        <v>204</v>
      </c>
      <c r="G26" s="6">
        <v>44124</v>
      </c>
      <c r="H26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6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36.923999999999999</v>
      </c>
      <c r="J26" s="10">
        <f xml:space="preserve"> (E$6 + electricity_cost311418222630343842[[#This Row],[Elect. Net cost to date
(TND)]]) * (1 + E$5)</f>
        <v>78.262319999999988</v>
      </c>
      <c r="K26" s="12">
        <f>electricity_cost311418222630343842[[#This Row],[Elect. Cost  VAT included
(TND)
]]-J25/(electricity_cost311418222630343842[[#This Row],[Date of reading 
(Elect + Gas)]]-G25)</f>
        <v>0.8543200000000013</v>
      </c>
      <c r="L26" s="12">
        <f>(electricity_cost311418222630343842[[#This Row],[Consumption to date (KWh)]] - F25)/_xlfn.DAYS(electricity_cost311418222630343842[[#This Row],[Date of reading 
(Elect + Gas)]], G25)</f>
        <v>4</v>
      </c>
      <c r="M26" s="11">
        <v>12058</v>
      </c>
      <c r="P26" s="11">
        <v>12092</v>
      </c>
      <c r="Q26" s="11">
        <f>gas_cost10713519232731353943[[#This Row],[ Index (m3)]] - gas_cost10713519232731353943[[#This Row],[Original index 
(m3)]]</f>
        <v>34</v>
      </c>
      <c r="R26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6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7.8540000000000001</v>
      </c>
      <c r="T26" s="12">
        <f xml:space="preserve"> gas_cost10713519232731353943[[#This Row],[Gas Net cost to date
(TND)]]* (1 + E$5)</f>
        <v>9.2677199999999988</v>
      </c>
      <c r="U26" s="12">
        <f>(gas_cost10713519232731353943[[#This Row],[Gas Cost to date  VAT included
(TND)
]] - T25)/_xlfn.DAYS(electricity_cost311418222630343842[[#This Row],[Date of reading 
(Elect + Gas)]], G25)</f>
        <v>0.2725799999999996</v>
      </c>
      <c r="V26" s="12">
        <f>(gas_cost10713519232731353943[[#This Row],[Consumption (m3)]] - Q25)/_xlfn.DAYS(electricity_cost311[[#This Row],[Date of reading 
(Elect + Gas)]], G25)</f>
        <v>-1.002004008016032E-3</v>
      </c>
      <c r="W26" s="20">
        <f xml:space="preserve"> E$8 + ((electricity_cost311418222630343842[[#This Row],[Elect. Net cost to date
(TND)]] + E$6 + gas_cost10713519232731353943[[#This Row],[Gas Net cost to date
(TND)]] + E$7) * (1 + E$5))</f>
        <v>99.470039999999983</v>
      </c>
      <c r="X26" s="38"/>
    </row>
    <row r="27" spans="2:25" x14ac:dyDescent="0.25">
      <c r="B27">
        <v>24815</v>
      </c>
      <c r="C27" s="6">
        <v>44082</v>
      </c>
      <c r="D27" s="54">
        <v>44209</v>
      </c>
      <c r="E27" s="15">
        <v>25064</v>
      </c>
      <c r="F27" s="60">
        <f>electricity_cost311418222630343842[[#This Row],[ Index (KWh)]]-electricity_cost311418222630343842[[#This Row],[Original index 
(KWh)]]</f>
        <v>249</v>
      </c>
      <c r="G27" s="58">
        <v>44134</v>
      </c>
      <c r="H27" s="6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7" s="6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45.069000000000003</v>
      </c>
      <c r="J27" s="65">
        <f xml:space="preserve"> (E$6 + electricity_cost311418222630343842[[#This Row],[Elect. Net cost to date
(TND)]]) * (1 + E$5)</f>
        <v>87.873419999999982</v>
      </c>
      <c r="K27" s="12">
        <f>(electricity_cost311418222630343842[[#This Row],[Elect. Cost  VAT included
(TND)
]]-J26)/_xlfn.DAYS(electricity_cost311418222630343842[[#This Row],[Date of reading 
(Elect + Gas)]], G26)</f>
        <v>0.96110999999999935</v>
      </c>
      <c r="L27" s="62">
        <f>(electricity_cost311418222630343842[[#This Row],[Consumption to date (KWh)]] - F26)/_xlfn.DAYS(electricity_cost311418222630343842[[#This Row],[Date of reading 
(Elect + Gas)]], G26)</f>
        <v>4.5</v>
      </c>
      <c r="M27" s="11">
        <v>12058</v>
      </c>
      <c r="P27" s="11">
        <v>12103</v>
      </c>
      <c r="Q27" s="11">
        <f>gas_cost10713519232731353943[[#This Row],[ Index (m3)]] - gas_cost10713519232731353943[[#This Row],[Original index 
(m3)]]</f>
        <v>45</v>
      </c>
      <c r="R27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7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10.395</v>
      </c>
      <c r="T27" s="12">
        <f xml:space="preserve"> gas_cost10713519232731353943[[#This Row],[Gas Net cost to date
(TND)]]* (1 + E$5)</f>
        <v>12.266099999999998</v>
      </c>
      <c r="U27" s="12">
        <f>(gas_cost10713519232731353943[[#This Row],[Gas Cost to date  VAT included
(TND)
]] - T26)/_xlfn.DAYS(electricity_cost311418222630343842[[#This Row],[Date of reading 
(Elect + Gas)]], G26)</f>
        <v>0.29983799999999994</v>
      </c>
      <c r="V27" s="12">
        <f>(gas_cost10713519232731353943[[#This Row],[Consumption (m3)]] - Q26)/_xlfn.DAYS(electricity_cost311418222630343842[[#This Row],[Date of reading 
(Elect + Gas)]], G26)</f>
        <v>1.1000000000000001</v>
      </c>
      <c r="W27" s="20">
        <f xml:space="preserve"> E$8 + ((electricity_cost311418222630343842[[#This Row],[Elect. Net cost to date
(TND)]] + E$6 + gas_cost10713519232731353943[[#This Row],[Gas Net cost to date
(TND)]] + E$7) * (1 + E$5))</f>
        <v>112.07951999999997</v>
      </c>
      <c r="X27" s="38"/>
    </row>
    <row r="28" spans="2:25" x14ac:dyDescent="0.25">
      <c r="B28">
        <v>24815</v>
      </c>
      <c r="C28" s="6">
        <v>44082</v>
      </c>
      <c r="D28" s="54">
        <v>44209</v>
      </c>
      <c r="E28">
        <v>25097</v>
      </c>
      <c r="F28" s="11">
        <f>electricity_cost311418222630343842[[#This Row],[ Index (KWh)]]-electricity_cost311418222630343842[[#This Row],[Original index 
(KWh)]]</f>
        <v>282</v>
      </c>
      <c r="G28" s="6">
        <v>44141</v>
      </c>
      <c r="H28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8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51.042000000000002</v>
      </c>
      <c r="J28" s="10">
        <f xml:space="preserve"> (E$6 + electricity_cost311418222630343842[[#This Row],[Elect. Net cost to date
(TND)]]) * (1 + E$5)</f>
        <v>94.921559999999999</v>
      </c>
      <c r="K28" s="12">
        <f>(electricity_cost311418222630343842[[#This Row],[Elect. Cost  VAT included
(TND)
]]-J27)/_xlfn.DAYS(electricity_cost311418222630343842[[#This Row],[Date of reading 
(Elect + Gas)]], G27)</f>
        <v>1.0068771428571455</v>
      </c>
      <c r="L28" s="12">
        <f>(electricity_cost311418222630343842[[#This Row],[Consumption to date (KWh)]] - F27)/_xlfn.DAYS(electricity_cost311418222630343842[[#This Row],[Date of reading 
(Elect + Gas)]], G27)</f>
        <v>4.7142857142857144</v>
      </c>
      <c r="M28" s="11">
        <v>12058</v>
      </c>
      <c r="P28" s="11">
        <v>12112</v>
      </c>
      <c r="Q28" s="11">
        <f>gas_cost10713519232731353943[[#This Row],[ Index (m3)]] - gas_cost10713519232731353943[[#This Row],[Original index 
(m3)]]</f>
        <v>54</v>
      </c>
      <c r="R28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8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12.474</v>
      </c>
      <c r="T28" s="12">
        <f xml:space="preserve"> gas_cost10713519232731353943[[#This Row],[Gas Net cost to date
(TND)]]* (1 + E$5)</f>
        <v>14.71932</v>
      </c>
      <c r="U28" s="12">
        <f>(gas_cost10713519232731353943[[#This Row],[Gas Cost to date  VAT included
(TND)
]] - T27)/_xlfn.DAYS(electricity_cost311418222630343842[[#This Row],[Date of reading 
(Elect + Gas)]], G27)</f>
        <v>0.35046000000000027</v>
      </c>
      <c r="V28" s="12">
        <f>(gas_cost10713519232731353943[[#This Row],[Consumption (m3)]] - Q27)/_xlfn.DAYS(electricity_cost311418222630343842[[#This Row],[Date of reading 
(Elect + Gas)]], G27)</f>
        <v>1.2857142857142858</v>
      </c>
      <c r="W28" s="20">
        <f xml:space="preserve"> E$8 + ((electricity_cost311418222630343842[[#This Row],[Elect. Net cost to date
(TND)]] + E$6 + gas_cost10713519232731353943[[#This Row],[Gas Net cost to date
(TND)]] + E$7) * (1 + E$5))</f>
        <v>121.58088000000001</v>
      </c>
      <c r="X28" s="38"/>
    </row>
    <row r="29" spans="2:25" x14ac:dyDescent="0.25">
      <c r="B29" s="15">
        <v>24815</v>
      </c>
      <c r="C29" s="58">
        <v>44082</v>
      </c>
      <c r="D29" s="59">
        <v>44209</v>
      </c>
      <c r="E29" s="15">
        <v>25182</v>
      </c>
      <c r="F29" s="60">
        <f>electricity_cost311418222630343842[[#This Row],[ Index (KWh)]]-electricity_cost311418222630343842[[#This Row],[Original index 
(KWh)]]</f>
        <v>367</v>
      </c>
      <c r="G29" s="58">
        <v>44158</v>
      </c>
      <c r="H29" s="6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29" s="6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66.427000000000007</v>
      </c>
      <c r="J29" s="65">
        <f xml:space="preserve"> (E$6 + electricity_cost311418222630343842[[#This Row],[Elect. Net cost to date
(TND)]]) * (1 + E$5)</f>
        <v>113.07585999999999</v>
      </c>
      <c r="K29" s="12">
        <f>(electricity_cost311418222630343842[[#This Row],[Elect. Cost  VAT included
(TND)
]]-J28)/_xlfn.DAYS(electricity_cost311418222630343842[[#This Row],[Date of reading 
(Elect + Gas)]], G28)</f>
        <v>1.0678999999999996</v>
      </c>
      <c r="L29" s="62">
        <f>(electricity_cost311418222630343842[[#This Row],[Consumption to date (KWh)]] - F28)/_xlfn.DAYS(electricity_cost311418222630343842[[#This Row],[Date of reading 
(Elect + Gas)]], G28)</f>
        <v>5</v>
      </c>
      <c r="M29" s="11">
        <v>12058</v>
      </c>
      <c r="P29" s="11">
        <v>12134</v>
      </c>
      <c r="Q29" s="11">
        <f>gas_cost10713519232731353943[[#This Row],[ Index (m3)]] - gas_cost10713519232731353943[[#This Row],[Original index 
(m3)]]</f>
        <v>76</v>
      </c>
      <c r="R29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29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17.556000000000001</v>
      </c>
      <c r="T29" s="12">
        <f xml:space="preserve"> gas_cost10713519232731353943[[#This Row],[Gas Net cost to date
(TND)]]* (1 + E$5)</f>
        <v>20.716080000000002</v>
      </c>
      <c r="U29" s="12">
        <f>(gas_cost10713519232731353943[[#This Row],[Gas Cost to date  VAT included
(TND)
]] - T28)/_xlfn.DAYS(electricity_cost311418222630343842[[#This Row],[Date of reading 
(Elect + Gas)]], G28)</f>
        <v>0.3527505882352942</v>
      </c>
      <c r="V29" s="12">
        <f>(gas_cost10713519232731353943[[#This Row],[Consumption (m3)]] - Q28)/_xlfn.DAYS(electricity_cost311418222630343842[[#This Row],[Date of reading 
(Elect + Gas)]], G28)</f>
        <v>1.2941176470588236</v>
      </c>
      <c r="W29" s="20">
        <f xml:space="preserve"> E$8 + ((electricity_cost311418222630343842[[#This Row],[Elect. Net cost to date
(TND)]] + E$6 + gas_cost10713519232731353943[[#This Row],[Gas Net cost to date
(TND)]] + E$7) * (1 + E$5))</f>
        <v>145.73193999999998</v>
      </c>
      <c r="X29" s="38"/>
    </row>
    <row r="30" spans="2:25" x14ac:dyDescent="0.25">
      <c r="B30">
        <v>24815</v>
      </c>
      <c r="C30" s="6">
        <v>44082</v>
      </c>
      <c r="D30" s="54">
        <v>44209</v>
      </c>
      <c r="E30" s="11">
        <v>25217</v>
      </c>
      <c r="F30" s="60">
        <f>electricity_cost311418222630343842[[#This Row],[ Index (KWh)]]-electricity_cost311418222630343842[[#This Row],[Original index 
(KWh)]]</f>
        <v>402</v>
      </c>
      <c r="G30" s="6">
        <v>44165</v>
      </c>
      <c r="H30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0" s="6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72.762</v>
      </c>
      <c r="J30" s="65">
        <f xml:space="preserve"> (E$6 + electricity_cost311418222630343842[[#This Row],[Elect. Net cost to date
(TND)]]) * (1 + E$5)</f>
        <v>120.55116</v>
      </c>
      <c r="K30" s="12">
        <f>(electricity_cost311418222630343842[[#This Row],[Elect. Cost  VAT included
(TND)
]]-J29)/_xlfn.DAYS(electricity_cost311418222630343842[[#This Row],[Date of reading 
(Elect + Gas)]], G29)</f>
        <v>1.0679000000000005</v>
      </c>
      <c r="L30" s="62">
        <f>(electricity_cost311418222630343842[[#This Row],[Consumption to date (KWh)]] - F29)/_xlfn.DAYS(electricity_cost311418222630343842[[#This Row],[Date of reading 
(Elect + Gas)]], G29)</f>
        <v>5</v>
      </c>
      <c r="M30" s="11">
        <v>12058</v>
      </c>
      <c r="P30" s="11">
        <v>12144</v>
      </c>
      <c r="Q30" s="11">
        <f>gas_cost10713519232731353943[[#This Row],[ Index (m3)]] - gas_cost10713519232731353943[[#This Row],[Original index 
(m3)]]</f>
        <v>86</v>
      </c>
      <c r="R30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30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19.866</v>
      </c>
      <c r="T30" s="12">
        <f xml:space="preserve"> gas_cost10713519232731353943[[#This Row],[Gas Net cost to date
(TND)]]* (1 + E$5)</f>
        <v>23.441879999999998</v>
      </c>
      <c r="U30" s="12">
        <f>(gas_cost10713519232731353943[[#This Row],[Gas Cost to date  VAT included
(TND)
]] - T29)/_xlfn.DAYS(electricity_cost311418222630343842[[#This Row],[Date of reading 
(Elect + Gas)]], G29)</f>
        <v>0.38939999999999941</v>
      </c>
      <c r="V30" s="12">
        <f>(gas_cost10713519232731353943[[#This Row],[Consumption (m3)]] - Q29)/_xlfn.DAYS(electricity_cost311418222630343842[[#This Row],[Date of reading 
(Elect + Gas)]], G29)</f>
        <v>1.4285714285714286</v>
      </c>
      <c r="W30" s="20">
        <f xml:space="preserve"> E$8 + ((electricity_cost311418222630343842[[#This Row],[Elect. Net cost to date
(TND)]] + E$6 + gas_cost10713519232731353943[[#This Row],[Gas Net cost to date
(TND)]] + E$7) * (1 + E$5))</f>
        <v>155.93304000000001</v>
      </c>
      <c r="X30" s="38"/>
    </row>
    <row r="31" spans="2:25" x14ac:dyDescent="0.25">
      <c r="B31" s="15">
        <v>24815</v>
      </c>
      <c r="C31" s="58">
        <v>44082</v>
      </c>
      <c r="D31" s="59">
        <v>44209</v>
      </c>
      <c r="E31" s="11">
        <v>25222</v>
      </c>
      <c r="F31" s="11">
        <f>electricity_cost311418222630343842[[#This Row],[ Index (KWh)]]-electricity_cost311418222630343842[[#This Row],[Original index 
(KWh)]]</f>
        <v>407</v>
      </c>
      <c r="G31" s="6">
        <v>44166</v>
      </c>
      <c r="H31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1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73.667000000000002</v>
      </c>
      <c r="J31" s="10">
        <f xml:space="preserve"> (E$6 + electricity_cost311418222630343842[[#This Row],[Elect. Net cost to date
(TND)]]) * (1 + E$5)</f>
        <v>121.61906</v>
      </c>
      <c r="K31" s="12">
        <f>(electricity_cost311418222630343842[[#This Row],[Elect. Cost  VAT included
(TND)
]]-J30)/_xlfn.DAYS(electricity_cost311418222630343842[[#This Row],[Date of reading 
(Elect + Gas)]], G30)</f>
        <v>1.0679000000000087</v>
      </c>
      <c r="L31" s="12">
        <f>(electricity_cost311418222630343842[[#This Row],[Consumption to date (KWh)]] - F30)/_xlfn.DAYS(electricity_cost311418222630343842[[#This Row],[Date of reading 
(Elect + Gas)]], G30)</f>
        <v>5</v>
      </c>
      <c r="M31" s="11">
        <v>12058</v>
      </c>
      <c r="P31" s="11">
        <v>12146</v>
      </c>
      <c r="Q31" s="11">
        <f>gas_cost10713519232731353943[[#This Row],[ Index (m3)]] - gas_cost10713519232731353943[[#This Row],[Original index 
(m3)]]</f>
        <v>88</v>
      </c>
      <c r="R31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31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20.327999999999999</v>
      </c>
      <c r="T31" s="12">
        <f xml:space="preserve"> gas_cost10713519232731353943[[#This Row],[Gas Net cost to date
(TND)]]* (1 + E$5)</f>
        <v>23.987039999999997</v>
      </c>
      <c r="U31" s="12">
        <f>(gas_cost10713519232731353943[[#This Row],[Gas Cost to date  VAT included
(TND)
]] - T30)/_xlfn.DAYS(electricity_cost311418222630343842[[#This Row],[Date of reading 
(Elect + Gas)]], G30)</f>
        <v>0.5451599999999992</v>
      </c>
      <c r="V31" s="12">
        <f>(gas_cost10713519232731353943[[#This Row],[Consumption (m3)]] - Q30)/_xlfn.DAYS(electricity_cost311418222630343842[[#This Row],[Date of reading 
(Elect + Gas)]], G30)</f>
        <v>2</v>
      </c>
      <c r="W31" s="20">
        <f xml:space="preserve"> E$8 + ((electricity_cost311418222630343842[[#This Row],[Elect. Net cost to date
(TND)]] + E$6 + gas_cost10713519232731353943[[#This Row],[Gas Net cost to date
(TND)]] + E$7) * (1 + E$5))</f>
        <v>157.5461</v>
      </c>
      <c r="X31" s="38"/>
    </row>
    <row r="32" spans="2:25" x14ac:dyDescent="0.25">
      <c r="B32">
        <v>24815</v>
      </c>
      <c r="C32" s="6">
        <v>44082</v>
      </c>
      <c r="D32" s="54">
        <v>44209</v>
      </c>
      <c r="E32" s="11">
        <v>25246</v>
      </c>
      <c r="F32" s="60">
        <f>electricity_cost311418222630343842[[#This Row],[ Index (KWh)]]-electricity_cost311418222630343842[[#This Row],[Original index 
(KWh)]]</f>
        <v>431</v>
      </c>
      <c r="G32" s="6">
        <v>44171</v>
      </c>
      <c r="H32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2" s="6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78.010999999999996</v>
      </c>
      <c r="J32" s="65">
        <f xml:space="preserve"> (E$6 + electricity_cost311418222630343842[[#This Row],[Elect. Net cost to date
(TND)]]) * (1 + E$5)</f>
        <v>126.74498</v>
      </c>
      <c r="K32" s="12">
        <f>(electricity_cost311418222630343842[[#This Row],[Elect. Cost  VAT included
(TND)
]]-J31)/_xlfn.DAYS(electricity_cost311418222630343842[[#This Row],[Date of reading 
(Elect + Gas)]], G31)</f>
        <v>1.0251839999999988</v>
      </c>
      <c r="L32" s="62">
        <f>(electricity_cost311418222630343842[[#This Row],[Consumption to date (KWh)]] - F31)/_xlfn.DAYS(electricity_cost311418222630343842[[#This Row],[Date of reading 
(Elect + Gas)]], G31)</f>
        <v>4.8</v>
      </c>
      <c r="M32" s="11">
        <v>12058</v>
      </c>
      <c r="P32" s="11">
        <v>12158</v>
      </c>
      <c r="Q32" s="11">
        <f>gas_cost10713519232731353943[[#This Row],[ Index (m3)]] - gas_cost10713519232731353943[[#This Row],[Original index 
(m3)]]</f>
        <v>100</v>
      </c>
      <c r="R32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32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23.1</v>
      </c>
      <c r="T32" s="12">
        <f xml:space="preserve"> gas_cost10713519232731353943[[#This Row],[Gas Net cost to date
(TND)]]* (1 + E$5)</f>
        <v>27.257999999999999</v>
      </c>
      <c r="U32" s="12">
        <f>(gas_cost10713519232731353943[[#This Row],[Gas Cost to date  VAT included
(TND)
]] - T31)/_xlfn.DAYS(electricity_cost311418222630343842[[#This Row],[Date of reading 
(Elect + Gas)]], G31)</f>
        <v>0.65419200000000044</v>
      </c>
      <c r="V32" s="12">
        <f>(gas_cost10713519232731353943[[#This Row],[Consumption (m3)]] - Q31)/_xlfn.DAYS(electricity_cost311418222630343842[[#This Row],[Date of reading 
(Elect + Gas)]], G31)</f>
        <v>2.4</v>
      </c>
      <c r="W32" s="20">
        <f xml:space="preserve"> E$8 + ((electricity_cost311418222630343842[[#This Row],[Elect. Net cost to date
(TND)]] + E$6 + gas_cost10713519232731353943[[#This Row],[Gas Net cost to date
(TND)]] + E$7) * (1 + E$5))</f>
        <v>165.94297999999998</v>
      </c>
      <c r="X32" s="38"/>
    </row>
    <row r="33" spans="2:24" x14ac:dyDescent="0.25">
      <c r="B33" s="15">
        <v>24815</v>
      </c>
      <c r="C33" s="58">
        <v>44082</v>
      </c>
      <c r="D33" s="59">
        <v>44209</v>
      </c>
      <c r="E33" s="11">
        <v>25252</v>
      </c>
      <c r="F33" s="60">
        <f>electricity_cost311418222630343842[[#This Row],[ Index (KWh)]]-electricity_cost311418222630343842[[#This Row],[Original index 
(KWh)]]</f>
        <v>437</v>
      </c>
      <c r="G33" s="6">
        <v>44172</v>
      </c>
      <c r="H33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3" s="6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79.096999999999994</v>
      </c>
      <c r="J33" s="65">
        <f xml:space="preserve"> (E$6 + electricity_cost311418222630343842[[#This Row],[Elect. Net cost to date
(TND)]]) * (1 + E$5)</f>
        <v>128.02645999999999</v>
      </c>
      <c r="K33" s="12">
        <f>(electricity_cost311418222630343842[[#This Row],[Elect. Cost  VAT included
(TND)
]]-J32)/_xlfn.DAYS(electricity_cost311418222630343842[[#This Row],[Date of reading 
(Elect + Gas)]], G32)</f>
        <v>1.2814799999999877</v>
      </c>
      <c r="L33" s="62">
        <f>(electricity_cost311418222630343842[[#This Row],[Consumption to date (KWh)]] - F32)/_xlfn.DAYS(electricity_cost311418222630343842[[#This Row],[Date of reading 
(Elect + Gas)]], G32)</f>
        <v>6</v>
      </c>
      <c r="M33" s="11">
        <v>12058</v>
      </c>
      <c r="P33" s="11">
        <v>12161</v>
      </c>
      <c r="Q33" s="11">
        <f>gas_cost10713519232731353943[[#This Row],[ Index (m3)]] - gas_cost10713519232731353943[[#This Row],[Original index 
(m3)]]</f>
        <v>103</v>
      </c>
      <c r="R33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33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23.792999999999999</v>
      </c>
      <c r="T33" s="12">
        <f xml:space="preserve"> gas_cost10713519232731353943[[#This Row],[Gas Net cost to date
(TND)]]* (1 + E$5)</f>
        <v>28.075739999999996</v>
      </c>
      <c r="U33" s="12">
        <f>(gas_cost10713519232731353943[[#This Row],[Gas Cost to date  VAT included
(TND)
]] - T32)/_xlfn.DAYS(electricity_cost311418222630343842[[#This Row],[Date of reading 
(Elect + Gas)]], G32)</f>
        <v>0.81773999999999702</v>
      </c>
      <c r="V33" s="12">
        <f>(gas_cost10713519232731353943[[#This Row],[Consumption (m3)]] - Q32)/_xlfn.DAYS(electricity_cost311418222630343842[[#This Row],[Date of reading 
(Elect + Gas)]], G32)</f>
        <v>3</v>
      </c>
      <c r="W33" s="20">
        <f xml:space="preserve"> E$8 + ((electricity_cost311418222630343842[[#This Row],[Elect. Net cost to date
(TND)]] + E$6 + gas_cost10713519232731353943[[#This Row],[Gas Net cost to date
(TND)]] + E$7) * (1 + E$5))</f>
        <v>168.04219999999998</v>
      </c>
      <c r="X33" s="38"/>
    </row>
    <row r="34" spans="2:24" x14ac:dyDescent="0.25">
      <c r="B34" s="15">
        <v>24815</v>
      </c>
      <c r="C34" s="58">
        <v>44082</v>
      </c>
      <c r="D34" s="59">
        <v>44209</v>
      </c>
      <c r="E34" s="11">
        <v>25257</v>
      </c>
      <c r="F34" s="60">
        <f>electricity_cost311418222630343842[[#This Row],[ Index (KWh)]]-electricity_cost311418222630343842[[#This Row],[Original index 
(KWh)]]</f>
        <v>442</v>
      </c>
      <c r="G34" s="6">
        <v>44173</v>
      </c>
      <c r="H34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4" s="6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80.001999999999995</v>
      </c>
      <c r="J34" s="65">
        <f xml:space="preserve"> (E$6 + electricity_cost311418222630343842[[#This Row],[Elect. Net cost to date
(TND)]]) * (1 + E$5)</f>
        <v>129.09435999999997</v>
      </c>
      <c r="K34" s="12">
        <f>electricity_cost311418222630343842[[#This Row],[Elect. Cost  VAT included
(TND)
]]-J33/(electricity_cost311418222630343842[[#This Row],[Date of reading 
(Elect + Gas)]]-G33)</f>
        <v>1.0678999999999803</v>
      </c>
      <c r="L34" s="62">
        <f>(electricity_cost311418222630343842[[#This Row],[Consumption to date (KWh)]] - F33)/_xlfn.DAYS(electricity_cost311418222630343842[[#This Row],[Date of reading 
(Elect + Gas)]], G33)</f>
        <v>5</v>
      </c>
      <c r="M34" s="11">
        <v>12058</v>
      </c>
      <c r="P34" s="11">
        <v>12167</v>
      </c>
      <c r="Q34" s="11">
        <f>gas_cost10713519232731353943[[#This Row],[ Index (m3)]] - gas_cost10713519232731353943[[#This Row],[Original index 
(m3)]]</f>
        <v>109</v>
      </c>
      <c r="R34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34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25.178999999999998</v>
      </c>
      <c r="T34" s="12">
        <f xml:space="preserve"> gas_cost10713519232731353943[[#This Row],[Gas Net cost to date
(TND)]]* (1 + E$5)</f>
        <v>29.711219999999997</v>
      </c>
      <c r="U34" s="12">
        <f>(gas_cost10713519232731353943[[#This Row],[Gas Cost to date  VAT included
(TND)
]] - T33)/_xlfn.DAYS(electricity_cost311418222630343842[[#This Row],[Date of reading 
(Elect + Gas)]], G33)</f>
        <v>1.6354800000000012</v>
      </c>
      <c r="V34" s="12">
        <f>(gas_cost10713519232731353943[[#This Row],[Consumption (m3)]] - Q33)/_xlfn.DAYS(electricity_cost311418222630343842[[#This Row],[Date of reading 
(Elect + Gas)]], G33)</f>
        <v>6</v>
      </c>
      <c r="W34" s="20">
        <f xml:space="preserve"> E$8 + ((electricity_cost311418222630343842[[#This Row],[Elect. Net cost to date
(TND)]] + E$6 + gas_cost10713519232731353943[[#This Row],[Gas Net cost to date
(TND)]] + E$7) * (1 + E$5))</f>
        <v>170.74557999999996</v>
      </c>
      <c r="X34" s="38"/>
    </row>
    <row r="35" spans="2:24" x14ac:dyDescent="0.25">
      <c r="B35">
        <v>24815</v>
      </c>
      <c r="C35" s="6">
        <v>44082</v>
      </c>
      <c r="D35" s="54">
        <v>44209</v>
      </c>
      <c r="E35" s="11">
        <v>25265</v>
      </c>
      <c r="F35" s="60">
        <f>electricity_cost311418222630343842[[#This Row],[ Index (KWh)]]-electricity_cost311418222630343842[[#This Row],[Original index 
(KWh)]]</f>
        <v>450</v>
      </c>
      <c r="G35" s="6">
        <v>44174</v>
      </c>
      <c r="H35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5" s="6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81.45</v>
      </c>
      <c r="J35" s="65">
        <f xml:space="preserve"> (E$6 + electricity_cost311418222630343842[[#This Row],[Elect. Net cost to date
(TND)]]) * (1 + E$5)</f>
        <v>130.803</v>
      </c>
      <c r="K35" s="12">
        <f>electricity_cost311418222630343842[[#This Row],[Elect. Cost  VAT included
(TND)
]]-J34/(electricity_cost311418222630343842[[#This Row],[Date of reading 
(Elect + Gas)]]-G34)</f>
        <v>1.708640000000031</v>
      </c>
      <c r="L35" s="62">
        <f>(electricity_cost311418222630343842[[#This Row],[Consumption to date (KWh)]] - F34)/_xlfn.DAYS(electricity_cost311418222630343842[[#This Row],[Date of reading 
(Elect + Gas)]], G34)</f>
        <v>8</v>
      </c>
      <c r="M35" s="11">
        <v>12058</v>
      </c>
      <c r="P35" s="11">
        <v>12173</v>
      </c>
      <c r="Q35" s="11">
        <f>gas_cost10713519232731353943[[#This Row],[ Index (m3)]] - gas_cost10713519232731353943[[#This Row],[Original index 
(m3)]]</f>
        <v>115</v>
      </c>
      <c r="R35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1</v>
      </c>
      <c r="S35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26.565000000000001</v>
      </c>
      <c r="T35" s="12">
        <f xml:space="preserve"> gas_cost10713519232731353943[[#This Row],[Gas Net cost to date
(TND)]]* (1 + E$5)</f>
        <v>31.346699999999998</v>
      </c>
      <c r="U35" s="12">
        <f>(gas_cost10713519232731353943[[#This Row],[Gas Cost to date  VAT included
(TND)
]] - T34)/_xlfn.DAYS(electricity_cost311418222630343842[[#This Row],[Date of reading 
(Elect + Gas)]], G34)</f>
        <v>1.6354800000000012</v>
      </c>
      <c r="V35" s="12">
        <f>(gas_cost10713519232731353943[[#This Row],[Consumption (m3)]] - Q34)/_xlfn.DAYS(electricity_cost311418222630343842[[#This Row],[Date of reading 
(Elect + Gas)]], G34)</f>
        <v>6</v>
      </c>
      <c r="W35" s="20">
        <f xml:space="preserve"> E$8 + ((electricity_cost311418222630343842[[#This Row],[Elect. Net cost to date
(TND)]] + E$6 + gas_cost10713519232731353943[[#This Row],[Gas Net cost to date
(TND)]] + E$7) * (1 + E$5))</f>
        <v>174.08969999999997</v>
      </c>
      <c r="X35" s="38"/>
    </row>
    <row r="36" spans="2:24" x14ac:dyDescent="0.25">
      <c r="B36" s="15">
        <v>24815</v>
      </c>
      <c r="C36" s="58">
        <v>44082</v>
      </c>
      <c r="D36" s="59">
        <v>44209</v>
      </c>
      <c r="E36" s="11">
        <v>25271</v>
      </c>
      <c r="F36" s="60">
        <f>electricity_cost311418222630343842[[#This Row],[ Index (KWh)]]-electricity_cost311418222630343842[[#This Row],[Original index 
(KWh)]]</f>
        <v>456</v>
      </c>
      <c r="G36" s="6">
        <v>44175</v>
      </c>
      <c r="H36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6" s="6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82.536000000000001</v>
      </c>
      <c r="J36" s="65">
        <f xml:space="preserve"> (E$6 + electricity_cost311418222630343842[[#This Row],[Elect. Net cost to date
(TND)]]) * (1 + E$5)</f>
        <v>132.08448000000001</v>
      </c>
      <c r="K36" s="12">
        <f>electricity_cost311418222630343842[[#This Row],[Elect. Cost  VAT included
(TND)
]]-J35/(electricity_cost311418222630343842[[#This Row],[Date of reading 
(Elect + Gas)]]-G35)</f>
        <v>1.2814800000000162</v>
      </c>
      <c r="L36" s="62">
        <f>(electricity_cost311418222630343842[[#This Row],[Consumption to date (KWh)]] - F35)/_xlfn.DAYS(electricity_cost311418222630343842[[#This Row],[Date of reading 
(Elect + Gas)]], G35)</f>
        <v>6</v>
      </c>
      <c r="M36" s="11">
        <v>12058</v>
      </c>
      <c r="P36" s="11">
        <v>12180</v>
      </c>
      <c r="Q36" s="11">
        <f>gas_cost10713519232731353943[[#This Row],[ Index (m3)]] - gas_cost10713519232731353943[[#This Row],[Original index 
(m3)]]</f>
        <v>122</v>
      </c>
      <c r="R36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2</v>
      </c>
      <c r="S36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41.601999999999997</v>
      </c>
      <c r="T36" s="12">
        <f xml:space="preserve"> gas_cost10713519232731353943[[#This Row],[Gas Net cost to date
(TND)]]* (1 + E$5)</f>
        <v>49.090359999999997</v>
      </c>
      <c r="U36" s="12">
        <f>(gas_cost10713519232731353943[[#This Row],[Gas Cost to date  VAT included
(TND)
]] - T35)/_xlfn.DAYS(electricity_cost311418222630343842[[#This Row],[Date of reading 
(Elect + Gas)]], G35)</f>
        <v>17.743659999999998</v>
      </c>
      <c r="V36" s="12">
        <f>(gas_cost10713519232731353943[[#This Row],[Consumption (m3)]] - Q35)/_xlfn.DAYS(electricity_cost311418222630343842[[#This Row],[Date of reading 
(Elect + Gas)]], G35)</f>
        <v>7</v>
      </c>
      <c r="W36" s="20">
        <f xml:space="preserve"> E$8 + ((electricity_cost311418222630343842[[#This Row],[Elect. Net cost to date
(TND)]] + E$6 + gas_cost10713519232731353943[[#This Row],[Gas Net cost to date
(TND)]] + E$7) * (1 + E$5))</f>
        <v>193.11483999999999</v>
      </c>
      <c r="X36" s="38"/>
    </row>
    <row r="37" spans="2:24" x14ac:dyDescent="0.25">
      <c r="B37" s="15">
        <v>24815</v>
      </c>
      <c r="C37" s="58">
        <v>44082</v>
      </c>
      <c r="D37" s="59">
        <v>44209</v>
      </c>
      <c r="E37">
        <v>25295</v>
      </c>
      <c r="F37" s="11">
        <f>electricity_cost311418222630343842[[#This Row],[ Index (KWh)]]-electricity_cost311418222630343842[[#This Row],[Original index 
(KWh)]]</f>
        <v>480</v>
      </c>
      <c r="G37" s="6">
        <v>44179</v>
      </c>
      <c r="H37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7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86.88</v>
      </c>
      <c r="J37" s="10">
        <f xml:space="preserve"> (E$6 + electricity_cost311418222630343842[[#This Row],[Elect. Net cost to date
(TND)]]) * (1 + E$5)</f>
        <v>137.21039999999999</v>
      </c>
      <c r="K37" s="12">
        <f>electricity_cost311418222630343842[[#This Row],[Elect. Cost  VAT included
(TND)
]]-J36/(electricity_cost311418222630343842[[#This Row],[Date of reading 
(Elect + Gas)]]-G36)</f>
        <v>104.18928</v>
      </c>
      <c r="L37" s="12">
        <f>(electricity_cost311418222630343842[[#This Row],[Consumption to date (KWh)]] - F36)/_xlfn.DAYS(electricity_cost311418222630343842[[#This Row],[Date of reading 
(Elect + Gas)]], G36)</f>
        <v>6</v>
      </c>
      <c r="M37" s="11">
        <v>12058</v>
      </c>
      <c r="P37" s="11">
        <v>12209</v>
      </c>
      <c r="Q37" s="11">
        <f>gas_cost10713519232731353943[[#This Row],[ Index (m3)]] - gas_cost10713519232731353943[[#This Row],[Original index 
(m3)]]</f>
        <v>151</v>
      </c>
      <c r="R37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2</v>
      </c>
      <c r="S37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51.491</v>
      </c>
      <c r="T37" s="12">
        <f xml:space="preserve"> gas_cost10713519232731353943[[#This Row],[Gas Net cost to date
(TND)]]* (1 + E$5)</f>
        <v>60.759379999999993</v>
      </c>
      <c r="U37" s="12">
        <f>(gas_cost10713519232731353943[[#This Row],[Gas Cost to date  VAT included
(TND)
]] - T36)/_xlfn.DAYS(electricity_cost311418222630343842[[#This Row],[Date of reading 
(Elect + Gas)]], G36)</f>
        <v>2.917254999999999</v>
      </c>
      <c r="V37" s="12">
        <f>(gas_cost10713519232731353943[[#This Row],[Consumption (m3)]] - Q36)/_xlfn.DAYS(electricity_cost311418222630343842[[#This Row],[Date of reading 
(Elect + Gas)]], G36)</f>
        <v>7.25</v>
      </c>
      <c r="W37" s="20">
        <f xml:space="preserve"> E$8 + ((electricity_cost311418222630343842[[#This Row],[Elect. Net cost to date
(TND)]] + E$6 + gas_cost10713519232731353943[[#This Row],[Gas Net cost to date
(TND)]] + E$7) * (1 + E$5))</f>
        <v>209.90978000000001</v>
      </c>
      <c r="X37" s="38"/>
    </row>
    <row r="38" spans="2:24" x14ac:dyDescent="0.25">
      <c r="B38" s="15">
        <v>24815</v>
      </c>
      <c r="C38" s="58">
        <v>44082</v>
      </c>
      <c r="D38" s="59">
        <v>44209</v>
      </c>
      <c r="E38">
        <v>25317</v>
      </c>
      <c r="F38" s="11">
        <f>electricity_cost311418222630343842[[#This Row],[ Index (KWh)]]-electricity_cost311418222630343842[[#This Row],[Original index 
(KWh)]]</f>
        <v>502</v>
      </c>
      <c r="G38" s="6">
        <v>44183</v>
      </c>
      <c r="H38" s="2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8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90.861999999999995</v>
      </c>
      <c r="J38" s="10">
        <f xml:space="preserve"> (E$6 + electricity_cost311418222630343842[[#This Row],[Elect. Net cost to date
(TND)]]) * (1 + E$5)</f>
        <v>141.90915999999999</v>
      </c>
      <c r="K38" s="12">
        <f>electricity_cost311418222630343842[[#This Row],[Elect. Cost  VAT included
(TND)
]]-J37/(electricity_cost311418222630343842[[#This Row],[Date of reading 
(Elect + Gas)]]-G37)</f>
        <v>107.60655999999999</v>
      </c>
      <c r="L38" s="12">
        <f>(electricity_cost311418222630343842[[#This Row],[Consumption to date (KWh)]] - F37)/_xlfn.DAYS(electricity_cost311418222630343842[[#This Row],[Date of reading 
(Elect + Gas)]], G37)</f>
        <v>5.5</v>
      </c>
      <c r="M38" s="11">
        <v>12058</v>
      </c>
      <c r="P38">
        <v>12228</v>
      </c>
      <c r="Q38" s="11">
        <f>gas_cost10713519232731353943[[#This Row],[ Index (m3)]] - gas_cost10713519232731353943[[#This Row],[Original index 
(m3)]]</f>
        <v>170</v>
      </c>
      <c r="R38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2</v>
      </c>
      <c r="S38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57.97</v>
      </c>
      <c r="T38" s="12">
        <f xml:space="preserve"> gas_cost10713519232731353943[[#This Row],[Gas Net cost to date
(TND)]]* (1 + E$5)</f>
        <v>68.404600000000002</v>
      </c>
      <c r="U38" s="12">
        <f>(gas_cost10713519232731353943[[#This Row],[Gas Cost to date  VAT included
(TND)
]] - T37)/_xlfn.DAYS(electricity_cost311418222630343842[[#This Row],[Date of reading 
(Elect + Gas)]], G37)</f>
        <v>1.9113050000000023</v>
      </c>
      <c r="V38" s="12">
        <f>(gas_cost10713519232731353943[[#This Row],[Consumption (m3)]] - Q37)/_xlfn.DAYS(electricity_cost311418222630343842[[#This Row],[Date of reading 
(Elect + Gas)]], G37)</f>
        <v>4.75</v>
      </c>
      <c r="W38" s="20">
        <f xml:space="preserve"> E$8 + ((electricity_cost311418222630343842[[#This Row],[Elect. Net cost to date
(TND)]] + E$6 + gas_cost10713519232731353943[[#This Row],[Gas Net cost to date
(TND)]] + E$7) * (1 + E$5))</f>
        <v>222.25375999999997</v>
      </c>
      <c r="X38" s="38"/>
    </row>
    <row r="39" spans="2:24" x14ac:dyDescent="0.25">
      <c r="B39" s="15">
        <v>24815</v>
      </c>
      <c r="C39" s="58">
        <v>44082</v>
      </c>
      <c r="D39" s="59">
        <v>44209</v>
      </c>
      <c r="E39">
        <v>25376</v>
      </c>
      <c r="F39" s="11">
        <f>electricity_cost311418222630343842[[#This Row],[ Index (KWh)]]-electricity_cost311418222630343842[[#This Row],[Original index 
(KWh)]]</f>
        <v>561</v>
      </c>
      <c r="G39" s="6">
        <v>44194</v>
      </c>
      <c r="H39" s="1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39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101.541</v>
      </c>
      <c r="J39" s="12">
        <f xml:space="preserve"> (E$6 + electricity_cost311418222630343842[[#This Row],[Elect. Net cost to date
(TND)]]) * (1 + E$5)</f>
        <v>154.51038</v>
      </c>
      <c r="K39" s="12">
        <f>electricity_cost311418222630343842[[#This Row],[Elect. Cost  VAT included
(TND)
]]-J38/(electricity_cost311418222630343842[[#This Row],[Date of reading 
(Elect + Gas)]]-G38)</f>
        <v>141.60954727272727</v>
      </c>
      <c r="L39" s="12">
        <f>(electricity_cost311418222630343842[[#This Row],[Consumption to date (KWh)]] - F38)/_xlfn.DAYS(electricity_cost311418222630343842[[#This Row],[Date of reading 
(Elect + Gas)]], G38)</f>
        <v>5.3636363636363633</v>
      </c>
      <c r="M39" s="11">
        <v>12058</v>
      </c>
      <c r="P39">
        <v>12307</v>
      </c>
      <c r="Q39" s="11">
        <f>gas_cost10713519232731353943[[#This Row],[ Index (m3)]] - gas_cost10713519232731353943[[#This Row],[Original index 
(m3)]]</f>
        <v>249</v>
      </c>
      <c r="R39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3</v>
      </c>
      <c r="S39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111.303</v>
      </c>
      <c r="T39" s="12">
        <f xml:space="preserve"> gas_cost10713519232731353943[[#This Row],[Gas Net cost to date
(TND)]]* (1 + E$5)</f>
        <v>131.33753999999999</v>
      </c>
      <c r="U39" s="12">
        <f>(gas_cost10713519232731353943[[#This Row],[Gas Cost to date  VAT included
(TND)
]] - T38)/_xlfn.DAYS(electricity_cost311418222630343842[[#This Row],[Date of reading 
(Elect + Gas)]], G38)</f>
        <v>5.7211763636363626</v>
      </c>
      <c r="V39" s="12">
        <f>(gas_cost10713519232731353943[[#This Row],[Consumption (m3)]] - Q38)/_xlfn.DAYS(electricity_cost311418222630343842[[#This Row],[Date of reading 
(Elect + Gas)]], G38)</f>
        <v>7.1818181818181817</v>
      </c>
      <c r="W39" s="20">
        <f xml:space="preserve"> E$8 + ((electricity_cost311418222630343842[[#This Row],[Elect. Net cost to date
(TND)]] + E$6 + gas_cost10713519232731353943[[#This Row],[Gas Net cost to date
(TND)]] + E$7) * (1 + E$5))</f>
        <v>297.78791999999999</v>
      </c>
      <c r="X39" s="38"/>
    </row>
    <row r="40" spans="2:24" x14ac:dyDescent="0.25">
      <c r="B40" s="15">
        <v>24815</v>
      </c>
      <c r="C40" s="58">
        <v>44082</v>
      </c>
      <c r="D40" s="59">
        <v>44209</v>
      </c>
      <c r="E40">
        <v>25427</v>
      </c>
      <c r="F40" s="11">
        <f>electricity_cost311418222630343842[[#This Row],[ Index (KWh)]]-electricity_cost311418222630343842[[#This Row],[Original index 
(KWh)]]</f>
        <v>612</v>
      </c>
      <c r="G40" s="6">
        <v>44202</v>
      </c>
      <c r="H40" s="1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40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110.77200000000001</v>
      </c>
      <c r="J40" s="12">
        <f xml:space="preserve"> (E$6 + electricity_cost311418222630343842[[#This Row],[Elect. Net cost to date
(TND)]]) * (1 + E$5)</f>
        <v>165.40295999999998</v>
      </c>
      <c r="K40" s="12">
        <f>electricity_cost311418222630343842[[#This Row],[Elect. Cost  VAT included
(TND)
]]-J39/(electricity_cost311418222630343842[[#This Row],[Date of reading 
(Elect + Gas)]]-G39)</f>
        <v>146.08916249999999</v>
      </c>
      <c r="L40" s="12">
        <f>(electricity_cost311418222630343842[[#This Row],[Consumption to date (KWh)]] - F39)/_xlfn.DAYS(electricity_cost311418222630343842[[#This Row],[Date of reading 
(Elect + Gas)]], G39)</f>
        <v>6.375</v>
      </c>
      <c r="M40" s="11">
        <v>12058</v>
      </c>
      <c r="P40">
        <v>12396</v>
      </c>
      <c r="Q40" s="11">
        <f>gas_cost10713519232731353943[[#This Row],[ Index (m3)]] - gas_cost10713519232731353943[[#This Row],[Original index 
(m3)]]</f>
        <v>338</v>
      </c>
      <c r="R40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3</v>
      </c>
      <c r="S40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151.08600000000001</v>
      </c>
      <c r="T40" s="12">
        <f xml:space="preserve"> gas_cost10713519232731353943[[#This Row],[Gas Net cost to date
(TND)]]* (1 + E$5)</f>
        <v>178.28148000000002</v>
      </c>
      <c r="U40" s="12">
        <f>(gas_cost10713519232731353943[[#This Row],[Gas Cost to date  VAT included
(TND)
]] - T39)/_xlfn.DAYS(electricity_cost311418222630343842[[#This Row],[Date of reading 
(Elect + Gas)]], G39)</f>
        <v>5.8679925000000033</v>
      </c>
      <c r="V40" s="12">
        <f>(gas_cost10713519232731353943[[#This Row],[Consumption (m3)]] - Q39)/_xlfn.DAYS(electricity_cost311418222630343842[[#This Row],[Date of reading 
(Elect + Gas)]], G39)</f>
        <v>11.125</v>
      </c>
      <c r="W40" s="20">
        <f xml:space="preserve"> E$8 + ((electricity_cost311418222630343842[[#This Row],[Elect. Net cost to date
(TND)]] + E$6 + gas_cost10713519232731353943[[#This Row],[Gas Net cost to date
(TND)]] + E$7) * (1 + E$5))</f>
        <v>355.62444000000005</v>
      </c>
      <c r="X40" s="38"/>
    </row>
    <row r="41" spans="2:24" x14ac:dyDescent="0.25">
      <c r="B41" s="15">
        <v>24815</v>
      </c>
      <c r="C41" s="58">
        <v>44082</v>
      </c>
      <c r="D41" s="59">
        <v>44209</v>
      </c>
      <c r="E41">
        <v>25448</v>
      </c>
      <c r="F41" s="11">
        <f>electricity_cost311418222630343842[[#This Row],[ Index (KWh)]]-electricity_cost311418222630343842[[#This Row],[Original index 
(KWh)]]</f>
        <v>633</v>
      </c>
      <c r="G41" s="6">
        <v>44206</v>
      </c>
      <c r="H41" s="1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41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114.57299999999999</v>
      </c>
      <c r="J41" s="12">
        <f xml:space="preserve"> (E$6 + electricity_cost311418222630343842[[#This Row],[Elect. Net cost to date
(TND)]]) * (1 + E$5)</f>
        <v>169.88813999999996</v>
      </c>
      <c r="K41" s="12">
        <f>electricity_cost311418222630343842[[#This Row],[Elect. Cost  VAT included
(TND)
]]-J40/(electricity_cost311418222630343842[[#This Row],[Date of reading 
(Elect + Gas)]]-G40)</f>
        <v>128.53739999999996</v>
      </c>
      <c r="L41" s="12">
        <f>(electricity_cost311418222630343842[[#This Row],[Consumption to date (KWh)]] - F40)/_xlfn.DAYS(electricity_cost311418222630343842[[#This Row],[Date of reading 
(Elect + Gas)]], G40)</f>
        <v>5.25</v>
      </c>
      <c r="M41" s="11">
        <v>12058</v>
      </c>
      <c r="P41">
        <v>12432</v>
      </c>
      <c r="Q41" s="11">
        <f>gas_cost10713519232731353943[[#This Row],[ Index (m3)]] - gas_cost10713519232731353943[[#This Row],[Original index 
(m3)]]</f>
        <v>374</v>
      </c>
      <c r="R41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3</v>
      </c>
      <c r="S41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167.178</v>
      </c>
      <c r="T41" s="12">
        <f xml:space="preserve"> gas_cost10713519232731353943[[#This Row],[Gas Net cost to date
(TND)]]* (1 + E$5)</f>
        <v>197.27003999999999</v>
      </c>
      <c r="U41" s="12">
        <f>(gas_cost10713519232731353943[[#This Row],[Gas Cost to date  VAT included
(TND)
]] - T40)/_xlfn.DAYS(electricity_cost311418222630343842[[#This Row],[Date of reading 
(Elect + Gas)]], G40)</f>
        <v>4.7471399999999946</v>
      </c>
      <c r="V41" s="12">
        <f>(gas_cost10713519232731353943[[#This Row],[Consumption (m3)]] - Q40)/_xlfn.DAYS(electricity_cost311418222630343842[[#This Row],[Date of reading 
(Elect + Gas)]], G40)</f>
        <v>9</v>
      </c>
      <c r="W41" s="20">
        <f xml:space="preserve"> E$8 + ((electricity_cost311418222630343842[[#This Row],[Elect. Net cost to date
(TND)]] + E$6 + gas_cost10713519232731353943[[#This Row],[Gas Net cost to date
(TND)]] + E$7) * (1 + E$5))</f>
        <v>379.0981799999999</v>
      </c>
      <c r="X41" s="38"/>
    </row>
    <row r="42" spans="2:24" x14ac:dyDescent="0.25">
      <c r="B42" s="15">
        <v>24815</v>
      </c>
      <c r="C42" s="58">
        <v>44082</v>
      </c>
      <c r="D42" s="59">
        <v>44209</v>
      </c>
      <c r="E42">
        <v>25453</v>
      </c>
      <c r="F42" s="11">
        <f>electricity_cost311418222630343842[[#This Row],[ Index (KWh)]]-electricity_cost311418222630343842[[#This Row],[Original index 
(KWh)]]</f>
        <v>638</v>
      </c>
      <c r="G42" s="6">
        <v>44207</v>
      </c>
      <c r="H42" s="1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42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115.47799999999999</v>
      </c>
      <c r="J42" s="12">
        <f xml:space="preserve"> (E$6 + electricity_cost311418222630343842[[#This Row],[Elect. Net cost to date
(TND)]]) * (1 + E$5)</f>
        <v>170.95603999999997</v>
      </c>
      <c r="K42" s="12">
        <f>electricity_cost311418222630343842[[#This Row],[Elect. Cost  VAT included
(TND)
]]-J41/(electricity_cost311418222630343842[[#This Row],[Date of reading 
(Elect + Gas)]]-G41)</f>
        <v>1.0679000000000087</v>
      </c>
      <c r="L42" s="12">
        <f>(electricity_cost311418222630343842[[#This Row],[Consumption to date (KWh)]] - F41)/_xlfn.DAYS(electricity_cost311418222630343842[[#This Row],[Date of reading 
(Elect + Gas)]], G41)</f>
        <v>5</v>
      </c>
      <c r="M42" s="11">
        <v>12058</v>
      </c>
      <c r="P42">
        <v>12439</v>
      </c>
      <c r="Q42" s="11">
        <f>gas_cost10713519232731353943[[#This Row],[ Index (m3)]] - gas_cost10713519232731353943[[#This Row],[Original index 
(m3)]]</f>
        <v>381</v>
      </c>
      <c r="R42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3</v>
      </c>
      <c r="S42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170.30699999999999</v>
      </c>
      <c r="T42" s="12">
        <f xml:space="preserve"> gas_cost10713519232731353943[[#This Row],[Gas Net cost to date
(TND)]]* (1 + E$5)</f>
        <v>200.96225999999999</v>
      </c>
      <c r="U42" s="12">
        <f>(gas_cost10713519232731353943[[#This Row],[Gas Cost to date  VAT included
(TND)
]] - T41)/_xlfn.DAYS(electricity_cost311418222630343842[[#This Row],[Date of reading 
(Elect + Gas)]], G41)</f>
        <v>3.6922199999999918</v>
      </c>
      <c r="V42" s="12">
        <f>(gas_cost10713519232731353943[[#This Row],[Consumption (m3)]] - Q41)/_xlfn.DAYS(electricity_cost311418222630343842[[#This Row],[Date of reading 
(Elect + Gas)]], G41)</f>
        <v>7</v>
      </c>
      <c r="W42" s="20">
        <f xml:space="preserve"> E$8 + ((electricity_cost311418222630343842[[#This Row],[Elect. Net cost to date
(TND)]] + E$6 + gas_cost10713519232731353943[[#This Row],[Gas Net cost to date
(TND)]] + E$7) * (1 + E$5))</f>
        <v>383.85829999999993</v>
      </c>
      <c r="X42" s="38"/>
    </row>
    <row r="43" spans="2:24" x14ac:dyDescent="0.25">
      <c r="B43" s="15">
        <v>24815</v>
      </c>
      <c r="C43" s="58">
        <v>44082</v>
      </c>
      <c r="D43" s="59">
        <v>44209</v>
      </c>
      <c r="E43">
        <v>25460</v>
      </c>
      <c r="F43" s="11">
        <f>electricity_cost311418222630343842[[#This Row],[ Index (KWh)]]-electricity_cost311418222630343842[[#This Row],[Original index 
(KWh)]]</f>
        <v>645</v>
      </c>
      <c r="G43" s="6">
        <v>44208</v>
      </c>
      <c r="H43" s="1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43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116.745</v>
      </c>
      <c r="J43" s="12">
        <f xml:space="preserve"> (E$6 + electricity_cost311418222630343842[[#This Row],[Elect. Net cost to date
(TND)]]) * (1 + E$5)</f>
        <v>172.4511</v>
      </c>
      <c r="K43" s="12">
        <f>electricity_cost311418222630343842[[#This Row],[Elect. Cost  VAT included
(TND)
]]-J42/(electricity_cost311418222630343842[[#This Row],[Date of reading 
(Elect + Gas)]]-G42)</f>
        <v>1.4950600000000236</v>
      </c>
      <c r="L43" s="12">
        <f>(electricity_cost311418222630343842[[#This Row],[Consumption to date (KWh)]] - F42)/_xlfn.DAYS(electricity_cost311418222630343842[[#This Row],[Date of reading 
(Elect + Gas)]], G42)</f>
        <v>7</v>
      </c>
      <c r="M43" s="11">
        <v>12058</v>
      </c>
      <c r="P43">
        <v>12447</v>
      </c>
      <c r="Q43" s="11">
        <f>gas_cost10713519232731353943[[#This Row],[ Index (m3)]] - gas_cost10713519232731353943[[#This Row],[Original index 
(m3)]]</f>
        <v>389</v>
      </c>
      <c r="R43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3</v>
      </c>
      <c r="S43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173.88300000000001</v>
      </c>
      <c r="T43" s="12">
        <f xml:space="preserve"> gas_cost10713519232731353943[[#This Row],[Gas Net cost to date
(TND)]]* (1 + E$5)</f>
        <v>205.18194</v>
      </c>
      <c r="U43" s="12">
        <f>(gas_cost10713519232731353943[[#This Row],[Gas Cost to date  VAT included
(TND)
]] - T42)/_xlfn.DAYS(electricity_cost311418222630343842[[#This Row],[Date of reading 
(Elect + Gas)]], G42)</f>
        <v>4.219680000000011</v>
      </c>
      <c r="V43" s="12">
        <f>(gas_cost10713519232731353943[[#This Row],[Consumption (m3)]] - Q42)/_xlfn.DAYS(electricity_cost311418222630343842[[#This Row],[Date of reading 
(Elect + Gas)]], G42)</f>
        <v>8</v>
      </c>
      <c r="W43" s="20">
        <f xml:space="preserve"> E$8 + ((electricity_cost311418222630343842[[#This Row],[Elect. Net cost to date
(TND)]] + E$6 + gas_cost10713519232731353943[[#This Row],[Gas Net cost to date
(TND)]] + E$7) * (1 + E$5))</f>
        <v>389.57303999999999</v>
      </c>
      <c r="X43" s="38"/>
    </row>
    <row r="44" spans="2:24" x14ac:dyDescent="0.25">
      <c r="B44" s="15">
        <v>24815</v>
      </c>
      <c r="C44" s="58">
        <v>44082</v>
      </c>
      <c r="D44" s="59">
        <v>44209</v>
      </c>
      <c r="E44">
        <v>25469</v>
      </c>
      <c r="F44" s="11">
        <f>electricity_cost311418222630343842[[#This Row],[ Index (KWh)]]-electricity_cost311418222630343842[[#This Row],[Original index 
(KWh)]]</f>
        <v>654</v>
      </c>
      <c r="G44" s="6">
        <v>44209</v>
      </c>
      <c r="H44" s="11">
        <f xml:space="preserve"> _xlfn.IFS(electricity_cost311418222630343842[[#This Row],[Consumption to date (KWh)]] &lt;= K$4, 1, AND(K$4 &lt; electricity_cost311418222630343842[[#This Row],[Consumption to date (KWh)]],  electricity_cost311418222630343842[[#This Row],[Consumption to date (KWh)]]&lt;= K$5), 2, AND(K$5 &lt; electricity_cost311418222630343842[[#This Row],[Consumption to date (KWh)]],  electricity_cost311418222630343842[[#This Row],[Consumption to date (KWh)]]&lt;= K$6), 3, electricity_cost311418222630343842[[#This Row],[Consumption to date (KWh)]] &gt; K$6, 4)</f>
        <v>1</v>
      </c>
      <c r="I44" s="12">
        <f>_xlfn.IFS(electricity_cost311418222630343842[[#This Row],[Level (Elect)]]= 1, (electricity_cost311418222630343842[[#This Row],[Consumption to date (KWh)]] * L$4)/1000, electricity_cost311418222630343842[[#This Row],[Level (Elect)]] = 2, (K$4 * L$4 +((electricity_cost311418222630343842[[#This Row],[Consumption to date (KWh)]] - K$4) * L$5))/1000,electricity_cost311418222630343842[[#This Row],[Level (Elect)]] = 3, (K$4 * L$4 + (K$5-J$5) * L$5 + ((electricity_cost311418222630343842[[#This Row],[Consumption to date (KWh)]] - K$5) * L$6))/1000, electricity_cost311418222630343842[[#This Row],[Level (Elect)]] = 4, (K$4 * L$4 + (K$5-J$5) * L$5 + (K$6-J$6) * L$6 + ((electricity_cost311418222630343842[[#This Row],[Consumption to date (KWh)]] - K$6) * L$7))/1000)</f>
        <v>118.374</v>
      </c>
      <c r="J44" s="12">
        <f xml:space="preserve"> (E$6 + electricity_cost311418222630343842[[#This Row],[Elect. Net cost to date
(TND)]]) * (1 + E$5)</f>
        <v>174.37331999999998</v>
      </c>
      <c r="K44" s="12">
        <f>electricity_cost311418222630343842[[#This Row],[Elect. Cost  VAT included
(TND)
]]-J43/(electricity_cost311418222630343842[[#This Row],[Date of reading 
(Elect + Gas)]]-G43)</f>
        <v>1.9222199999999816</v>
      </c>
      <c r="L44" s="12">
        <f>(electricity_cost311418222630343842[[#This Row],[Consumption to date (KWh)]] - F43)/_xlfn.DAYS(electricity_cost311418222630343842[[#This Row],[Date of reading 
(Elect + Gas)]], G43)</f>
        <v>9</v>
      </c>
      <c r="M44" s="11">
        <v>12058</v>
      </c>
      <c r="P44">
        <v>12458</v>
      </c>
      <c r="Q44" s="11">
        <f>gas_cost10713519232731353943[[#This Row],[ Index (m3)]] - gas_cost10713519232731353943[[#This Row],[Original index 
(m3)]]</f>
        <v>400</v>
      </c>
      <c r="R44" s="11">
        <f xml:space="preserve"> _xlfn.IFS(gas_cost10713519232731353943[[#This Row],[Consumption (m3)]] &lt;= R$4, 1, AND(R$4 &lt; gas_cost10713519232731353943[[#This Row],[Consumption (m3)]], gas_cost10713519232731353943[[#This Row],[Consumption (m3)]] &lt;= R$5), 2, AND(R$5 &lt; gas_cost10713519232731353943[[#This Row],[Consumption (m3)]], gas_cost10713519232731353943[[#This Row],[Consumption (m3)]] &lt;= R$6), 3, gas_cost10713519232731353943[[#This Row],[Consumption (m3)]] &gt; R$6, 4)</f>
        <v>3</v>
      </c>
      <c r="S44" s="12">
        <f>_xlfn.IFS(gas_cost10713519232731353943[[#This Row],[Level (Gas)]]= 1, (gas_cost10713519232731353943[[#This Row],[Consumption (m3)]] * S$4)/1000, gas_cost10713519232731353943[[#This Row],[Level (Gas)]] = 2, (gas_cost10713519232731353943[[#This Row],[Consumption (m3)]] * S$5)/1000,gas_cost10713519232731353943[[#This Row],[Level (Gas)]] = 3, (gas_cost10713519232731353943[[#This Row],[Consumption (m3)]] * S$6)/1000, gas_cost10713519232731353943[[#This Row],[Level (Gas)]] = 4, (gas_cost10713519232731353943[[#This Row],[Consumption (m3)]] * S$7)/1000)</f>
        <v>178.8</v>
      </c>
      <c r="T44" s="12">
        <f xml:space="preserve"> gas_cost10713519232731353943[[#This Row],[Gas Net cost to date
(TND)]]* (1 + E$5)</f>
        <v>210.98400000000001</v>
      </c>
      <c r="U44" s="12">
        <f>(gas_cost10713519232731353943[[#This Row],[Gas Cost to date  VAT included
(TND)
]] - T43)/_xlfn.DAYS(electricity_cost311418222630343842[[#This Row],[Date of reading 
(Elect + Gas)]], G43)</f>
        <v>5.8020600000000115</v>
      </c>
      <c r="V44" s="12">
        <f>(gas_cost10713519232731353943[[#This Row],[Consumption (m3)]] - Q43)/_xlfn.DAYS(electricity_cost311418222630343842[[#This Row],[Date of reading 
(Elect + Gas)]], G43)</f>
        <v>11</v>
      </c>
      <c r="W44" s="20">
        <f xml:space="preserve"> E$8 + ((electricity_cost311418222630343842[[#This Row],[Elect. Net cost to date
(TND)]] + E$6 + gas_cost10713519232731353943[[#This Row],[Gas Net cost to date
(TND)]] + E$7) * (1 + E$5))</f>
        <v>397.29732000000001</v>
      </c>
      <c r="X44" s="38"/>
    </row>
    <row r="45" spans="2:24" x14ac:dyDescent="0.25">
      <c r="C45" s="6"/>
      <c r="D45" s="55"/>
      <c r="F45" s="11"/>
      <c r="G45" s="6"/>
      <c r="H45" s="11"/>
      <c r="I45" s="12"/>
      <c r="J45" s="12"/>
      <c r="K45" s="12"/>
      <c r="L45" s="12"/>
    </row>
    <row r="46" spans="2:24" x14ac:dyDescent="0.25">
      <c r="C46" s="6"/>
      <c r="D46" s="55"/>
      <c r="F46" s="11"/>
      <c r="G46" s="6"/>
      <c r="H46" s="11"/>
      <c r="I46" s="12"/>
      <c r="J46" s="12"/>
      <c r="K46" s="12"/>
      <c r="L46" s="12"/>
    </row>
    <row r="47" spans="2:24" x14ac:dyDescent="0.25">
      <c r="C47" s="6"/>
      <c r="D47" s="55"/>
      <c r="F47" s="11"/>
      <c r="G47" s="6"/>
      <c r="H47" s="11"/>
      <c r="I47" s="12"/>
      <c r="J47" s="12"/>
      <c r="K47" s="12"/>
      <c r="L47" s="12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6B8E-D759-4E97-8A6B-44BA2B6C5A73}">
  <dimension ref="B2:Y36"/>
  <sheetViews>
    <sheetView topLeftCell="A17" zoomScale="85" zoomScaleNormal="85" workbookViewId="0">
      <selection activeCell="W19" sqref="W19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7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25.425781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44322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341</v>
      </c>
      <c r="T5" t="s">
        <v>71</v>
      </c>
      <c r="U5" s="19">
        <v>44322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29.4</v>
      </c>
      <c r="I6">
        <v>3</v>
      </c>
      <c r="J6">
        <v>1201</v>
      </c>
      <c r="K6">
        <v>2000</v>
      </c>
      <c r="L6">
        <v>346</v>
      </c>
      <c r="P6">
        <v>3</v>
      </c>
      <c r="Q6">
        <v>1</v>
      </c>
      <c r="R6">
        <v>600</v>
      </c>
      <c r="S6">
        <v>447</v>
      </c>
      <c r="T6" t="s">
        <v>65</v>
      </c>
    </row>
    <row r="7" spans="2:24" x14ac:dyDescent="0.25">
      <c r="D7" s="16" t="s">
        <v>15</v>
      </c>
      <c r="E7" s="14">
        <v>4.5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6.63</v>
      </c>
      <c r="F8" s="14"/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INDEX(electricity_cost31141822263034384246[Elect. Net cost to date
(TND)], COUNTA(I18:I31), 1) + E6</f>
        <v>129.49299999999999</v>
      </c>
      <c r="G10" s="67" t="s">
        <v>76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75</v>
      </c>
      <c r="I11" s="33" t="s">
        <v>73</v>
      </c>
      <c r="J11" s="33" t="s">
        <v>74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600</v>
      </c>
      <c r="I12" s="34">
        <v>600</v>
      </c>
      <c r="J12" s="51">
        <v>170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700</v>
      </c>
      <c r="I13" s="35">
        <v>800</v>
      </c>
      <c r="J13" s="52">
        <v>450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>
        <v>630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>
        <v>25469</v>
      </c>
      <c r="C18" s="6">
        <v>44209</v>
      </c>
      <c r="D18" s="54">
        <v>44329</v>
      </c>
      <c r="E18">
        <v>25469</v>
      </c>
      <c r="F18" s="11">
        <f>electricity_cost31141822263034384246[[#This Row],[ Index (KWh)]]-electricity_cost31141822263034384246[[#This Row],[Original index 
(KWh)]]</f>
        <v>0</v>
      </c>
      <c r="G18" s="6">
        <v>44209</v>
      </c>
      <c r="H18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18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0</v>
      </c>
      <c r="J18" s="10">
        <f xml:space="preserve"> (E$6 + electricity_cost31141822263034384246[[#This Row],[Elect. Net cost to date
(TND)]]) * (1 + E$5)</f>
        <v>34.691999999999993</v>
      </c>
      <c r="K18" s="12"/>
      <c r="L18" s="12"/>
      <c r="M18" s="11">
        <v>12458</v>
      </c>
      <c r="P18" s="11">
        <v>12458</v>
      </c>
      <c r="Q18" s="11">
        <f>gas_cost1071351923273135394347[[#This Row],[ Index (m3)]] - gas_cost1071351923273135394347[[#This Row],[Original index 
(m3)]]</f>
        <v>0</v>
      </c>
      <c r="R18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1</v>
      </c>
      <c r="S18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0</v>
      </c>
      <c r="T18" s="12">
        <f xml:space="preserve"> gas_cost1071351923273135394347[[#This Row],[Gas Net cost to date
(TND)]]* (1 + E$5)</f>
        <v>0</v>
      </c>
      <c r="U18" s="12"/>
      <c r="V18" s="12"/>
      <c r="W18" s="20">
        <f xml:space="preserve"> E$8 + ((electricity_cost31141822263034384246[[#This Row],[Elect. Net cost to date
(TND)]] + E$6 + gas_cost1071351923273135394347[[#This Row],[Gas Net cost to date
(TND)]] + E$7) * (1 + E$5))</f>
        <v>46.631999999999998</v>
      </c>
      <c r="X18" s="38"/>
      <c r="Y18" s="37"/>
    </row>
    <row r="19" spans="2:25" x14ac:dyDescent="0.25">
      <c r="B19">
        <v>25469</v>
      </c>
      <c r="C19" s="6">
        <v>44209</v>
      </c>
      <c r="D19" s="54">
        <v>44329</v>
      </c>
      <c r="E19">
        <v>25553</v>
      </c>
      <c r="F19" s="11">
        <f>electricity_cost31141822263034384246[[#This Row],[ Index (KWh)]]-electricity_cost31141822263034384246[[#This Row],[Original index 
(KWh)]]</f>
        <v>84</v>
      </c>
      <c r="G19" s="6">
        <v>44222</v>
      </c>
      <c r="H19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19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15.204000000000001</v>
      </c>
      <c r="J19" s="10">
        <f xml:space="preserve"> (E$6 + electricity_cost31141822263034384246[[#This Row],[Elect. Net cost to date
(TND)]]) * (1 + E$5)</f>
        <v>52.632719999999999</v>
      </c>
      <c r="K19" s="12">
        <f>(electricity_cost31141822263034384246[[#This Row],[Elect. Cost  VAT included
(TND)
]]-J18)/_xlfn.DAYS(electricity_cost31141822263034384246[[#This Row],[Date of reading 
(Elect + Gas)]], G18)</f>
        <v>1.3800553846153851</v>
      </c>
      <c r="L19" s="12">
        <f>(electricity_cost31141822263034384246[[#This Row],[Consumption to date (KWh)]] - F18)/_xlfn.DAYS(electricity_cost31141822263034384246[[#This Row],[Date of reading 
(Elect + Gas)]], G18)</f>
        <v>6.4615384615384617</v>
      </c>
      <c r="M19" s="11">
        <v>12458</v>
      </c>
      <c r="P19" s="11">
        <v>12597</v>
      </c>
      <c r="Q19" s="11">
        <f>gas_cost1071351923273135394347[[#This Row],[ Index (m3)]] - gas_cost1071351923273135394347[[#This Row],[Original index 
(m3)]]</f>
        <v>139</v>
      </c>
      <c r="R19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2</v>
      </c>
      <c r="S19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47.399000000000001</v>
      </c>
      <c r="T19" s="12">
        <f xml:space="preserve"> gas_cost1071351923273135394347[[#This Row],[Gas Net cost to date
(TND)]]* (1 + E$5)</f>
        <v>55.930819999999997</v>
      </c>
      <c r="U19" s="12">
        <f>(gas_cost1071351923273135394347[[#This Row],[Gas Cost to date  VAT included
(TND)
]] - T18)/_xlfn.DAYS(electricity_cost31141822263034384246[[#This Row],[Date of reading 
(Elect + Gas)]], G18)</f>
        <v>4.3023707692307687</v>
      </c>
      <c r="V19" s="12">
        <f>(gas_cost1071351923273135394347[[#This Row],[Consumption (m3)]] - Q18)/_xlfn.DAYS(electricity_cost31141822263034384246[[#This Row],[Date of reading 
(Elect + Gas)]], G18)</f>
        <v>10.692307692307692</v>
      </c>
      <c r="W19" s="20">
        <f xml:space="preserve"> E$8 + ((electricity_cost31141822263034384246[[#This Row],[Elect. Net cost to date
(TND)]] + E$6 + gas_cost1071351923273135394347[[#This Row],[Gas Net cost to date
(TND)]] + E$7) * (1 + E$5))</f>
        <v>120.50353999999999</v>
      </c>
      <c r="X19" s="38"/>
    </row>
    <row r="20" spans="2:25" x14ac:dyDescent="0.25">
      <c r="B20">
        <v>25469</v>
      </c>
      <c r="C20" s="6">
        <v>44209</v>
      </c>
      <c r="D20" s="54">
        <v>44329</v>
      </c>
      <c r="E20">
        <v>25601</v>
      </c>
      <c r="F20" s="11">
        <f>electricity_cost31141822263034384246[[#This Row],[ Index (KWh)]]-electricity_cost31141822263034384246[[#This Row],[Original index 
(KWh)]]</f>
        <v>132</v>
      </c>
      <c r="G20" s="6">
        <v>44230</v>
      </c>
      <c r="H20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0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23.891999999999999</v>
      </c>
      <c r="J20" s="10">
        <f xml:space="preserve"> (E$6 + electricity_cost31141822263034384246[[#This Row],[Elect. Net cost to date
(TND)]]) * (1 + E$5)</f>
        <v>62.88456</v>
      </c>
      <c r="K20" s="12">
        <f>electricity_cost31141822263034384246[[#This Row],[Elect. Cost  VAT included
(TND)
]]-J19/(electricity_cost31141822263034384246[[#This Row],[Date of reading 
(Elect + Gas)]]-G19)</f>
        <v>56.30547</v>
      </c>
      <c r="L20" s="12">
        <f>(electricity_cost31141822263034384246[[#This Row],[Consumption to date (KWh)]] - F19)/_xlfn.DAYS(electricity_cost31141822263034384246[[#This Row],[Date of reading 
(Elect + Gas)]], G19)</f>
        <v>6</v>
      </c>
      <c r="M20" s="11">
        <v>12458</v>
      </c>
      <c r="P20" s="11">
        <v>12656</v>
      </c>
      <c r="Q20" s="11">
        <f>gas_cost1071351923273135394347[[#This Row],[ Index (m3)]] - gas_cost1071351923273135394347[[#This Row],[Original index 
(m3)]]</f>
        <v>198</v>
      </c>
      <c r="R20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2</v>
      </c>
      <c r="S20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67.518000000000001</v>
      </c>
      <c r="T20" s="12">
        <f xml:space="preserve"> gas_cost1071351923273135394347[[#This Row],[Gas Net cost to date
(TND)]]* (1 + E$5)</f>
        <v>79.671239999999997</v>
      </c>
      <c r="U20" s="12">
        <f>(gas_cost1071351923273135394347[[#This Row],[Gas Cost to date  VAT included
(TND)
]] - T19)/_xlfn.DAYS(electricity_cost31141822263034384246[[#This Row],[Date of reading 
(Elect + Gas)]], G19)</f>
        <v>2.9675525</v>
      </c>
      <c r="V20" s="12">
        <f>(gas_cost1071351923273135394347[[#This Row],[Consumption (m3)]] - Q19)/_xlfn.DAYS(electricity_cost31141822263034384246[[#This Row],[Date of reading 
(Elect + Gas)]], G19)</f>
        <v>7.375</v>
      </c>
      <c r="W20" s="20">
        <f xml:space="preserve"> E$8 + ((electricity_cost31141822263034384246[[#This Row],[Elect. Net cost to date
(TND)]] + E$6 + gas_cost1071351923273135394347[[#This Row],[Gas Net cost to date
(TND)]] + E$7) * (1 + E$5))</f>
        <v>154.4958</v>
      </c>
      <c r="X20" s="38"/>
    </row>
    <row r="21" spans="2:25" x14ac:dyDescent="0.25">
      <c r="B21">
        <v>25469</v>
      </c>
      <c r="C21" s="6">
        <v>44209</v>
      </c>
      <c r="D21" s="54">
        <v>44329</v>
      </c>
      <c r="E21">
        <v>25617</v>
      </c>
      <c r="F21" s="11">
        <f>electricity_cost31141822263034384246[[#This Row],[ Index (KWh)]]-electricity_cost31141822263034384246[[#This Row],[Original index 
(KWh)]]</f>
        <v>148</v>
      </c>
      <c r="G21" s="6">
        <v>44233</v>
      </c>
      <c r="H21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1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26.788</v>
      </c>
      <c r="J21" s="10">
        <f xml:space="preserve"> (E$6 + electricity_cost31141822263034384246[[#This Row],[Elect. Net cost to date
(TND)]]) * (1 + E$5)</f>
        <v>66.301839999999999</v>
      </c>
      <c r="K21" s="12">
        <f>(electricity_cost31141822263034384246[[#This Row],[Elect. Cost  VAT included
(TND)
]]-J20)/_xlfn.DAYS(electricity_cost31141822263034384246[[#This Row],[Date of reading 
(Elect + Gas)]], G20)</f>
        <v>1.1390933333333326</v>
      </c>
      <c r="L21" s="12">
        <f>(electricity_cost31141822263034384246[[#This Row],[Consumption to date (KWh)]] - F20)/_xlfn.DAYS(electricity_cost31141822263034384246[[#This Row],[Date of reading 
(Elect + Gas)]], G20)</f>
        <v>5.333333333333333</v>
      </c>
      <c r="M21" s="11">
        <v>12458</v>
      </c>
      <c r="P21" s="11">
        <v>12667</v>
      </c>
      <c r="Q21" s="11">
        <f>gas_cost1071351923273135394347[[#This Row],[ Index (m3)]] - gas_cost1071351923273135394347[[#This Row],[Original index 
(m3)]]</f>
        <v>209</v>
      </c>
      <c r="R21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2</v>
      </c>
      <c r="S21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71.269000000000005</v>
      </c>
      <c r="T21" s="12">
        <f xml:space="preserve"> gas_cost1071351923273135394347[[#This Row],[Gas Net cost to date
(TND)]]* (1 + E$5)</f>
        <v>84.09742</v>
      </c>
      <c r="U21" s="12">
        <f>(gas_cost1071351923273135394347[[#This Row],[Gas Cost to date  VAT included
(TND)
]] - T20)/_xlfn.DAYS(electricity_cost31141822263034384246[[#This Row],[Date of reading 
(Elect + Gas)]], G20)</f>
        <v>1.475393333333334</v>
      </c>
      <c r="V21" s="12">
        <f>(gas_cost1071351923273135394347[[#This Row],[Consumption (m3)]] - Q20)/_xlfn.DAYS(electricity_cost31141822263034384246[[#This Row],[Date of reading 
(Elect + Gas)]], G20)</f>
        <v>3.6666666666666665</v>
      </c>
      <c r="W21" s="20">
        <f xml:space="preserve"> E$8 + ((electricity_cost31141822263034384246[[#This Row],[Elect. Net cost to date
(TND)]] + E$6 + gas_cost1071351923273135394347[[#This Row],[Gas Net cost to date
(TND)]] + E$7) * (1 + E$5))</f>
        <v>162.33925999999997</v>
      </c>
      <c r="X21" s="38"/>
    </row>
    <row r="22" spans="2:25" x14ac:dyDescent="0.25">
      <c r="B22">
        <v>25469</v>
      </c>
      <c r="C22" s="6">
        <v>44209</v>
      </c>
      <c r="D22" s="54">
        <v>44329</v>
      </c>
      <c r="E22">
        <v>25621</v>
      </c>
      <c r="F22" s="11">
        <f>electricity_cost31141822263034384246[[#This Row],[ Index (KWh)]]-electricity_cost31141822263034384246[[#This Row],[Original index 
(KWh)]]</f>
        <v>152</v>
      </c>
      <c r="G22" s="6">
        <v>44234</v>
      </c>
      <c r="H22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2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27.512</v>
      </c>
      <c r="J22" s="10">
        <f xml:space="preserve"> (E$6 + electricity_cost31141822263034384246[[#This Row],[Elect. Net cost to date
(TND)]]) * (1 + E$5)</f>
        <v>67.15616</v>
      </c>
      <c r="K22" s="12">
        <f>electricity_cost31141822263034384246[[#This Row],[Elect. Cost  VAT included
(TND)
]]-J21/(electricity_cost31141822263034384246[[#This Row],[Date of reading 
(Elect + Gas)]]-G21)</f>
        <v>0.8543200000000013</v>
      </c>
      <c r="L22" s="12">
        <f>(electricity_cost31141822263034384246[[#This Row],[Consumption to date (KWh)]] - F21)/_xlfn.DAYS(electricity_cost31141822263034384246[[#This Row],[Date of reading 
(Elect + Gas)]], G21)</f>
        <v>4</v>
      </c>
      <c r="M22" s="11">
        <v>12458</v>
      </c>
      <c r="P22" s="11">
        <v>12671</v>
      </c>
      <c r="Q22" s="11">
        <f>gas_cost1071351923273135394347[[#This Row],[ Index (m3)]] - gas_cost1071351923273135394347[[#This Row],[Original index 
(m3)]]</f>
        <v>213</v>
      </c>
      <c r="R22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2</v>
      </c>
      <c r="S22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72.632999999999996</v>
      </c>
      <c r="T22" s="12">
        <f xml:space="preserve"> gas_cost1071351923273135394347[[#This Row],[Gas Net cost to date
(TND)]]* (1 + E$5)</f>
        <v>85.706939999999989</v>
      </c>
      <c r="U22" s="12">
        <f>(gas_cost1071351923273135394347[[#This Row],[Gas Cost to date  VAT included
(TND)
]] - T21)/_xlfn.DAYS(electricity_cost31141822263034384246[[#This Row],[Date of reading 
(Elect + Gas)]], G21)</f>
        <v>1.6095199999999892</v>
      </c>
      <c r="V22" s="12">
        <f>(gas_cost1071351923273135394347[[#This Row],[Consumption (m3)]] - Q21)/_xlfn.DAYS(electricity_cost31141822263034384246[[#This Row],[Date of reading 
(Elect + Gas)]], G21)</f>
        <v>4</v>
      </c>
      <c r="W22" s="20">
        <f xml:space="preserve"> E$8 + ((electricity_cost31141822263034384246[[#This Row],[Elect. Net cost to date
(TND)]] + E$6 + gas_cost1071351923273135394347[[#This Row],[Gas Net cost to date
(TND)]] + E$7) * (1 + E$5))</f>
        <v>164.80309999999997</v>
      </c>
      <c r="X22" s="38"/>
    </row>
    <row r="23" spans="2:25" x14ac:dyDescent="0.25">
      <c r="B23">
        <v>25469</v>
      </c>
      <c r="C23" s="6">
        <v>44209</v>
      </c>
      <c r="D23" s="54">
        <v>44329</v>
      </c>
      <c r="E23">
        <v>25629</v>
      </c>
      <c r="F23" s="11">
        <f>electricity_cost31141822263034384246[[#This Row],[ Index (KWh)]]-electricity_cost31141822263034384246[[#This Row],[Original index 
(KWh)]]</f>
        <v>160</v>
      </c>
      <c r="G23" s="6">
        <v>44236</v>
      </c>
      <c r="H23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3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28.96</v>
      </c>
      <c r="J23" s="10">
        <f xml:space="preserve"> (E$6 + electricity_cost31141822263034384246[[#This Row],[Elect. Net cost to date
(TND)]]) * (1 + E$5)</f>
        <v>68.864800000000002</v>
      </c>
      <c r="K23" s="12">
        <f>(electricity_cost31141822263034384246[[#This Row],[Elect. Cost  VAT included
(TND)
]]-J22)/_xlfn.DAYS(electricity_cost31141822263034384246[[#This Row],[Date of reading 
(Elect + Gas)]], G22)</f>
        <v>0.8543200000000013</v>
      </c>
      <c r="L23" s="12">
        <f>(electricity_cost31141822263034384246[[#This Row],[Consumption to date (KWh)]] - F22)/_xlfn.DAYS(electricity_cost31141822263034384246[[#This Row],[Date of reading 
(Elect + Gas)]], G22)</f>
        <v>4</v>
      </c>
      <c r="M23" s="11">
        <v>12458</v>
      </c>
      <c r="P23" s="11">
        <v>12684</v>
      </c>
      <c r="Q23" s="11">
        <f>gas_cost1071351923273135394347[[#This Row],[ Index (m3)]] - gas_cost1071351923273135394347[[#This Row],[Original index 
(m3)]]</f>
        <v>226</v>
      </c>
      <c r="R23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2</v>
      </c>
      <c r="S23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77.066000000000003</v>
      </c>
      <c r="T23" s="12">
        <f xml:space="preserve"> gas_cost1071351923273135394347[[#This Row],[Gas Net cost to date
(TND)]]* (1 + E$5)</f>
        <v>90.937879999999993</v>
      </c>
      <c r="U23" s="12">
        <f>(gas_cost1071351923273135394347[[#This Row],[Gas Cost to date  VAT included
(TND)
]] - T22)/_xlfn.DAYS(electricity_cost31141822263034384246[[#This Row],[Date of reading 
(Elect + Gas)]], G22)</f>
        <v>2.615470000000002</v>
      </c>
      <c r="V23" s="12">
        <f>(gas_cost1071351923273135394347[[#This Row],[Consumption (m3)]] - Q22)/_xlfn.DAYS(electricity_cost31141822263034384246[[#This Row],[Date of reading 
(Elect + Gas)]], G22)</f>
        <v>6.5</v>
      </c>
      <c r="W23" s="20">
        <f xml:space="preserve"> E$8 + ((electricity_cost31141822263034384246[[#This Row],[Elect. Net cost to date
(TND)]] + E$6 + gas_cost1071351923273135394347[[#This Row],[Gas Net cost to date
(TND)]] + E$7) * (1 + E$5))</f>
        <v>171.74267999999998</v>
      </c>
      <c r="X23" s="38"/>
    </row>
    <row r="24" spans="2:25" x14ac:dyDescent="0.25">
      <c r="B24">
        <v>25469</v>
      </c>
      <c r="C24" s="6">
        <v>44209</v>
      </c>
      <c r="D24" s="54">
        <v>44329</v>
      </c>
      <c r="E24">
        <v>25639</v>
      </c>
      <c r="F24" s="11">
        <f>electricity_cost31141822263034384246[[#This Row],[ Index (KWh)]]-electricity_cost31141822263034384246[[#This Row],[Original index 
(KWh)]]</f>
        <v>170</v>
      </c>
      <c r="G24" s="6">
        <v>44238</v>
      </c>
      <c r="H24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4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30.77</v>
      </c>
      <c r="J24" s="10">
        <f xml:space="preserve"> (E$6 + electricity_cost31141822263034384246[[#This Row],[Elect. Net cost to date
(TND)]]) * (1 + E$5)</f>
        <v>71.000599999999991</v>
      </c>
      <c r="K24" s="12">
        <f>electricity_cost31141822263034384246[[#This Row],[Elect. Cost  VAT included
(TND)
]]-J23/(electricity_cost31141822263034384246[[#This Row],[Date of reading 
(Elect + Gas)]]-G23)</f>
        <v>36.56819999999999</v>
      </c>
      <c r="L24" s="12">
        <f>(electricity_cost31141822263034384246[[#This Row],[Consumption to date (KWh)]] - F23)/_xlfn.DAYS(electricity_cost31141822263034384246[[#This Row],[Date of reading 
(Elect + Gas)]], G23)</f>
        <v>5</v>
      </c>
      <c r="M24" s="11">
        <v>12458</v>
      </c>
      <c r="P24" s="11">
        <v>12696</v>
      </c>
      <c r="Q24" s="11">
        <f>gas_cost1071351923273135394347[[#This Row],[ Index (m3)]] - gas_cost1071351923273135394347[[#This Row],[Original index 
(m3)]]</f>
        <v>238</v>
      </c>
      <c r="R24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2</v>
      </c>
      <c r="S24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81.158000000000001</v>
      </c>
      <c r="T24" s="12">
        <f xml:space="preserve"> gas_cost1071351923273135394347[[#This Row],[Gas Net cost to date
(TND)]]* (1 + E$5)</f>
        <v>95.766440000000003</v>
      </c>
      <c r="U24" s="12">
        <f>(gas_cost1071351923273135394347[[#This Row],[Gas Cost to date  VAT included
(TND)
]] - T23)/_xlfn.DAYS(electricity_cost31141822263034384246[[#This Row],[Date of reading 
(Elect + Gas)]], G23)</f>
        <v>2.4142800000000051</v>
      </c>
      <c r="V24" s="12">
        <f>(gas_cost1071351923273135394347[[#This Row],[Consumption (m3)]] - Q23)/_xlfn.DAYS(electricity_cost31141822263034384246[[#This Row],[Date of reading 
(Elect + Gas)]], G23)</f>
        <v>6</v>
      </c>
      <c r="W24" s="20">
        <f xml:space="preserve"> E$8 + ((electricity_cost31141822263034384246[[#This Row],[Elect. Net cost to date
(TND)]] + E$6 + gas_cost1071351923273135394347[[#This Row],[Gas Net cost to date
(TND)]] + E$7) * (1 + E$5))</f>
        <v>178.70703999999998</v>
      </c>
      <c r="X24" s="38"/>
    </row>
    <row r="25" spans="2:25" x14ac:dyDescent="0.25">
      <c r="B25">
        <v>25469</v>
      </c>
      <c r="C25" s="6">
        <v>44209</v>
      </c>
      <c r="D25" s="54">
        <v>44329</v>
      </c>
      <c r="E25" s="15">
        <v>25667</v>
      </c>
      <c r="F25" s="60">
        <f>electricity_cost31141822263034384246[[#This Row],[ Index (KWh)]]-electricity_cost31141822263034384246[[#This Row],[Original index 
(KWh)]]</f>
        <v>198</v>
      </c>
      <c r="G25" s="58">
        <v>44244</v>
      </c>
      <c r="H25" s="6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5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35.838000000000001</v>
      </c>
      <c r="J25" s="10">
        <f xml:space="preserve"> (E$6 + electricity_cost31141822263034384246[[#This Row],[Elect. Net cost to date
(TND)]]) * (1 + E$5)</f>
        <v>76.980840000000001</v>
      </c>
      <c r="K25" s="12">
        <f>(electricity_cost31141822263034384246[[#This Row],[Elect. Cost  VAT included
(TND)
]]-J24)/_xlfn.DAYS(electricity_cost31141822263034384246[[#This Row],[Date of reading 
(Elect + Gas)]], G24)</f>
        <v>0.99670666666666818</v>
      </c>
      <c r="L25" s="12">
        <f>(electricity_cost31141822263034384246[[#This Row],[Consumption to date (KWh)]] - F24)/_xlfn.DAYS(electricity_cost31141822263034384246[[#This Row],[Date of reading 
(Elect + Gas)]], G24)</f>
        <v>4.666666666666667</v>
      </c>
      <c r="M25" s="11">
        <v>12458</v>
      </c>
      <c r="P25" s="11">
        <v>12735</v>
      </c>
      <c r="Q25" s="11">
        <f>gas_cost1071351923273135394347[[#This Row],[ Index (m3)]] - gas_cost1071351923273135394347[[#This Row],[Original index 
(m3)]]</f>
        <v>277</v>
      </c>
      <c r="R25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3</v>
      </c>
      <c r="S25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123.819</v>
      </c>
      <c r="T25" s="12">
        <f xml:space="preserve"> gas_cost1071351923273135394347[[#This Row],[Gas Net cost to date
(TND)]]* (1 + E$5)</f>
        <v>146.10641999999999</v>
      </c>
      <c r="U25" s="12">
        <f>(gas_cost1071351923273135394347[[#This Row],[Gas Cost to date  VAT included
(TND)
]] - T24)/_xlfn.DAYS(electricity_cost31141822263034384246[[#This Row],[Date of reading 
(Elect + Gas)]], G24)</f>
        <v>8.3899966666666632</v>
      </c>
      <c r="V25" s="12">
        <f>(gas_cost1071351923273135394347[[#This Row],[Consumption (m3)]] - Q24)/_xlfn.DAYS(electricity_cost31141822263034384246[[#This Row],[Date of reading 
(Elect + Gas)]], G24)</f>
        <v>6.5</v>
      </c>
      <c r="W25" s="20">
        <f xml:space="preserve"> E$8 + ((electricity_cost31141822263034384246[[#This Row],[Elect. Net cost to date
(TND)]] + E$6 + gas_cost1071351923273135394347[[#This Row],[Gas Net cost to date
(TND)]] + E$7) * (1 + E$5))</f>
        <v>235.02726000000001</v>
      </c>
      <c r="X25" s="38"/>
    </row>
    <row r="26" spans="2:25" x14ac:dyDescent="0.25">
      <c r="B26">
        <v>25469</v>
      </c>
      <c r="C26" s="6">
        <v>44209</v>
      </c>
      <c r="D26" s="54">
        <v>44329</v>
      </c>
      <c r="E26">
        <v>25692</v>
      </c>
      <c r="F26" s="11">
        <f>electricity_cost31141822263034384246[[#This Row],[ Index (KWh)]]-electricity_cost31141822263034384246[[#This Row],[Original index 
(KWh)]]</f>
        <v>223</v>
      </c>
      <c r="G26" s="6">
        <v>44251</v>
      </c>
      <c r="H26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6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40.363</v>
      </c>
      <c r="J26" s="10">
        <f xml:space="preserve"> (E$6 + electricity_cost31141822263034384246[[#This Row],[Elect. Net cost to date
(TND)]]) * (1 + E$5)</f>
        <v>82.320340000000002</v>
      </c>
      <c r="K26" s="12">
        <f>electricity_cost31141822263034384246[[#This Row],[Elect. Cost  VAT included
(TND)
]]-J25/(electricity_cost31141822263034384246[[#This Row],[Date of reading 
(Elect + Gas)]]-G25)</f>
        <v>71.323077142857144</v>
      </c>
      <c r="L26" s="12">
        <f>(electricity_cost31141822263034384246[[#This Row],[Consumption to date (KWh)]] - F25)/_xlfn.DAYS(electricity_cost31141822263034384246[[#This Row],[Date of reading 
(Elect + Gas)]], G25)</f>
        <v>3.5714285714285716</v>
      </c>
      <c r="M26" s="11">
        <v>12458</v>
      </c>
      <c r="P26" s="11">
        <v>12780</v>
      </c>
      <c r="Q26" s="11">
        <f>gas_cost1071351923273135394347[[#This Row],[ Index (m3)]] - gas_cost1071351923273135394347[[#This Row],[Original index 
(m3)]]</f>
        <v>322</v>
      </c>
      <c r="R26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3</v>
      </c>
      <c r="S26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143.934</v>
      </c>
      <c r="T26" s="12">
        <f xml:space="preserve"> gas_cost1071351923273135394347[[#This Row],[Gas Net cost to date
(TND)]]* (1 + E$5)</f>
        <v>169.84211999999999</v>
      </c>
      <c r="U26" s="12">
        <f>(gas_cost1071351923273135394347[[#This Row],[Gas Cost to date  VAT included
(TND)
]] - T25)/_xlfn.DAYS(electricity_cost31141822263034384246[[#This Row],[Date of reading 
(Elect + Gas)]], G25)</f>
        <v>3.3908142857142871</v>
      </c>
      <c r="V26" s="12">
        <f>(gas_cost1071351923273135394347[[#This Row],[Consumption (m3)]] - Q25)/_xlfn.DAYS(electricity_cost31141822263034384246[[#This Row],[Date of reading 
(Elect + Gas)]], G25)</f>
        <v>6.4285714285714288</v>
      </c>
      <c r="W26" s="20">
        <f xml:space="preserve"> E$8 + ((electricity_cost31141822263034384246[[#This Row],[Elect. Net cost to date
(TND)]] + E$6 + gas_cost1071351923273135394347[[#This Row],[Gas Net cost to date
(TND)]] + E$7) * (1 + E$5))</f>
        <v>264.10246000000001</v>
      </c>
      <c r="X26" s="38"/>
    </row>
    <row r="27" spans="2:25" x14ac:dyDescent="0.25">
      <c r="B27">
        <v>25469</v>
      </c>
      <c r="C27" s="6">
        <v>44209</v>
      </c>
      <c r="D27" s="54">
        <v>44329</v>
      </c>
      <c r="E27" s="15">
        <v>25703</v>
      </c>
      <c r="F27" s="60">
        <f>electricity_cost31141822263034384246[[#This Row],[ Index (KWh)]]-electricity_cost31141822263034384246[[#This Row],[Original index 
(KWh)]]</f>
        <v>234</v>
      </c>
      <c r="G27" s="58">
        <v>44255</v>
      </c>
      <c r="H27" s="6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7" s="6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42.353999999999999</v>
      </c>
      <c r="J27" s="65">
        <f xml:space="preserve"> (E$6 + electricity_cost31141822263034384246[[#This Row],[Elect. Net cost to date
(TND)]]) * (1 + E$5)</f>
        <v>84.669719999999984</v>
      </c>
      <c r="K27" s="12">
        <f>(electricity_cost31141822263034384246[[#This Row],[Elect. Cost  VAT included
(TND)
]]-J26)/_xlfn.DAYS(electricity_cost31141822263034384246[[#This Row],[Date of reading 
(Elect + Gas)]], G26)</f>
        <v>0.58734499999999557</v>
      </c>
      <c r="L27" s="62">
        <f>(electricity_cost31141822263034384246[[#This Row],[Consumption to date (KWh)]] - F26)/_xlfn.DAYS(electricity_cost31141822263034384246[[#This Row],[Date of reading 
(Elect + Gas)]], G26)</f>
        <v>2.75</v>
      </c>
      <c r="M27" s="11">
        <v>12458</v>
      </c>
      <c r="P27" s="11">
        <v>12794</v>
      </c>
      <c r="Q27" s="11">
        <f>gas_cost1071351923273135394347[[#This Row],[ Index (m3)]] - gas_cost1071351923273135394347[[#This Row],[Original index 
(m3)]]</f>
        <v>336</v>
      </c>
      <c r="R27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3</v>
      </c>
      <c r="S27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150.19200000000001</v>
      </c>
      <c r="T27" s="12">
        <f xml:space="preserve"> gas_cost1071351923273135394347[[#This Row],[Gas Net cost to date
(TND)]]* (1 + E$5)</f>
        <v>177.22656000000001</v>
      </c>
      <c r="U27" s="12">
        <f>(gas_cost1071351923273135394347[[#This Row],[Gas Cost to date  VAT included
(TND)
]] - T26)/_xlfn.DAYS(electricity_cost31141822263034384246[[#This Row],[Date of reading 
(Elect + Gas)]], G26)</f>
        <v>1.846110000000003</v>
      </c>
      <c r="V27" s="12">
        <f>(gas_cost1071351923273135394347[[#This Row],[Consumption (m3)]] - Q26)/_xlfn.DAYS(electricity_cost31141822263034384246[[#This Row],[Date of reading 
(Elect + Gas)]], G26)</f>
        <v>3.5</v>
      </c>
      <c r="W27" s="20">
        <f xml:space="preserve"> E$8 + ((electricity_cost31141822263034384246[[#This Row],[Elect. Net cost to date
(TND)]] + E$6 + gas_cost1071351923273135394347[[#This Row],[Gas Net cost to date
(TND)]] + E$7) * (1 + E$5))</f>
        <v>273.83627999999999</v>
      </c>
      <c r="X27" s="38"/>
    </row>
    <row r="28" spans="2:25" x14ac:dyDescent="0.25">
      <c r="B28">
        <v>25469</v>
      </c>
      <c r="C28" s="6">
        <v>44209</v>
      </c>
      <c r="D28" s="54">
        <v>44329</v>
      </c>
      <c r="E28">
        <v>25709</v>
      </c>
      <c r="F28" s="11">
        <f>electricity_cost31141822263034384246[[#This Row],[ Index (KWh)]]-electricity_cost31141822263034384246[[#This Row],[Original index 
(KWh)]]</f>
        <v>240</v>
      </c>
      <c r="G28" s="6">
        <v>44256</v>
      </c>
      <c r="H28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8" s="1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43.44</v>
      </c>
      <c r="J28" s="10">
        <f xml:space="preserve"> (E$6 + electricity_cost31141822263034384246[[#This Row],[Elect. Net cost to date
(TND)]]) * (1 + E$5)</f>
        <v>85.9512</v>
      </c>
      <c r="K28" s="12">
        <f>(electricity_cost31141822263034384246[[#This Row],[Elect. Cost  VAT included
(TND)
]]-J27)/_xlfn.DAYS(electricity_cost31141822263034384246[[#This Row],[Date of reading 
(Elect + Gas)]], G27)</f>
        <v>1.2814800000000162</v>
      </c>
      <c r="L28" s="12">
        <f>(electricity_cost31141822263034384246[[#This Row],[Consumption to date (KWh)]] - F27)/_xlfn.DAYS(electricity_cost31141822263034384246[[#This Row],[Date of reading 
(Elect + Gas)]], G27)</f>
        <v>6</v>
      </c>
      <c r="M28" s="11">
        <v>12458</v>
      </c>
      <c r="P28" s="11">
        <v>12802</v>
      </c>
      <c r="Q28" s="11">
        <f>gas_cost1071351923273135394347[[#This Row],[ Index (m3)]] - gas_cost1071351923273135394347[[#This Row],[Original index 
(m3)]]</f>
        <v>344</v>
      </c>
      <c r="R28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3</v>
      </c>
      <c r="S28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153.768</v>
      </c>
      <c r="T28" s="12">
        <f xml:space="preserve"> gas_cost1071351923273135394347[[#This Row],[Gas Net cost to date
(TND)]]* (1 + E$5)</f>
        <v>181.44623999999999</v>
      </c>
      <c r="U28" s="12">
        <f>(gas_cost1071351923273135394347[[#This Row],[Gas Cost to date  VAT included
(TND)
]] - T27)/_xlfn.DAYS(electricity_cost31141822263034384246[[#This Row],[Date of reading 
(Elect + Gas)]], G27)</f>
        <v>4.2196799999999826</v>
      </c>
      <c r="V28" s="12">
        <f>(gas_cost1071351923273135394347[[#This Row],[Consumption (m3)]] - Q27)/_xlfn.DAYS(electricity_cost31141822263034384246[[#This Row],[Date of reading 
(Elect + Gas)]], G27)</f>
        <v>8</v>
      </c>
      <c r="W28" s="20">
        <f xml:space="preserve"> E$8 + ((electricity_cost31141822263034384246[[#This Row],[Elect. Net cost to date
(TND)]] + E$6 + gas_cost1071351923273135394347[[#This Row],[Gas Net cost to date
(TND)]] + E$7) * (1 + E$5))</f>
        <v>279.33743999999996</v>
      </c>
      <c r="X28" s="38"/>
    </row>
    <row r="29" spans="2:25" x14ac:dyDescent="0.25">
      <c r="B29">
        <v>25469</v>
      </c>
      <c r="C29" s="6">
        <v>44209</v>
      </c>
      <c r="D29" s="54">
        <v>44329</v>
      </c>
      <c r="E29" s="15">
        <v>25974</v>
      </c>
      <c r="F29" s="60">
        <f>electricity_cost31141822263034384246[[#This Row],[ Index (KWh)]]-electricity_cost31141822263034384246[[#This Row],[Original index 
(KWh)]]</f>
        <v>505</v>
      </c>
      <c r="G29" s="58">
        <v>44312</v>
      </c>
      <c r="H29" s="6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29" s="6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91.405000000000001</v>
      </c>
      <c r="J29" s="65">
        <f xml:space="preserve"> (E$6 + electricity_cost31141822263034384246[[#This Row],[Elect. Net cost to date
(TND)]]) * (1 + E$5)</f>
        <v>142.54990000000001</v>
      </c>
      <c r="K29" s="12">
        <f>(electricity_cost31141822263034384246[[#This Row],[Elect. Cost  VAT included
(TND)
]]-J28)/_xlfn.DAYS(electricity_cost31141822263034384246[[#This Row],[Date of reading 
(Elect + Gas)]], G28)</f>
        <v>1.0106910714285715</v>
      </c>
      <c r="L29" s="62">
        <f>(electricity_cost31141822263034384246[[#This Row],[Consumption to date (KWh)]] - F28)/_xlfn.DAYS(electricity_cost31141822263034384246[[#This Row],[Date of reading 
(Elect + Gas)]], G28)</f>
        <v>4.7321428571428568</v>
      </c>
      <c r="M29" s="11">
        <v>12458</v>
      </c>
      <c r="P29" s="11">
        <v>13100</v>
      </c>
      <c r="Q29" s="11">
        <f>gas_cost1071351923273135394347[[#This Row],[ Index (m3)]] - gas_cost1071351923273135394347[[#This Row],[Original index 
(m3)]]</f>
        <v>642</v>
      </c>
      <c r="R29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4</v>
      </c>
      <c r="S29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323.56799999999998</v>
      </c>
      <c r="T29" s="12">
        <f xml:space="preserve"> gas_cost1071351923273135394347[[#This Row],[Gas Net cost to date
(TND)]]* (1 + E$5)</f>
        <v>381.81023999999996</v>
      </c>
      <c r="U29" s="12">
        <f>(gas_cost1071351923273135394347[[#This Row],[Gas Cost to date  VAT included
(TND)
]] - T28)/_xlfn.DAYS(electricity_cost31141822263034384246[[#This Row],[Date of reading 
(Elect + Gas)]], G28)</f>
        <v>3.5779285714285711</v>
      </c>
      <c r="V29" s="12">
        <f>(gas_cost1071351923273135394347[[#This Row],[Consumption (m3)]] - Q28)/_xlfn.DAYS(electricity_cost31141822263034384246[[#This Row],[Date of reading 
(Elect + Gas)]], G28)</f>
        <v>5.3214285714285712</v>
      </c>
      <c r="W29" s="20">
        <f xml:space="preserve"> E$8 + ((electricity_cost31141822263034384246[[#This Row],[Elect. Net cost to date
(TND)]] + E$6 + gas_cost1071351923273135394347[[#This Row],[Gas Net cost to date
(TND)]] + E$7) * (1 + E$5))</f>
        <v>536.30013999999994</v>
      </c>
      <c r="X29" s="38"/>
    </row>
    <row r="30" spans="2:25" x14ac:dyDescent="0.25">
      <c r="B30">
        <v>25469</v>
      </c>
      <c r="C30" s="6">
        <v>44209</v>
      </c>
      <c r="D30" s="54">
        <v>44329</v>
      </c>
      <c r="E30" s="11">
        <v>26013</v>
      </c>
      <c r="F30" s="60">
        <f>electricity_cost31141822263034384246[[#This Row],[ Index (KWh)]]-electricity_cost31141822263034384246[[#This Row],[Original index 
(KWh)]]</f>
        <v>544</v>
      </c>
      <c r="G30" s="6">
        <v>44320</v>
      </c>
      <c r="H30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30" s="6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98.463999999999999</v>
      </c>
      <c r="J30" s="65">
        <f xml:space="preserve"> (E$6 + electricity_cost31141822263034384246[[#This Row],[Elect. Net cost to date
(TND)]]) * (1 + E$5)</f>
        <v>150.87951999999999</v>
      </c>
      <c r="K30" s="12">
        <f>(electricity_cost31141822263034384246[[#This Row],[Elect. Cost  VAT included
(TND)
]]-J29)/_xlfn.DAYS(electricity_cost31141822263034384246[[#This Row],[Date of reading 
(Elect + Gas)]], G29)</f>
        <v>1.0412024999999971</v>
      </c>
      <c r="L30" s="62">
        <f>(electricity_cost31141822263034384246[[#This Row],[Consumption to date (KWh)]] - F29)/_xlfn.DAYS(electricity_cost31141822263034384246[[#This Row],[Date of reading 
(Elect + Gas)]], G29)</f>
        <v>4.875</v>
      </c>
      <c r="M30" s="11">
        <v>12458</v>
      </c>
      <c r="P30" s="11">
        <v>13106</v>
      </c>
      <c r="Q30" s="11">
        <f>gas_cost1071351923273135394347[[#This Row],[ Index (m3)]] - gas_cost1071351923273135394347[[#This Row],[Original index 
(m3)]]</f>
        <v>648</v>
      </c>
      <c r="R30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4</v>
      </c>
      <c r="S30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326.59199999999998</v>
      </c>
      <c r="T30" s="12">
        <f xml:space="preserve"> gas_cost1071351923273135394347[[#This Row],[Gas Net cost to date
(TND)]]* (1 + E$5)</f>
        <v>385.37855999999994</v>
      </c>
      <c r="U30" s="12">
        <f>(gas_cost1071351923273135394347[[#This Row],[Gas Cost to date  VAT included
(TND)
]] - T29)/_xlfn.DAYS(electricity_cost31141822263034384246[[#This Row],[Date of reading 
(Elect + Gas)]], G29)</f>
        <v>0.44603999999999644</v>
      </c>
      <c r="V30" s="12">
        <f>(gas_cost1071351923273135394347[[#This Row],[Consumption (m3)]] - Q29)/_xlfn.DAYS(electricity_cost31141822263034384246[[#This Row],[Date of reading 
(Elect + Gas)]], G29)</f>
        <v>0.75</v>
      </c>
      <c r="W30" s="20">
        <f xml:space="preserve"> E$8 + ((electricity_cost31141822263034384246[[#This Row],[Elect. Net cost to date
(TND)]] + E$6 + gas_cost1071351923273135394347[[#This Row],[Gas Net cost to date
(TND)]] + E$7) * (1 + E$5))</f>
        <v>548.19808</v>
      </c>
      <c r="X30" s="38"/>
    </row>
    <row r="31" spans="2:25" x14ac:dyDescent="0.25">
      <c r="B31">
        <v>25469</v>
      </c>
      <c r="C31" s="6">
        <v>44209</v>
      </c>
      <c r="D31" s="54">
        <v>44329</v>
      </c>
      <c r="E31" s="11">
        <v>26022</v>
      </c>
      <c r="F31" s="60">
        <f>electricity_cost31141822263034384246[[#This Row],[ Index (KWh)]]-electricity_cost31141822263034384246[[#This Row],[Original index 
(KWh)]]</f>
        <v>553</v>
      </c>
      <c r="G31" s="6">
        <v>44321</v>
      </c>
      <c r="H31" s="21">
        <f xml:space="preserve"> _xlfn.IFS(electricity_cost31141822263034384246[[#This Row],[Consumption to date (KWh)]] &lt;= K$4, 1, AND(K$4 &lt; electricity_cost31141822263034384246[[#This Row],[Consumption to date (KWh)]],  electricity_cost31141822263034384246[[#This Row],[Consumption to date (KWh)]]&lt;= K$5), 2, AND(K$5 &lt; electricity_cost31141822263034384246[[#This Row],[Consumption to date (KWh)]],  electricity_cost31141822263034384246[[#This Row],[Consumption to date (KWh)]]&lt;= K$6), 3, electricity_cost31141822263034384246[[#This Row],[Consumption to date (KWh)]] &gt; K$6, 4)</f>
        <v>1</v>
      </c>
      <c r="I31" s="62">
        <f>_xlfn.IFS(electricity_cost31141822263034384246[[#This Row],[Level (Elect)]]= 1, (electricity_cost31141822263034384246[[#This Row],[Consumption to date (KWh)]] * L$4)/1000, electricity_cost31141822263034384246[[#This Row],[Level (Elect)]] = 2, (K$4 * L$4 +((electricity_cost31141822263034384246[[#This Row],[Consumption to date (KWh)]] - K$4) * L$5))/1000,electricity_cost31141822263034384246[[#This Row],[Level (Elect)]] = 3, (K$4 * L$4 + (K$5-J$5) * L$5 + ((electricity_cost31141822263034384246[[#This Row],[Consumption to date (KWh)]] - K$5) * L$6))/1000, electricity_cost31141822263034384246[[#This Row],[Level (Elect)]] = 4, (K$4 * L$4 + (K$5-J$5) * L$5 + (K$6-J$6) * L$6 + ((electricity_cost31141822263034384246[[#This Row],[Consumption to date (KWh)]] - K$6) * L$7))/1000)</f>
        <v>100.093</v>
      </c>
      <c r="J31" s="65">
        <f xml:space="preserve"> (E$6 + electricity_cost31141822263034384246[[#This Row],[Elect. Net cost to date
(TND)]]) * (1 + E$5)</f>
        <v>152.80174</v>
      </c>
      <c r="K31" s="12">
        <f>electricity_cost31141822263034384246[[#This Row],[Elect. Cost  VAT included
(TND)
]]-J30/(electricity_cost31141822263034384246[[#This Row],[Date of reading 
(Elect + Gas)]]-G30)</f>
        <v>1.92222000000001</v>
      </c>
      <c r="L31" s="62">
        <f>(electricity_cost31141822263034384246[[#This Row],[Consumption to date (KWh)]] - F30)/_xlfn.DAYS(electricity_cost31141822263034384246[[#This Row],[Date of reading 
(Elect + Gas)]], G30)</f>
        <v>9</v>
      </c>
      <c r="M31" s="11">
        <v>12458</v>
      </c>
      <c r="P31">
        <v>13108</v>
      </c>
      <c r="Q31" s="11">
        <f>gas_cost1071351923273135394347[[#This Row],[ Index (m3)]] - gas_cost1071351923273135394347[[#This Row],[Original index 
(m3)]]</f>
        <v>650</v>
      </c>
      <c r="R31" s="11">
        <f xml:space="preserve"> _xlfn.IFS(gas_cost1071351923273135394347[[#This Row],[Consumption (m3)]] &lt;= R$4, 1, AND(R$4 &lt; gas_cost1071351923273135394347[[#This Row],[Consumption (m3)]], gas_cost1071351923273135394347[[#This Row],[Consumption (m3)]] &lt;= R$5), 2, AND(R$5 &lt; gas_cost1071351923273135394347[[#This Row],[Consumption (m3)]], gas_cost1071351923273135394347[[#This Row],[Consumption (m3)]] &lt;= R$6), 3, gas_cost1071351923273135394347[[#This Row],[Consumption (m3)]] &gt; R$6, 4)</f>
        <v>4</v>
      </c>
      <c r="S31" s="12">
        <f>_xlfn.IFS(gas_cost1071351923273135394347[[#This Row],[Level (Gas)]]= 1, (gas_cost1071351923273135394347[[#This Row],[Consumption (m3)]] * S$4)/1000, gas_cost1071351923273135394347[[#This Row],[Level (Gas)]] = 2, (gas_cost1071351923273135394347[[#This Row],[Consumption (m3)]] * S$5)/1000,gas_cost1071351923273135394347[[#This Row],[Level (Gas)]] = 3, (gas_cost1071351923273135394347[[#This Row],[Consumption (m3)]] * S$6)/1000, gas_cost1071351923273135394347[[#This Row],[Level (Gas)]] = 4, (gas_cost1071351923273135394347[[#This Row],[Consumption (m3)]] * S$7)/1000)</f>
        <v>327.60000000000002</v>
      </c>
      <c r="T31" s="12">
        <f xml:space="preserve"> gas_cost1071351923273135394347[[#This Row],[Gas Net cost to date
(TND)]]* (1 + E$5)</f>
        <v>386.56799999999998</v>
      </c>
      <c r="U31" s="12">
        <f>(gas_cost1071351923273135394347[[#This Row],[Gas Cost to date  VAT included
(TND)
]] - T30)/_xlfn.DAYS(electricity_cost31141822263034384246[[#This Row],[Date of reading 
(Elect + Gas)]], G30)</f>
        <v>1.1894400000000473</v>
      </c>
      <c r="V31" s="12">
        <f>(gas_cost1071351923273135394347[[#This Row],[Consumption (m3)]] - Q30)/_xlfn.DAYS(electricity_cost31141822263034384246[[#This Row],[Date of reading 
(Elect + Gas)]], G30)</f>
        <v>2</v>
      </c>
      <c r="W31" s="20">
        <f xml:space="preserve"> E$8 + ((electricity_cost31141822263034384246[[#This Row],[Elect. Net cost to date
(TND)]] + E$6 + gas_cost1071351923273135394347[[#This Row],[Gas Net cost to date
(TND)]] + E$7) * (1 + E$5))</f>
        <v>551.30974000000003</v>
      </c>
      <c r="X31" s="38"/>
    </row>
    <row r="32" spans="2:25" x14ac:dyDescent="0.25">
      <c r="C32" s="6"/>
      <c r="D32" s="55"/>
      <c r="E32" s="11"/>
      <c r="F32" s="60"/>
      <c r="G32" s="6"/>
      <c r="H32" s="21"/>
      <c r="I32" s="62"/>
      <c r="J32" s="65"/>
      <c r="K32" s="12"/>
      <c r="L32" s="62"/>
    </row>
    <row r="33" spans="3:12" x14ac:dyDescent="0.25">
      <c r="C33" s="6"/>
      <c r="D33" s="55"/>
      <c r="E33" s="11"/>
      <c r="F33" s="60"/>
      <c r="G33" s="6"/>
      <c r="H33" s="21"/>
      <c r="I33" s="62"/>
      <c r="J33" s="65"/>
      <c r="K33" s="12"/>
      <c r="L33" s="62"/>
    </row>
    <row r="34" spans="3:12" x14ac:dyDescent="0.25">
      <c r="C34" s="6"/>
      <c r="D34" s="55"/>
      <c r="F34" s="11"/>
      <c r="G34" s="6"/>
      <c r="H34" s="11"/>
      <c r="I34" s="12"/>
      <c r="J34" s="12"/>
      <c r="K34" s="12"/>
      <c r="L34" s="12"/>
    </row>
    <row r="35" spans="3:12" x14ac:dyDescent="0.25">
      <c r="C35" s="6"/>
      <c r="D35" s="55"/>
      <c r="F35" s="11"/>
      <c r="G35" s="6"/>
      <c r="H35" s="11"/>
      <c r="I35" s="12"/>
      <c r="J35" s="12"/>
      <c r="K35" s="12"/>
      <c r="L35" s="12"/>
    </row>
    <row r="36" spans="3:12" x14ac:dyDescent="0.25">
      <c r="C36" s="6"/>
      <c r="D36" s="55"/>
      <c r="F36" s="11"/>
      <c r="G36" s="6"/>
      <c r="H36" s="11"/>
      <c r="I36" s="12"/>
      <c r="J36" s="12"/>
      <c r="K36" s="12"/>
      <c r="L36" s="12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2A8B-57D9-4E5A-90EF-FBFD9804375D}">
  <dimension ref="B2:Y28"/>
  <sheetViews>
    <sheetView topLeftCell="B19" zoomScale="85" zoomScaleNormal="85" workbookViewId="0">
      <selection activeCell="B26" sqref="B26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7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25.425781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181</v>
      </c>
      <c r="P4">
        <v>1</v>
      </c>
      <c r="Q4">
        <v>1</v>
      </c>
      <c r="R4">
        <v>120</v>
      </c>
      <c r="S4">
        <v>231</v>
      </c>
      <c r="U4" s="19">
        <v>44450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341</v>
      </c>
      <c r="T5" t="s">
        <v>71</v>
      </c>
      <c r="U5" s="19">
        <v>44450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29.4</v>
      </c>
      <c r="I6">
        <v>3</v>
      </c>
      <c r="J6">
        <v>1201</v>
      </c>
      <c r="K6">
        <v>2000</v>
      </c>
      <c r="L6">
        <v>346</v>
      </c>
      <c r="P6">
        <v>3</v>
      </c>
      <c r="Q6">
        <v>1</v>
      </c>
      <c r="R6">
        <v>600</v>
      </c>
      <c r="S6">
        <v>447</v>
      </c>
      <c r="T6" t="s">
        <v>65</v>
      </c>
    </row>
    <row r="7" spans="2:24" x14ac:dyDescent="0.25">
      <c r="D7" s="16" t="s">
        <v>15</v>
      </c>
      <c r="E7" s="14">
        <v>4.5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6.63</v>
      </c>
      <c r="F8" s="14"/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INDEX(electricity_cost3114182226303438424654[Elect. Net cost to date
(TND)], COUNTA(I18:I25), 1) + E6</f>
        <v>447.94099999999997</v>
      </c>
      <c r="G10" s="67" t="s">
        <v>76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75</v>
      </c>
      <c r="I11" s="33" t="s">
        <v>73</v>
      </c>
      <c r="J11" s="33" t="s">
        <v>74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600</v>
      </c>
      <c r="I12" s="34">
        <v>600</v>
      </c>
      <c r="J12" s="51">
        <v>170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700</v>
      </c>
      <c r="I13" s="35">
        <v>800</v>
      </c>
      <c r="J13" s="52">
        <v>450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>
        <v>630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>
        <v>26022</v>
      </c>
      <c r="C18" s="6">
        <v>44329</v>
      </c>
      <c r="D18" s="54">
        <v>44449</v>
      </c>
      <c r="E18">
        <v>26022</v>
      </c>
      <c r="F18" s="11">
        <f>electricity_cost3114182226303438424654[[#This Row],[ Index (KWh)]]-electricity_cost3114182226303438424654[[#This Row],[Original index 
(KWh)]]</f>
        <v>0</v>
      </c>
      <c r="G18" s="6">
        <v>44321</v>
      </c>
      <c r="H18" s="21">
        <f xml:space="preserve"> _xlfn.IFS(electricity_cost3114182226303438424654[[#This Row],[Consumption to date (KWh)]] &lt;= K$4, 1, AND(K$4 &lt; electricity_cost3114182226303438424654[[#This Row],[Consumption to date (KWh)]],  electricity_cost3114182226303438424654[[#This Row],[Consumption to date (KWh)]]&lt;= K$5), 2, AND(K$5 &lt; electricity_cost3114182226303438424654[[#This Row],[Consumption to date (KWh)]],  electricity_cost3114182226303438424654[[#This Row],[Consumption to date (KWh)]]&lt;= K$6), 3, electricity_cost3114182226303438424654[[#This Row],[Consumption to date (KWh)]] &gt; K$6, 4)</f>
        <v>1</v>
      </c>
      <c r="I18" s="12">
        <f>_xlfn.IFS(electricity_cost3114182226303438424654[[#This Row],[Level (Elect)]]= 1, (electricity_cost3114182226303438424654[[#This Row],[Consumption to date (KWh)]] * L$4)/1000, electricity_cost3114182226303438424654[[#This Row],[Level (Elect)]] = 2, (K$4 * L$4 +((electricity_cost3114182226303438424654[[#This Row],[Consumption to date (KWh)]] - K$4) * L$5))/1000,electricity_cost3114182226303438424654[[#This Row],[Level (Elect)]] = 3, (K$4 * L$4 + (K$5-J$5) * L$5 + ((electricity_cost3114182226303438424654[[#This Row],[Consumption to date (KWh)]] - K$5) * L$6))/1000, electricity_cost3114182226303438424654[[#This Row],[Level (Elect)]] = 4, (K$4 * L$4 + (K$5-J$5) * L$5 + (K$6-J$6) * L$6 + ((electricity_cost3114182226303438424654[[#This Row],[Consumption to date (KWh)]] - K$6) * L$7))/1000)</f>
        <v>0</v>
      </c>
      <c r="J18" s="10">
        <f xml:space="preserve"> (E$6 + electricity_cost3114182226303438424654[[#This Row],[Elect. Net cost to date
(TND)]]) * (1 + E$5)</f>
        <v>34.691999999999993</v>
      </c>
      <c r="K18" s="12"/>
      <c r="L18" s="12"/>
      <c r="M18" s="11">
        <v>13108</v>
      </c>
      <c r="P18" s="11">
        <v>13108</v>
      </c>
      <c r="Q18" s="11">
        <f>gas_cost107135192327313539434755[[#This Row],[ Index (m3)]] - gas_cost107135192327313539434755[[#This Row],[Original index 
(m3)]]</f>
        <v>0</v>
      </c>
      <c r="R18" s="11">
        <f xml:space="preserve"> _xlfn.IFS(gas_cost107135192327313539434755[[#This Row],[Consumption (m3)]] &lt;= R$4, 1, AND(R$4 &lt; gas_cost107135192327313539434755[[#This Row],[Consumption (m3)]], gas_cost107135192327313539434755[[#This Row],[Consumption (m3)]] &lt;= R$5), 2, AND(R$5 &lt; gas_cost107135192327313539434755[[#This Row],[Consumption (m3)]], gas_cost107135192327313539434755[[#This Row],[Consumption (m3)]] &lt;= R$6), 3, gas_cost107135192327313539434755[[#This Row],[Consumption (m3)]] &gt; R$6, 4)</f>
        <v>1</v>
      </c>
      <c r="S18" s="12">
        <f>_xlfn.IFS(gas_cost107135192327313539434755[[#This Row],[Level (Gas)]]= 1, (gas_cost107135192327313539434755[[#This Row],[Consumption (m3)]] * S$4)/1000, gas_cost107135192327313539434755[[#This Row],[Level (Gas)]] = 2, (gas_cost107135192327313539434755[[#This Row],[Consumption (m3)]] * S$5)/1000,gas_cost107135192327313539434755[[#This Row],[Level (Gas)]] = 3, (gas_cost107135192327313539434755[[#This Row],[Consumption (m3)]] * S$6)/1000, gas_cost107135192327313539434755[[#This Row],[Level (Gas)]] = 4, (gas_cost107135192327313539434755[[#This Row],[Consumption (m3)]] * S$7)/1000)</f>
        <v>0</v>
      </c>
      <c r="T18" s="12">
        <f xml:space="preserve"> gas_cost107135192327313539434755[[#This Row],[Gas Net cost to date
(TND)]]* (1 + E$5)</f>
        <v>0</v>
      </c>
      <c r="U18" s="12"/>
      <c r="V18" s="12"/>
      <c r="W18" s="20">
        <f xml:space="preserve"> E$8 + ((electricity_cost3114182226303438424654[[#This Row],[Elect. Net cost to date
(TND)]] + E$6 + gas_cost107135192327313539434755[[#This Row],[Gas Net cost to date
(TND)]] + E$7) * (1 + E$5))</f>
        <v>46.631999999999998</v>
      </c>
      <c r="X18" s="38"/>
      <c r="Y18" s="37"/>
    </row>
    <row r="19" spans="2:25" x14ac:dyDescent="0.25">
      <c r="B19">
        <v>26022</v>
      </c>
      <c r="C19" s="6">
        <v>44329</v>
      </c>
      <c r="D19" s="54">
        <v>44449</v>
      </c>
      <c r="E19">
        <v>26224</v>
      </c>
      <c r="F19" s="11">
        <f>electricity_cost3114182226303438424654[[#This Row],[ Index (KWh)]]-electricity_cost3114182226303438424654[[#This Row],[Original index 
(KWh)]]</f>
        <v>202</v>
      </c>
      <c r="G19" s="6">
        <v>44363</v>
      </c>
      <c r="H19" s="21">
        <f xml:space="preserve"> _xlfn.IFS(electricity_cost3114182226303438424654[[#This Row],[Consumption to date (KWh)]] &lt;= K$4, 1, AND(K$4 &lt; electricity_cost3114182226303438424654[[#This Row],[Consumption to date (KWh)]],  electricity_cost3114182226303438424654[[#This Row],[Consumption to date (KWh)]]&lt;= K$5), 2, AND(K$5 &lt; electricity_cost3114182226303438424654[[#This Row],[Consumption to date (KWh)]],  electricity_cost3114182226303438424654[[#This Row],[Consumption to date (KWh)]]&lt;= K$6), 3, electricity_cost3114182226303438424654[[#This Row],[Consumption to date (KWh)]] &gt; K$6, 4)</f>
        <v>1</v>
      </c>
      <c r="I19" s="12">
        <f>_xlfn.IFS(electricity_cost3114182226303438424654[[#This Row],[Level (Elect)]]= 1, (electricity_cost3114182226303438424654[[#This Row],[Consumption to date (KWh)]] * L$4)/1000, electricity_cost3114182226303438424654[[#This Row],[Level (Elect)]] = 2, (K$4 * L$4 +((electricity_cost3114182226303438424654[[#This Row],[Consumption to date (KWh)]] - K$4) * L$5))/1000,electricity_cost3114182226303438424654[[#This Row],[Level (Elect)]] = 3, (K$4 * L$4 + (K$5-J$5) * L$5 + ((electricity_cost3114182226303438424654[[#This Row],[Consumption to date (KWh)]] - K$5) * L$6))/1000, electricity_cost3114182226303438424654[[#This Row],[Level (Elect)]] = 4, (K$4 * L$4 + (K$5-J$5) * L$5 + (K$6-J$6) * L$6 + ((electricity_cost3114182226303438424654[[#This Row],[Consumption to date (KWh)]] - K$6) * L$7))/1000)</f>
        <v>36.561999999999998</v>
      </c>
      <c r="J19" s="10">
        <f xml:space="preserve"> (E$6 + electricity_cost3114182226303438424654[[#This Row],[Elect. Net cost to date
(TND)]]) * (1 + E$5)</f>
        <v>77.835159999999988</v>
      </c>
      <c r="K19" s="12">
        <f>(electricity_cost3114182226303438424654[[#This Row],[Elect. Cost  VAT included
(TND)
]]-J18)/_xlfn.DAYS(electricity_cost3114182226303438424654[[#This Row],[Date of reading 
(Elect + Gas)]], G18)</f>
        <v>1.0272180952380952</v>
      </c>
      <c r="L19" s="12">
        <f>(electricity_cost3114182226303438424654[[#This Row],[Consumption to date (KWh)]] - F18)/_xlfn.DAYS(electricity_cost3114182226303438424654[[#This Row],[Date of reading 
(Elect + Gas)]], G18)</f>
        <v>4.8095238095238093</v>
      </c>
      <c r="M19" s="11">
        <v>13108</v>
      </c>
      <c r="P19" s="11">
        <v>13145</v>
      </c>
      <c r="Q19" s="11">
        <f>gas_cost107135192327313539434755[[#This Row],[ Index (m3)]] - gas_cost107135192327313539434755[[#This Row],[Original index 
(m3)]]</f>
        <v>37</v>
      </c>
      <c r="R19" s="11">
        <f xml:space="preserve"> _xlfn.IFS(gas_cost107135192327313539434755[[#This Row],[Consumption (m3)]] &lt;= R$4, 1, AND(R$4 &lt; gas_cost107135192327313539434755[[#This Row],[Consumption (m3)]], gas_cost107135192327313539434755[[#This Row],[Consumption (m3)]] &lt;= R$5), 2, AND(R$5 &lt; gas_cost107135192327313539434755[[#This Row],[Consumption (m3)]], gas_cost107135192327313539434755[[#This Row],[Consumption (m3)]] &lt;= R$6), 3, gas_cost107135192327313539434755[[#This Row],[Consumption (m3)]] &gt; R$6, 4)</f>
        <v>1</v>
      </c>
      <c r="S19" s="12">
        <f>_xlfn.IFS(gas_cost107135192327313539434755[[#This Row],[Level (Gas)]]= 1, (gas_cost107135192327313539434755[[#This Row],[Consumption (m3)]] * S$4)/1000, gas_cost107135192327313539434755[[#This Row],[Level (Gas)]] = 2, (gas_cost107135192327313539434755[[#This Row],[Consumption (m3)]] * S$5)/1000,gas_cost107135192327313539434755[[#This Row],[Level (Gas)]] = 3, (gas_cost107135192327313539434755[[#This Row],[Consumption (m3)]] * S$6)/1000, gas_cost107135192327313539434755[[#This Row],[Level (Gas)]] = 4, (gas_cost107135192327313539434755[[#This Row],[Consumption (m3)]] * S$7)/1000)</f>
        <v>8.5470000000000006</v>
      </c>
      <c r="T19" s="12">
        <f xml:space="preserve"> gas_cost107135192327313539434755[[#This Row],[Gas Net cost to date
(TND)]]* (1 + E$5)</f>
        <v>10.085459999999999</v>
      </c>
      <c r="U19" s="12">
        <f>(gas_cost107135192327313539434755[[#This Row],[Gas Cost to date  VAT included
(TND)
]] - T18)/_xlfn.DAYS(electricity_cost3114182226303438424654[[#This Row],[Date of reading 
(Elect + Gas)]], G18)</f>
        <v>0.24012999999999998</v>
      </c>
      <c r="V19" s="12">
        <f>(gas_cost107135192327313539434755[[#This Row],[Consumption (m3)]] - Q18)/_xlfn.DAYS(electricity_cost3114182226303438424654[[#This Row],[Date of reading 
(Elect + Gas)]], G18)</f>
        <v>0.88095238095238093</v>
      </c>
      <c r="W19" s="20">
        <f xml:space="preserve"> E$8 + ((electricity_cost3114182226303438424654[[#This Row],[Elect. Net cost to date
(TND)]] + E$6 + gas_cost107135192327313539434755[[#This Row],[Gas Net cost to date
(TND)]] + E$7) * (1 + E$5))</f>
        <v>99.860619999999969</v>
      </c>
      <c r="X19" s="38"/>
    </row>
    <row r="20" spans="2:25" x14ac:dyDescent="0.25">
      <c r="B20">
        <v>26022</v>
      </c>
      <c r="C20" s="6">
        <v>44329</v>
      </c>
      <c r="D20" s="54">
        <v>44449</v>
      </c>
      <c r="E20">
        <v>27317</v>
      </c>
      <c r="F20" s="11">
        <f>electricity_cost3114182226303438424654[[#This Row],[ Index (KWh)]]-electricity_cost3114182226303438424654[[#This Row],[Original index 
(KWh)]]</f>
        <v>1295</v>
      </c>
      <c r="G20" s="6">
        <v>44418</v>
      </c>
      <c r="H20" s="21">
        <f xml:space="preserve"> _xlfn.IFS(electricity_cost3114182226303438424654[[#This Row],[Consumption to date (KWh)]] &lt;= K$4, 1, AND(K$4 &lt; electricity_cost3114182226303438424654[[#This Row],[Consumption to date (KWh)]],  electricity_cost3114182226303438424654[[#This Row],[Consumption to date (KWh)]]&lt;= K$5), 2, AND(K$5 &lt; electricity_cost3114182226303438424654[[#This Row],[Consumption to date (KWh)]],  electricity_cost3114182226303438424654[[#This Row],[Consumption to date (KWh)]]&lt;= K$6), 3, electricity_cost3114182226303438424654[[#This Row],[Consumption to date (KWh)]] &gt; K$6, 4)</f>
        <v>3</v>
      </c>
      <c r="I20" s="12">
        <f>_xlfn.IFS(electricity_cost3114182226303438424654[[#This Row],[Level (Elect)]]= 1, (electricity_cost3114182226303438424654[[#This Row],[Consumption to date (KWh)]] * L$4)/1000, electricity_cost3114182226303438424654[[#This Row],[Level (Elect)]] = 2, (K$4 * L$4 +((electricity_cost3114182226303438424654[[#This Row],[Consumption to date (KWh)]] - K$4) * L$5))/1000,electricity_cost3114182226303438424654[[#This Row],[Level (Elect)]] = 3, (K$4 * L$4 + (K$5-J$5) * L$5 + ((electricity_cost3114182226303438424654[[#This Row],[Consumption to date (KWh)]] - K$5) * L$6))/1000, electricity_cost3114182226303438424654[[#This Row],[Level (Elect)]] = 4, (K$4 * L$4 + (K$5-J$5) * L$5 + (K$6-J$6) * L$6 + ((electricity_cost3114182226303438424654[[#This Row],[Consumption to date (KWh)]] - K$6) * L$7))/1000)</f>
        <v>266.64699999999999</v>
      </c>
      <c r="J20" s="10">
        <f xml:space="preserve"> (E$6 + electricity_cost3114182226303438424654[[#This Row],[Elect. Net cost to date
(TND)]]) * (1 + E$5)</f>
        <v>349.33545999999996</v>
      </c>
      <c r="K20" s="12">
        <f>electricity_cost3114182226303438424654[[#This Row],[Elect. Cost  VAT included
(TND)
]]-J19/(electricity_cost3114182226303438424654[[#This Row],[Date of reading 
(Elect + Gas)]]-G19)</f>
        <v>347.92027527272722</v>
      </c>
      <c r="L20" s="12">
        <f>(electricity_cost3114182226303438424654[[#This Row],[Consumption to date (KWh)]] - F19)/_xlfn.DAYS(electricity_cost3114182226303438424654[[#This Row],[Date of reading 
(Elect + Gas)]], G19)</f>
        <v>19.872727272727271</v>
      </c>
      <c r="M20" s="11">
        <v>13108</v>
      </c>
      <c r="P20" s="11">
        <v>13190</v>
      </c>
      <c r="Q20" s="11">
        <f>gas_cost107135192327313539434755[[#This Row],[ Index (m3)]] - gas_cost107135192327313539434755[[#This Row],[Original index 
(m3)]]</f>
        <v>82</v>
      </c>
      <c r="R20" s="11">
        <f xml:space="preserve"> _xlfn.IFS(gas_cost107135192327313539434755[[#This Row],[Consumption (m3)]] &lt;= R$4, 1, AND(R$4 &lt; gas_cost107135192327313539434755[[#This Row],[Consumption (m3)]], gas_cost107135192327313539434755[[#This Row],[Consumption (m3)]] &lt;= R$5), 2, AND(R$5 &lt; gas_cost107135192327313539434755[[#This Row],[Consumption (m3)]], gas_cost107135192327313539434755[[#This Row],[Consumption (m3)]] &lt;= R$6), 3, gas_cost107135192327313539434755[[#This Row],[Consumption (m3)]] &gt; R$6, 4)</f>
        <v>1</v>
      </c>
      <c r="S20" s="12">
        <f>_xlfn.IFS(gas_cost107135192327313539434755[[#This Row],[Level (Gas)]]= 1, (gas_cost107135192327313539434755[[#This Row],[Consumption (m3)]] * S$4)/1000, gas_cost107135192327313539434755[[#This Row],[Level (Gas)]] = 2, (gas_cost107135192327313539434755[[#This Row],[Consumption (m3)]] * S$5)/1000,gas_cost107135192327313539434755[[#This Row],[Level (Gas)]] = 3, (gas_cost107135192327313539434755[[#This Row],[Consumption (m3)]] * S$6)/1000, gas_cost107135192327313539434755[[#This Row],[Level (Gas)]] = 4, (gas_cost107135192327313539434755[[#This Row],[Consumption (m3)]] * S$7)/1000)</f>
        <v>18.942</v>
      </c>
      <c r="T20" s="12">
        <f xml:space="preserve"> gas_cost107135192327313539434755[[#This Row],[Gas Net cost to date
(TND)]]* (1 + E$5)</f>
        <v>22.351559999999999</v>
      </c>
      <c r="U20" s="12">
        <f>(gas_cost107135192327313539434755[[#This Row],[Gas Cost to date  VAT included
(TND)
]] - T19)/_xlfn.DAYS(electricity_cost3114182226303438424654[[#This Row],[Date of reading 
(Elect + Gas)]], G19)</f>
        <v>0.22302</v>
      </c>
      <c r="V20" s="12">
        <f>(gas_cost107135192327313539434755[[#This Row],[Consumption (m3)]] - Q19)/_xlfn.DAYS(electricity_cost3114182226303438424654[[#This Row],[Date of reading 
(Elect + Gas)]], G19)</f>
        <v>0.81818181818181823</v>
      </c>
      <c r="W20" s="20">
        <f xml:space="preserve"> E$8 + ((electricity_cost3114182226303438424654[[#This Row],[Elect. Net cost to date
(TND)]] + E$6 + gas_cost107135192327313539434755[[#This Row],[Gas Net cost to date
(TND)]] + E$7) * (1 + E$5))</f>
        <v>383.62701999999996</v>
      </c>
      <c r="X20" s="38"/>
    </row>
    <row r="21" spans="2:25" x14ac:dyDescent="0.25">
      <c r="B21">
        <v>26022</v>
      </c>
      <c r="C21" s="6">
        <v>44329</v>
      </c>
      <c r="D21" s="54">
        <v>44449</v>
      </c>
      <c r="E21" s="15">
        <v>27347</v>
      </c>
      <c r="F21" s="60">
        <f>electricity_cost3114182226303438424654[[#This Row],[ Index (KWh)]]-electricity_cost3114182226303438424654[[#This Row],[Original index 
(KWh)]]</f>
        <v>1325</v>
      </c>
      <c r="G21" s="58">
        <v>44419</v>
      </c>
      <c r="H21" s="61">
        <f xml:space="preserve"> _xlfn.IFS(electricity_cost3114182226303438424654[[#This Row],[Consumption to date (KWh)]] &lt;= K$4, 1, AND(K$4 &lt; electricity_cost3114182226303438424654[[#This Row],[Consumption to date (KWh)]],  electricity_cost3114182226303438424654[[#This Row],[Consumption to date (KWh)]]&lt;= K$5), 2, AND(K$5 &lt; electricity_cost3114182226303438424654[[#This Row],[Consumption to date (KWh)]],  electricity_cost3114182226303438424654[[#This Row],[Consumption to date (KWh)]]&lt;= K$6), 3, electricity_cost3114182226303438424654[[#This Row],[Consumption to date (KWh)]] &gt; K$6, 4)</f>
        <v>3</v>
      </c>
      <c r="I21" s="62">
        <f>_xlfn.IFS(electricity_cost3114182226303438424654[[#This Row],[Level (Elect)]]= 1, (electricity_cost3114182226303438424654[[#This Row],[Consumption to date (KWh)]] * L$4)/1000, electricity_cost3114182226303438424654[[#This Row],[Level (Elect)]] = 2, (K$4 * L$4 +((electricity_cost3114182226303438424654[[#This Row],[Consumption to date (KWh)]] - K$4) * L$5))/1000,electricity_cost3114182226303438424654[[#This Row],[Level (Elect)]] = 3, (K$4 * L$4 + (K$5-J$5) * L$5 + ((electricity_cost3114182226303438424654[[#This Row],[Consumption to date (KWh)]] - K$5) * L$6))/1000, electricity_cost3114182226303438424654[[#This Row],[Level (Elect)]] = 4, (K$4 * L$4 + (K$5-J$5) * L$5 + (K$6-J$6) * L$6 + ((electricity_cost3114182226303438424654[[#This Row],[Consumption to date (KWh)]] - K$6) * L$7))/1000)</f>
        <v>277.02699999999999</v>
      </c>
      <c r="J21" s="65">
        <f xml:space="preserve"> (E$6 + electricity_cost3114182226303438424654[[#This Row],[Elect. Net cost to date
(TND)]]) * (1 + E$5)</f>
        <v>361.58385999999996</v>
      </c>
      <c r="K21" s="62">
        <f>electricity_cost3114182226303438424654[[#This Row],[Elect. Cost  VAT included
(TND)
]]-J20/(electricity_cost3114182226303438424654[[#This Row],[Date of reading 
(Elect + Gas)]]-G20)</f>
        <v>12.248400000000004</v>
      </c>
      <c r="L21" s="62">
        <f>(electricity_cost3114182226303438424654[[#This Row],[Consumption to date (KWh)]] - F20)/_xlfn.DAYS(electricity_cost3114182226303438424654[[#This Row],[Date of reading 
(Elect + Gas)]], G20)</f>
        <v>30</v>
      </c>
      <c r="M21" s="11">
        <v>13108</v>
      </c>
      <c r="P21" s="11">
        <v>13191</v>
      </c>
      <c r="Q21" s="11">
        <f>gas_cost107135192327313539434755[[#This Row],[ Index (m3)]] - gas_cost107135192327313539434755[[#This Row],[Original index 
(m3)]]</f>
        <v>83</v>
      </c>
      <c r="R21" s="11">
        <f xml:space="preserve"> _xlfn.IFS(gas_cost107135192327313539434755[[#This Row],[Consumption (m3)]] &lt;= R$4, 1, AND(R$4 &lt; gas_cost107135192327313539434755[[#This Row],[Consumption (m3)]], gas_cost107135192327313539434755[[#This Row],[Consumption (m3)]] &lt;= R$5), 2, AND(R$5 &lt; gas_cost107135192327313539434755[[#This Row],[Consumption (m3)]], gas_cost107135192327313539434755[[#This Row],[Consumption (m3)]] &lt;= R$6), 3, gas_cost107135192327313539434755[[#This Row],[Consumption (m3)]] &gt; R$6, 4)</f>
        <v>1</v>
      </c>
      <c r="S21" s="12">
        <f>_xlfn.IFS(gas_cost107135192327313539434755[[#This Row],[Level (Gas)]]= 1, (gas_cost107135192327313539434755[[#This Row],[Consumption (m3)]] * S$4)/1000, gas_cost107135192327313539434755[[#This Row],[Level (Gas)]] = 2, (gas_cost107135192327313539434755[[#This Row],[Consumption (m3)]] * S$5)/1000,gas_cost107135192327313539434755[[#This Row],[Level (Gas)]] = 3, (gas_cost107135192327313539434755[[#This Row],[Consumption (m3)]] * S$6)/1000, gas_cost107135192327313539434755[[#This Row],[Level (Gas)]] = 4, (gas_cost107135192327313539434755[[#This Row],[Consumption (m3)]] * S$7)/1000)</f>
        <v>19.172999999999998</v>
      </c>
      <c r="T21" s="12">
        <f xml:space="preserve"> gas_cost107135192327313539434755[[#This Row],[Gas Net cost to date
(TND)]]* (1 + E$5)</f>
        <v>22.624139999999997</v>
      </c>
      <c r="U21" s="12">
        <f>(gas_cost107135192327313539434755[[#This Row],[Gas Cost to date  VAT included
(TND)
]] - T20)/_xlfn.DAYS(electricity_cost3114182226303438424654[[#This Row],[Date of reading 
(Elect + Gas)]], G20)</f>
        <v>0.27257999999999782</v>
      </c>
      <c r="V21" s="12">
        <f>(gas_cost107135192327313539434755[[#This Row],[Consumption (m3)]] - Q20)/_xlfn.DAYS(electricity_cost3114182226303438424654[[#This Row],[Date of reading 
(Elect + Gas)]], G20)</f>
        <v>1</v>
      </c>
      <c r="W21" s="20">
        <f xml:space="preserve"> E$8 + ((electricity_cost3114182226303438424654[[#This Row],[Elect. Net cost to date
(TND)]] + E$6 + gas_cost107135192327313539434755[[#This Row],[Gas Net cost to date
(TND)]] + E$7) * (1 + E$5))</f>
        <v>396.14799999999991</v>
      </c>
      <c r="X21" s="38"/>
    </row>
    <row r="22" spans="2:25" x14ac:dyDescent="0.25">
      <c r="B22">
        <v>26022</v>
      </c>
      <c r="C22" s="6">
        <v>44329</v>
      </c>
      <c r="D22" s="54">
        <v>44449</v>
      </c>
      <c r="E22" s="15">
        <v>27386</v>
      </c>
      <c r="F22" s="60">
        <f>electricity_cost3114182226303438424654[[#This Row],[ Index (KWh)]]-electricity_cost3114182226303438424654[[#This Row],[Original index 
(KWh)]]</f>
        <v>1364</v>
      </c>
      <c r="G22" s="58">
        <v>44420</v>
      </c>
      <c r="H22" s="61">
        <f xml:space="preserve"> _xlfn.IFS(electricity_cost3114182226303438424654[[#This Row],[Consumption to date (KWh)]] &lt;= K$4, 1, AND(K$4 &lt; electricity_cost3114182226303438424654[[#This Row],[Consumption to date (KWh)]],  electricity_cost3114182226303438424654[[#This Row],[Consumption to date (KWh)]]&lt;= K$5), 2, AND(K$5 &lt; electricity_cost3114182226303438424654[[#This Row],[Consumption to date (KWh)]],  electricity_cost3114182226303438424654[[#This Row],[Consumption to date (KWh)]]&lt;= K$6), 3, electricity_cost3114182226303438424654[[#This Row],[Consumption to date (KWh)]] &gt; K$6, 4)</f>
        <v>3</v>
      </c>
      <c r="I22" s="62">
        <f>_xlfn.IFS(electricity_cost3114182226303438424654[[#This Row],[Level (Elect)]]= 1, (electricity_cost3114182226303438424654[[#This Row],[Consumption to date (KWh)]] * L$4)/1000, electricity_cost3114182226303438424654[[#This Row],[Level (Elect)]] = 2, (K$4 * L$4 +((electricity_cost3114182226303438424654[[#This Row],[Consumption to date (KWh)]] - K$4) * L$5))/1000,electricity_cost3114182226303438424654[[#This Row],[Level (Elect)]] = 3, (K$4 * L$4 + (K$5-J$5) * L$5 + ((electricity_cost3114182226303438424654[[#This Row],[Consumption to date (KWh)]] - K$5) * L$6))/1000, electricity_cost3114182226303438424654[[#This Row],[Level (Elect)]] = 4, (K$4 * L$4 + (K$5-J$5) * L$5 + (K$6-J$6) * L$6 + ((electricity_cost3114182226303438424654[[#This Row],[Consumption to date (KWh)]] - K$6) * L$7))/1000)</f>
        <v>290.52100000000002</v>
      </c>
      <c r="J22" s="65">
        <f xml:space="preserve"> (E$6 + electricity_cost3114182226303438424654[[#This Row],[Elect. Net cost to date
(TND)]]) * (1 + E$5)</f>
        <v>377.50677999999999</v>
      </c>
      <c r="K22" s="62">
        <f>electricity_cost3114182226303438424654[[#This Row],[Elect. Cost  VAT included
(TND)
]]-J21/(electricity_cost3114182226303438424654[[#This Row],[Date of reading 
(Elect + Gas)]]-G21)</f>
        <v>15.922920000000033</v>
      </c>
      <c r="L22" s="62">
        <f>(electricity_cost3114182226303438424654[[#This Row],[Consumption to date (KWh)]] - F21)/_xlfn.DAYS(electricity_cost3114182226303438424654[[#This Row],[Date of reading 
(Elect + Gas)]], G21)</f>
        <v>39</v>
      </c>
      <c r="M22" s="11">
        <v>13108</v>
      </c>
      <c r="P22" s="11">
        <v>13191</v>
      </c>
      <c r="Q22" s="11">
        <f>gas_cost107135192327313539434755[[#This Row],[ Index (m3)]] - gas_cost107135192327313539434755[[#This Row],[Original index 
(m3)]]</f>
        <v>83</v>
      </c>
      <c r="R22" s="11">
        <f xml:space="preserve"> _xlfn.IFS(gas_cost107135192327313539434755[[#This Row],[Consumption (m3)]] &lt;= R$4, 1, AND(R$4 &lt; gas_cost107135192327313539434755[[#This Row],[Consumption (m3)]], gas_cost107135192327313539434755[[#This Row],[Consumption (m3)]] &lt;= R$5), 2, AND(R$5 &lt; gas_cost107135192327313539434755[[#This Row],[Consumption (m3)]], gas_cost107135192327313539434755[[#This Row],[Consumption (m3)]] &lt;= R$6), 3, gas_cost107135192327313539434755[[#This Row],[Consumption (m3)]] &gt; R$6, 4)</f>
        <v>1</v>
      </c>
      <c r="S22" s="12">
        <f>_xlfn.IFS(gas_cost107135192327313539434755[[#This Row],[Level (Gas)]]= 1, (gas_cost107135192327313539434755[[#This Row],[Consumption (m3)]] * S$4)/1000, gas_cost107135192327313539434755[[#This Row],[Level (Gas)]] = 2, (gas_cost107135192327313539434755[[#This Row],[Consumption (m3)]] * S$5)/1000,gas_cost107135192327313539434755[[#This Row],[Level (Gas)]] = 3, (gas_cost107135192327313539434755[[#This Row],[Consumption (m3)]] * S$6)/1000, gas_cost107135192327313539434755[[#This Row],[Level (Gas)]] = 4, (gas_cost107135192327313539434755[[#This Row],[Consumption (m3)]] * S$7)/1000)</f>
        <v>19.172999999999998</v>
      </c>
      <c r="T22" s="12">
        <f xml:space="preserve"> gas_cost107135192327313539434755[[#This Row],[Gas Net cost to date
(TND)]]* (1 + E$5)</f>
        <v>22.624139999999997</v>
      </c>
      <c r="U22" s="12">
        <f>(gas_cost107135192327313539434755[[#This Row],[Gas Cost to date  VAT included
(TND)
]] - T21)/_xlfn.DAYS(electricity_cost3114182226303438424654[[#This Row],[Date of reading 
(Elect + Gas)]], G21)</f>
        <v>0</v>
      </c>
      <c r="V22" s="12">
        <f>(gas_cost107135192327313539434755[[#This Row],[Consumption (m3)]] - Q21)/_xlfn.DAYS(electricity_cost3114182226303438424654[[#This Row],[Date of reading 
(Elect + Gas)]], G21)</f>
        <v>0</v>
      </c>
      <c r="W22" s="20">
        <f xml:space="preserve"> E$8 + ((electricity_cost3114182226303438424654[[#This Row],[Elect. Net cost to date
(TND)]] + E$6 + gas_cost107135192327313539434755[[#This Row],[Gas Net cost to date
(TND)]] + E$7) * (1 + E$5))</f>
        <v>412.07091999999994</v>
      </c>
      <c r="X22" s="38"/>
    </row>
    <row r="23" spans="2:25" x14ac:dyDescent="0.25">
      <c r="B23">
        <v>26022</v>
      </c>
      <c r="C23" s="6">
        <v>44329</v>
      </c>
      <c r="D23" s="54">
        <v>44449</v>
      </c>
      <c r="E23">
        <v>27415</v>
      </c>
      <c r="F23" s="11">
        <f>electricity_cost3114182226303438424654[[#This Row],[ Index (KWh)]]-electricity_cost3114182226303438424654[[#This Row],[Original index 
(KWh)]]</f>
        <v>1393</v>
      </c>
      <c r="G23" s="6">
        <v>44421</v>
      </c>
      <c r="H23" s="21">
        <f xml:space="preserve"> _xlfn.IFS(electricity_cost3114182226303438424654[[#This Row],[Consumption to date (KWh)]] &lt;= K$4, 1, AND(K$4 &lt; electricity_cost3114182226303438424654[[#This Row],[Consumption to date (KWh)]],  electricity_cost3114182226303438424654[[#This Row],[Consumption to date (KWh)]]&lt;= K$5), 2, AND(K$5 &lt; electricity_cost3114182226303438424654[[#This Row],[Consumption to date (KWh)]],  electricity_cost3114182226303438424654[[#This Row],[Consumption to date (KWh)]]&lt;= K$6), 3, electricity_cost3114182226303438424654[[#This Row],[Consumption to date (KWh)]] &gt; K$6, 4)</f>
        <v>3</v>
      </c>
      <c r="I23" s="12">
        <f>_xlfn.IFS(electricity_cost3114182226303438424654[[#This Row],[Level (Elect)]]= 1, (electricity_cost3114182226303438424654[[#This Row],[Consumption to date (KWh)]] * L$4)/1000, electricity_cost3114182226303438424654[[#This Row],[Level (Elect)]] = 2, (K$4 * L$4 +((electricity_cost3114182226303438424654[[#This Row],[Consumption to date (KWh)]] - K$4) * L$5))/1000,electricity_cost3114182226303438424654[[#This Row],[Level (Elect)]] = 3, (K$4 * L$4 + (K$5-J$5) * L$5 + ((electricity_cost3114182226303438424654[[#This Row],[Consumption to date (KWh)]] - K$5) * L$6))/1000, electricity_cost3114182226303438424654[[#This Row],[Level (Elect)]] = 4, (K$4 * L$4 + (K$5-J$5) * L$5 + (K$6-J$6) * L$6 + ((electricity_cost3114182226303438424654[[#This Row],[Consumption to date (KWh)]] - K$6) * L$7))/1000)</f>
        <v>300.55500000000001</v>
      </c>
      <c r="J23" s="10">
        <f xml:space="preserve"> (E$6 + electricity_cost3114182226303438424654[[#This Row],[Elect. Net cost to date
(TND)]]) * (1 + E$5)</f>
        <v>389.34689999999995</v>
      </c>
      <c r="K23" s="12">
        <f>electricity_cost3114182226303438424654[[#This Row],[Elect. Cost  VAT included
(TND)
]]-J22/(electricity_cost3114182226303438424654[[#This Row],[Date of reading 
(Elect + Gas)]]-G22)</f>
        <v>11.840119999999956</v>
      </c>
      <c r="L23" s="12">
        <f>(electricity_cost3114182226303438424654[[#This Row],[Consumption to date (KWh)]] - F22)/_xlfn.DAYS(electricity_cost3114182226303438424654[[#This Row],[Date of reading 
(Elect + Gas)]], G22)</f>
        <v>29</v>
      </c>
      <c r="M23" s="11">
        <v>13108</v>
      </c>
      <c r="P23" s="11">
        <v>13192</v>
      </c>
      <c r="Q23" s="11">
        <f>gas_cost107135192327313539434755[[#This Row],[ Index (m3)]] - gas_cost107135192327313539434755[[#This Row],[Original index 
(m3)]]</f>
        <v>84</v>
      </c>
      <c r="R23" s="11">
        <f xml:space="preserve"> _xlfn.IFS(gas_cost107135192327313539434755[[#This Row],[Consumption (m3)]] &lt;= R$4, 1, AND(R$4 &lt; gas_cost107135192327313539434755[[#This Row],[Consumption (m3)]], gas_cost107135192327313539434755[[#This Row],[Consumption (m3)]] &lt;= R$5), 2, AND(R$5 &lt; gas_cost107135192327313539434755[[#This Row],[Consumption (m3)]], gas_cost107135192327313539434755[[#This Row],[Consumption (m3)]] &lt;= R$6), 3, gas_cost107135192327313539434755[[#This Row],[Consumption (m3)]] &gt; R$6, 4)</f>
        <v>1</v>
      </c>
      <c r="S23" s="12">
        <f>_xlfn.IFS(gas_cost107135192327313539434755[[#This Row],[Level (Gas)]]= 1, (gas_cost107135192327313539434755[[#This Row],[Consumption (m3)]] * S$4)/1000, gas_cost107135192327313539434755[[#This Row],[Level (Gas)]] = 2, (gas_cost107135192327313539434755[[#This Row],[Consumption (m3)]] * S$5)/1000,gas_cost107135192327313539434755[[#This Row],[Level (Gas)]] = 3, (gas_cost107135192327313539434755[[#This Row],[Consumption (m3)]] * S$6)/1000, gas_cost107135192327313539434755[[#This Row],[Level (Gas)]] = 4, (gas_cost107135192327313539434755[[#This Row],[Consumption (m3)]] * S$7)/1000)</f>
        <v>19.404</v>
      </c>
      <c r="T23" s="12">
        <f xml:space="preserve"> gas_cost107135192327313539434755[[#This Row],[Gas Net cost to date
(TND)]]* (1 + E$5)</f>
        <v>22.896719999999998</v>
      </c>
      <c r="U23" s="12">
        <f>(gas_cost107135192327313539434755[[#This Row],[Gas Cost to date  VAT included
(TND)
]] - T22)/_xlfn.DAYS(electricity_cost3114182226303438424654[[#This Row],[Date of reading 
(Elect + Gas)]], G22)</f>
        <v>0.27258000000000138</v>
      </c>
      <c r="V23" s="12">
        <f>(gas_cost107135192327313539434755[[#This Row],[Consumption (m3)]] - Q22)/_xlfn.DAYS(electricity_cost3114182226303438424654[[#This Row],[Date of reading 
(Elect + Gas)]], G22)</f>
        <v>1</v>
      </c>
      <c r="W23" s="20">
        <f xml:space="preserve"> E$8 + ((electricity_cost3114182226303438424654[[#This Row],[Elect. Net cost to date
(TND)]] + E$6 + gas_cost107135192327313539434755[[#This Row],[Gas Net cost to date
(TND)]] + E$7) * (1 + E$5))</f>
        <v>424.18361999999996</v>
      </c>
      <c r="X23" s="38"/>
    </row>
    <row r="24" spans="2:25" x14ac:dyDescent="0.25">
      <c r="B24">
        <v>26022</v>
      </c>
      <c r="C24" s="6">
        <v>44329</v>
      </c>
      <c r="D24" s="54">
        <v>44449</v>
      </c>
      <c r="E24">
        <v>27750</v>
      </c>
      <c r="F24" s="11">
        <f>electricity_cost3114182226303438424654[[#This Row],[ Index (KWh)]]-electricity_cost3114182226303438424654[[#This Row],[Original index 
(KWh)]]</f>
        <v>1728</v>
      </c>
      <c r="G24" s="6">
        <v>44448</v>
      </c>
      <c r="H24" s="21">
        <f xml:space="preserve"> _xlfn.IFS(electricity_cost3114182226303438424654[[#This Row],[Consumption to date (KWh)]] &lt;= K$4, 1, AND(K$4 &lt; electricity_cost3114182226303438424654[[#This Row],[Consumption to date (KWh)]],  electricity_cost3114182226303438424654[[#This Row],[Consumption to date (KWh)]]&lt;= K$5), 2, AND(K$5 &lt; electricity_cost3114182226303438424654[[#This Row],[Consumption to date (KWh)]],  electricity_cost3114182226303438424654[[#This Row],[Consumption to date (KWh)]]&lt;= K$6), 3, electricity_cost3114182226303438424654[[#This Row],[Consumption to date (KWh)]] &gt; K$6, 4)</f>
        <v>3</v>
      </c>
      <c r="I24" s="12">
        <f>_xlfn.IFS(electricity_cost3114182226303438424654[[#This Row],[Level (Elect)]]= 1, (electricity_cost3114182226303438424654[[#This Row],[Consumption to date (KWh)]] * L$4)/1000, electricity_cost3114182226303438424654[[#This Row],[Level (Elect)]] = 2, (K$4 * L$4 +((electricity_cost3114182226303438424654[[#This Row],[Consumption to date (KWh)]] - K$4) * L$5))/1000,electricity_cost3114182226303438424654[[#This Row],[Level (Elect)]] = 3, (K$4 * L$4 + (K$5-J$5) * L$5 + ((electricity_cost3114182226303438424654[[#This Row],[Consumption to date (KWh)]] - K$5) * L$6))/1000, electricity_cost3114182226303438424654[[#This Row],[Level (Elect)]] = 4, (K$4 * L$4 + (K$5-J$5) * L$5 + (K$6-J$6) * L$6 + ((electricity_cost3114182226303438424654[[#This Row],[Consumption to date (KWh)]] - K$6) * L$7))/1000)</f>
        <v>416.46499999999997</v>
      </c>
      <c r="J24" s="10">
        <f xml:space="preserve"> (E$6 + electricity_cost3114182226303438424654[[#This Row],[Elect. Net cost to date
(TND)]]) * (1 + E$5)</f>
        <v>526.12069999999994</v>
      </c>
      <c r="K24" s="12">
        <f>electricity_cost3114182226303438424654[[#This Row],[Elect. Cost  VAT included
(TND)
]]-J23/(electricity_cost3114182226303438424654[[#This Row],[Date of reading 
(Elect + Gas)]]-G23)</f>
        <v>511.70044444444437</v>
      </c>
      <c r="L24" s="12">
        <f>(electricity_cost3114182226303438424654[[#This Row],[Consumption to date (KWh)]] - F23)/_xlfn.DAYS(electricity_cost3114182226303438424654[[#This Row],[Date of reading 
(Elect + Gas)]], G23)</f>
        <v>12.407407407407407</v>
      </c>
      <c r="M24" s="11">
        <v>13108</v>
      </c>
      <c r="P24" s="11">
        <v>13201</v>
      </c>
      <c r="Q24" s="11">
        <f>gas_cost107135192327313539434755[[#This Row],[ Index (m3)]] - gas_cost107135192327313539434755[[#This Row],[Original index 
(m3)]]</f>
        <v>93</v>
      </c>
      <c r="R24" s="11">
        <f xml:space="preserve"> _xlfn.IFS(gas_cost107135192327313539434755[[#This Row],[Consumption (m3)]] &lt;= R$4, 1, AND(R$4 &lt; gas_cost107135192327313539434755[[#This Row],[Consumption (m3)]], gas_cost107135192327313539434755[[#This Row],[Consumption (m3)]] &lt;= R$5), 2, AND(R$5 &lt; gas_cost107135192327313539434755[[#This Row],[Consumption (m3)]], gas_cost107135192327313539434755[[#This Row],[Consumption (m3)]] &lt;= R$6), 3, gas_cost107135192327313539434755[[#This Row],[Consumption (m3)]] &gt; R$6, 4)</f>
        <v>1</v>
      </c>
      <c r="S24" s="12">
        <f>_xlfn.IFS(gas_cost107135192327313539434755[[#This Row],[Level (Gas)]]= 1, (gas_cost107135192327313539434755[[#This Row],[Consumption (m3)]] * S$4)/1000, gas_cost107135192327313539434755[[#This Row],[Level (Gas)]] = 2, (gas_cost107135192327313539434755[[#This Row],[Consumption (m3)]] * S$5)/1000,gas_cost107135192327313539434755[[#This Row],[Level (Gas)]] = 3, (gas_cost107135192327313539434755[[#This Row],[Consumption (m3)]] * S$6)/1000, gas_cost107135192327313539434755[[#This Row],[Level (Gas)]] = 4, (gas_cost107135192327313539434755[[#This Row],[Consumption (m3)]] * S$7)/1000)</f>
        <v>21.483000000000001</v>
      </c>
      <c r="T24" s="12">
        <f xml:space="preserve"> gas_cost107135192327313539434755[[#This Row],[Gas Net cost to date
(TND)]]* (1 + E$5)</f>
        <v>25.34994</v>
      </c>
      <c r="U24" s="12">
        <f>(gas_cost107135192327313539434755[[#This Row],[Gas Cost to date  VAT included
(TND)
]] - T23)/_xlfn.DAYS(electricity_cost[[#This Row],[Date of reading 
(Elect)]], G23)</f>
        <v>-1.6278832116788332E-3</v>
      </c>
      <c r="V24" s="12">
        <f>(gas_cost107135192327313539434755[[#This Row],[Consumption (m3)]] - Q23)/_xlfn.DAYS(electricity_cost311[[#This Row],[Date of reading 
(Elect + Gas)]], G23)</f>
        <v>-6.9284064665127024E-3</v>
      </c>
      <c r="W24" s="20">
        <f xml:space="preserve"> E$8 + ((electricity_cost3114182226303438424654[[#This Row],[Elect. Net cost to date
(TND)]] + E$6 + gas_cost107135192327313539434755[[#This Row],[Gas Net cost to date
(TND)]] + E$7) * (1 + E$5))</f>
        <v>563.41063999999994</v>
      </c>
      <c r="X24" s="38"/>
    </row>
    <row r="25" spans="2:25" x14ac:dyDescent="0.25">
      <c r="B25">
        <v>26022</v>
      </c>
      <c r="C25" s="6">
        <v>44329</v>
      </c>
      <c r="D25" s="54">
        <v>44449</v>
      </c>
      <c r="E25">
        <v>27756</v>
      </c>
      <c r="F25" s="11">
        <f>electricity_cost3114182226303438424654[[#This Row],[ Index (KWh)]]-electricity_cost3114182226303438424654[[#This Row],[Original index 
(KWh)]]</f>
        <v>1734</v>
      </c>
      <c r="G25" s="6">
        <v>44449</v>
      </c>
      <c r="H25" s="21">
        <f xml:space="preserve"> _xlfn.IFS(electricity_cost3114182226303438424654[[#This Row],[Consumption to date (KWh)]] &lt;= K$4, 1, AND(K$4 &lt; electricity_cost3114182226303438424654[[#This Row],[Consumption to date (KWh)]],  electricity_cost3114182226303438424654[[#This Row],[Consumption to date (KWh)]]&lt;= K$5), 2, AND(K$5 &lt; electricity_cost3114182226303438424654[[#This Row],[Consumption to date (KWh)]],  electricity_cost3114182226303438424654[[#This Row],[Consumption to date (KWh)]]&lt;= K$6), 3, electricity_cost3114182226303438424654[[#This Row],[Consumption to date (KWh)]] &gt; K$6, 4)</f>
        <v>3</v>
      </c>
      <c r="I25" s="12">
        <f>_xlfn.IFS(electricity_cost3114182226303438424654[[#This Row],[Level (Elect)]]= 1, (electricity_cost3114182226303438424654[[#This Row],[Consumption to date (KWh)]] * L$4)/1000, electricity_cost3114182226303438424654[[#This Row],[Level (Elect)]] = 2, (K$4 * L$4 +((electricity_cost3114182226303438424654[[#This Row],[Consumption to date (KWh)]] - K$4) * L$5))/1000,electricity_cost3114182226303438424654[[#This Row],[Level (Elect)]] = 3, (K$4 * L$4 + (K$5-J$5) * L$5 + ((electricity_cost3114182226303438424654[[#This Row],[Consumption to date (KWh)]] - K$5) * L$6))/1000, electricity_cost3114182226303438424654[[#This Row],[Level (Elect)]] = 4, (K$4 * L$4 + (K$5-J$5) * L$5 + (K$6-J$6) * L$6 + ((electricity_cost3114182226303438424654[[#This Row],[Consumption to date (KWh)]] - K$6) * L$7))/1000)</f>
        <v>418.541</v>
      </c>
      <c r="J25" s="10">
        <f xml:space="preserve"> (E$6 + electricity_cost3114182226303438424654[[#This Row],[Elect. Net cost to date
(TND)]]) * (1 + E$5)</f>
        <v>528.57037999999989</v>
      </c>
      <c r="K25" s="12">
        <f>electricity_cost3114182226303438424654[[#This Row],[Elect. Cost  VAT included
(TND)
]]-J24/(electricity_cost3114182226303438424654[[#This Row],[Date of reading 
(Elect + Gas)]]-G24)</f>
        <v>2.4496799999999439</v>
      </c>
      <c r="L25" s="12">
        <f>(electricity_cost3114182226303438424654[[#This Row],[Consumption to date (KWh)]] - F24)/_xlfn.DAYS(electricity_cost3114182226303438424654[[#This Row],[Date of reading 
(Elect + Gas)]], G24)</f>
        <v>6</v>
      </c>
      <c r="M25" s="11">
        <v>13108</v>
      </c>
      <c r="P25" s="11">
        <v>13202</v>
      </c>
      <c r="Q25" s="11">
        <f>gas_cost107135192327313539434755[[#This Row],[ Index (m3)]] - gas_cost107135192327313539434755[[#This Row],[Original index 
(m3)]]</f>
        <v>94</v>
      </c>
      <c r="R25" s="11">
        <f xml:space="preserve"> _xlfn.IFS(gas_cost107135192327313539434755[[#This Row],[Consumption (m3)]] &lt;= R$4, 1, AND(R$4 &lt; gas_cost107135192327313539434755[[#This Row],[Consumption (m3)]], gas_cost107135192327313539434755[[#This Row],[Consumption (m3)]] &lt;= R$5), 2, AND(R$5 &lt; gas_cost107135192327313539434755[[#This Row],[Consumption (m3)]], gas_cost107135192327313539434755[[#This Row],[Consumption (m3)]] &lt;= R$6), 3, gas_cost107135192327313539434755[[#This Row],[Consumption (m3)]] &gt; R$6, 4)</f>
        <v>1</v>
      </c>
      <c r="S25" s="12">
        <f>_xlfn.IFS(gas_cost107135192327313539434755[[#This Row],[Level (Gas)]]= 1, (gas_cost107135192327313539434755[[#This Row],[Consumption (m3)]] * S$4)/1000, gas_cost107135192327313539434755[[#This Row],[Level (Gas)]] = 2, (gas_cost107135192327313539434755[[#This Row],[Consumption (m3)]] * S$5)/1000,gas_cost107135192327313539434755[[#This Row],[Level (Gas)]] = 3, (gas_cost107135192327313539434755[[#This Row],[Consumption (m3)]] * S$6)/1000, gas_cost107135192327313539434755[[#This Row],[Level (Gas)]] = 4, (gas_cost107135192327313539434755[[#This Row],[Consumption (m3)]] * S$7)/1000)</f>
        <v>21.713999999999999</v>
      </c>
      <c r="T25" s="12">
        <f xml:space="preserve"> gas_cost107135192327313539434755[[#This Row],[Gas Net cost to date
(TND)]]* (1 + E$5)</f>
        <v>25.622519999999998</v>
      </c>
      <c r="U25" s="12">
        <f>(gas_cost107135192327313539434755[[#This Row],[Gas Cost to date  VAT included
(TND)
]] - T24)/_xlfn.DAYS(electricity_cost[[#This Row],[Date of reading 
(Elect)]], G24)</f>
        <v>-1.7780821917808077E-4</v>
      </c>
      <c r="V25" s="12">
        <f>(gas_cost107135192327313539434755[[#This Row],[Consumption (m3)]] - Q24)/_xlfn.DAYS(electricity_cost311[[#This Row],[Date of reading 
(Elect + Gas)]], G24)</f>
        <v>-7.5471698113207543E-4</v>
      </c>
      <c r="W25" s="20">
        <f xml:space="preserve"> E$8 + ((electricity_cost3114182226303438424654[[#This Row],[Elect. Net cost to date
(TND)]] + E$6 + gas_cost107135192327313539434755[[#This Row],[Gas Net cost to date
(TND)]] + E$7) * (1 + E$5))</f>
        <v>566.13289999999995</v>
      </c>
      <c r="X25" s="38"/>
    </row>
    <row r="26" spans="2:25" x14ac:dyDescent="0.25">
      <c r="C26" s="6"/>
      <c r="D26" s="55"/>
      <c r="F26" s="11"/>
      <c r="G26" s="6"/>
      <c r="H26" s="21"/>
      <c r="I26" s="12"/>
      <c r="J26" s="10"/>
      <c r="K26" s="12"/>
      <c r="L26" s="12"/>
      <c r="M26" s="11"/>
      <c r="P26" s="11"/>
      <c r="Q26" s="11"/>
      <c r="R26" s="11"/>
      <c r="S26" s="12"/>
      <c r="T26" s="12"/>
      <c r="U26" s="12"/>
      <c r="V26" s="12"/>
      <c r="W26" s="20"/>
      <c r="X26" s="38"/>
    </row>
    <row r="27" spans="2:25" x14ac:dyDescent="0.25">
      <c r="M27" s="11"/>
      <c r="P27" s="11"/>
      <c r="Q27" s="11"/>
      <c r="R27" s="11"/>
      <c r="S27" s="12"/>
      <c r="T27" s="12"/>
      <c r="U27" s="12"/>
      <c r="V27" s="12"/>
      <c r="W27" s="20"/>
      <c r="X27" s="38"/>
    </row>
    <row r="28" spans="2:25" ht="60" x14ac:dyDescent="0.25">
      <c r="M28" s="11"/>
      <c r="P28" s="11"/>
      <c r="Q28" s="11"/>
      <c r="R28" s="11"/>
      <c r="S28" s="12"/>
      <c r="T28" s="12"/>
      <c r="U28" s="12"/>
      <c r="V28" s="66" t="s">
        <v>77</v>
      </c>
      <c r="W28" s="20" cm="1">
        <f t="array" ref="W28" xml:space="preserve"> 120 + LOOKUP(2, 1/(gas_cost107135192327313539434755[Total to pay to date
(TND)
- Predicted -]&lt;&gt;""), gas_cost107135192327313539434755[Total to pay to date
(TND)
- Predicted -])</f>
        <v>686.13289999999995</v>
      </c>
      <c r="X28" s="38"/>
    </row>
  </sheetData>
  <mergeCells count="2">
    <mergeCell ref="G10:H10"/>
    <mergeCell ref="B13:D13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5C93-19CE-460B-974D-9DCC7DC51FE0}">
  <dimension ref="B2:Y34"/>
  <sheetViews>
    <sheetView topLeftCell="I25" zoomScale="70" zoomScaleNormal="70" workbookViewId="0">
      <selection activeCell="W5" sqref="W5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7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25.425781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176</v>
      </c>
      <c r="P4">
        <v>1</v>
      </c>
      <c r="Q4">
        <v>1</v>
      </c>
      <c r="R4">
        <v>120</v>
      </c>
      <c r="S4">
        <v>231</v>
      </c>
      <c r="U4" s="19">
        <v>44573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341</v>
      </c>
      <c r="T5" t="s">
        <v>71</v>
      </c>
      <c r="U5" s="19">
        <v>44573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29.4</v>
      </c>
      <c r="I6">
        <v>3</v>
      </c>
      <c r="J6">
        <v>1201</v>
      </c>
      <c r="K6">
        <v>2000</v>
      </c>
      <c r="L6">
        <v>346</v>
      </c>
      <c r="P6">
        <v>3</v>
      </c>
      <c r="Q6">
        <v>1</v>
      </c>
      <c r="R6">
        <v>600</v>
      </c>
      <c r="S6">
        <v>447</v>
      </c>
      <c r="T6" t="s">
        <v>65</v>
      </c>
    </row>
    <row r="7" spans="2:24" x14ac:dyDescent="0.25">
      <c r="D7" s="16" t="s">
        <v>15</v>
      </c>
      <c r="E7" s="14">
        <v>4.5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6.63</v>
      </c>
      <c r="F8" s="14"/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INDEX(electricity_cost311418222630343842465450[Elect. Net cost to date
(TND)], COUNTA(I18:I28), 1) + E6</f>
        <v>129.19200000000001</v>
      </c>
      <c r="G10" s="67" t="s">
        <v>76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75</v>
      </c>
      <c r="I11" s="33" t="s">
        <v>73</v>
      </c>
      <c r="J11" s="33" t="s">
        <v>74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600</v>
      </c>
      <c r="I12" s="34">
        <v>600</v>
      </c>
      <c r="J12" s="51">
        <v>170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700</v>
      </c>
      <c r="I13" s="35">
        <v>800</v>
      </c>
      <c r="J13" s="52">
        <v>450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>
        <v>630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 s="70">
        <v>27755</v>
      </c>
      <c r="C18" s="6">
        <v>44449</v>
      </c>
      <c r="D18" s="54">
        <v>44573</v>
      </c>
      <c r="E18" s="70">
        <v>27755</v>
      </c>
      <c r="F18" s="11">
        <f>electricity_cost311418222630343842465450[[#This Row],[ Index (KWh)]]-electricity_cost311418222630343842465450[[#This Row],[Original index 
(KWh)]]</f>
        <v>0</v>
      </c>
      <c r="G18" s="6">
        <v>44449</v>
      </c>
      <c r="H18" s="2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18" s="1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0</v>
      </c>
      <c r="J18" s="10">
        <f xml:space="preserve"> (E$6 + electricity_cost311418222630343842465450[[#This Row],[Elect. Net cost to date
(TND)]]) * (1 + E$5)</f>
        <v>34.691999999999993</v>
      </c>
      <c r="K18" s="12"/>
      <c r="L18" s="12"/>
      <c r="M18" s="11">
        <v>13202</v>
      </c>
      <c r="P18" s="11">
        <v>13202</v>
      </c>
      <c r="Q18" s="11">
        <f>gas_cost10713519232731353943475551[[#This Row],[ Index (m3)]] - gas_cost10713519232731353943475551[[#This Row],[Original index 
(m3)]]</f>
        <v>0</v>
      </c>
      <c r="R18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1</v>
      </c>
      <c r="S18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0</v>
      </c>
      <c r="T18" s="12">
        <f xml:space="preserve"> gas_cost10713519232731353943475551[[#This Row],[Gas Net cost to date
(TND)]]* (1 + E$5)</f>
        <v>0</v>
      </c>
      <c r="U18" s="12"/>
      <c r="V18" s="12"/>
      <c r="W18" s="20">
        <f xml:space="preserve"> E$8 + ((electricity_cost311418222630343842465450[[#This Row],[Elect. Net cost to date
(TND)]] + E$6 + gas_cost10713519232731353943475551[[#This Row],[Gas Net cost to date
(TND)]] + E$7) * (1 + E$5))</f>
        <v>46.631999999999998</v>
      </c>
      <c r="X18" s="38"/>
      <c r="Y18" s="37"/>
    </row>
    <row r="19" spans="2:25" x14ac:dyDescent="0.25">
      <c r="B19" s="70">
        <v>27755</v>
      </c>
      <c r="C19" s="6">
        <v>44449</v>
      </c>
      <c r="D19" s="54">
        <v>44573</v>
      </c>
      <c r="E19" s="70">
        <v>27824</v>
      </c>
      <c r="F19" s="11">
        <f>electricity_cost311418222630343842465450[[#This Row],[ Index (KWh)]]-electricity_cost311418222630343842465450[[#This Row],[Original index 
(KWh)]]</f>
        <v>69</v>
      </c>
      <c r="G19" s="6">
        <v>44463</v>
      </c>
      <c r="H19" s="2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19" s="1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12.144</v>
      </c>
      <c r="J19" s="10">
        <f xml:space="preserve"> (E$6 + electricity_cost311418222630343842465450[[#This Row],[Elect. Net cost to date
(TND)]]) * (1 + E$5)</f>
        <v>49.021919999999994</v>
      </c>
      <c r="K19" s="12">
        <f>(electricity_cost311418222630343842465450[[#This Row],[Elect. Cost  VAT included
(TND)
]]-J18)/_xlfn.DAYS(electricity_cost311418222630343842465450[[#This Row],[Date of reading 
(Elect + Gas)]], G18)</f>
        <v>1.0235657142857144</v>
      </c>
      <c r="L19" s="12">
        <f>(electricity_cost311418222630343842465450[[#This Row],[Consumption to date (KWh)]] - F18)/_xlfn.DAYS(electricity_cost311418222630343842465450[[#This Row],[Date of reading 
(Elect + Gas)]], G18)</f>
        <v>4.9285714285714288</v>
      </c>
      <c r="M19" s="11">
        <v>13202</v>
      </c>
      <c r="P19" s="11">
        <v>13209</v>
      </c>
      <c r="Q19" s="11">
        <f>gas_cost10713519232731353943475551[[#This Row],[ Index (m3)]] - gas_cost10713519232731353943475551[[#This Row],[Original index 
(m3)]]</f>
        <v>7</v>
      </c>
      <c r="R19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1</v>
      </c>
      <c r="S19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1.617</v>
      </c>
      <c r="T19" s="12">
        <f xml:space="preserve"> gas_cost10713519232731353943475551[[#This Row],[Gas Net cost to date
(TND)]]* (1 + E$5)</f>
        <v>1.9080599999999999</v>
      </c>
      <c r="U19" s="12">
        <f>(gas_cost10713519232731353943475551[[#This Row],[Gas Cost to date  VAT included
(TND)
]] - T18)/_xlfn.DAYS(electricity_cost311418222630343842465450[[#This Row],[Date of reading 
(Elect + Gas)]], G18)</f>
        <v>0.13628999999999999</v>
      </c>
      <c r="V19" s="12">
        <f>(gas_cost10713519232731353943475551[[#This Row],[Consumption (m3)]] - Q18)/_xlfn.DAYS(electricity_cost311418222630343842465450[[#This Row],[Date of reading 
(Elect + Gas)]], G18)</f>
        <v>0.5</v>
      </c>
      <c r="W19" s="20">
        <f xml:space="preserve"> E$8 + ((electricity_cost311418222630343842465450[[#This Row],[Elect. Net cost to date
(TND)]] + E$6 + gas_cost10713519232731353943475551[[#This Row],[Gas Net cost to date
(TND)]] + E$7) * (1 + E$5))</f>
        <v>62.869979999999991</v>
      </c>
      <c r="X19" s="38"/>
    </row>
    <row r="20" spans="2:25" x14ac:dyDescent="0.25">
      <c r="B20" s="70">
        <v>27755</v>
      </c>
      <c r="C20" s="6">
        <v>44449</v>
      </c>
      <c r="D20" s="54">
        <v>44573</v>
      </c>
      <c r="E20" s="70">
        <v>27905</v>
      </c>
      <c r="F20" s="11">
        <f>electricity_cost311418222630343842465450[[#This Row],[ Index (KWh)]]-electricity_cost311418222630343842465450[[#This Row],[Original index 
(KWh)]]</f>
        <v>150</v>
      </c>
      <c r="G20" s="6">
        <v>44480</v>
      </c>
      <c r="H20" s="2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20" s="1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26.4</v>
      </c>
      <c r="J20" s="10">
        <f xml:space="preserve"> (E$6 + electricity_cost311418222630343842465450[[#This Row],[Elect. Net cost to date
(TND)]]) * (1 + E$5)</f>
        <v>65.843999999999994</v>
      </c>
      <c r="K20" s="12">
        <f>electricity_cost311418222630343842465450[[#This Row],[Elect. Cost  VAT included
(TND)
]]-J19/(electricity_cost311418222630343842465450[[#This Row],[Date of reading 
(Elect + Gas)]]-G19)</f>
        <v>62.960357647058821</v>
      </c>
      <c r="L20" s="12">
        <f>(electricity_cost311418222630343842465450[[#This Row],[Consumption to date (KWh)]] - F19)/_xlfn.DAYS(electricity_cost311418222630343842465450[[#This Row],[Date of reading 
(Elect + Gas)]], G19)</f>
        <v>4.7647058823529411</v>
      </c>
      <c r="M20" s="11">
        <v>13202</v>
      </c>
      <c r="P20" s="11">
        <v>13217</v>
      </c>
      <c r="Q20" s="11">
        <f>gas_cost10713519232731353943475551[[#This Row],[ Index (m3)]] - gas_cost10713519232731353943475551[[#This Row],[Original index 
(m3)]]</f>
        <v>15</v>
      </c>
      <c r="R20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1</v>
      </c>
      <c r="S20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3.4649999999999999</v>
      </c>
      <c r="T20" s="12">
        <f xml:space="preserve"> gas_cost10713519232731353943475551[[#This Row],[Gas Net cost to date
(TND)]]* (1 + E$5)</f>
        <v>4.0886999999999993</v>
      </c>
      <c r="U20" s="12">
        <f>(gas_cost10713519232731353943475551[[#This Row],[Gas Cost to date  VAT included
(TND)
]] - T19)/_xlfn.DAYS(electricity_cost311418222630343842465450[[#This Row],[Date of reading 
(Elect + Gas)]], G19)</f>
        <v>0.12827294117647056</v>
      </c>
      <c r="V20" s="12">
        <f>(gas_cost10713519232731353943475551[[#This Row],[Consumption (m3)]] - Q19)/_xlfn.DAYS(electricity_cost311418222630343842465450[[#This Row],[Date of reading 
(Elect + Gas)]], G19)</f>
        <v>0.47058823529411764</v>
      </c>
      <c r="W20" s="20">
        <f xml:space="preserve"> E$8 + ((electricity_cost311418222630343842465450[[#This Row],[Elect. Net cost to date
(TND)]] + E$6 + gas_cost10713519232731353943475551[[#This Row],[Gas Net cost to date
(TND)]] + E$7) * (1 + E$5))</f>
        <v>81.872699999999995</v>
      </c>
      <c r="X20" s="38"/>
    </row>
    <row r="21" spans="2:25" x14ac:dyDescent="0.25">
      <c r="B21" s="70">
        <v>27755</v>
      </c>
      <c r="C21" s="6">
        <v>44449</v>
      </c>
      <c r="D21" s="54">
        <v>44573</v>
      </c>
      <c r="E21" s="70">
        <v>28095</v>
      </c>
      <c r="F21" s="60">
        <f>electricity_cost311418222630343842465450[[#This Row],[ Index (KWh)]]-electricity_cost311418222630343842465450[[#This Row],[Original index 
(KWh)]]</f>
        <v>340</v>
      </c>
      <c r="G21" s="58">
        <v>44529</v>
      </c>
      <c r="H21" s="6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21" s="6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59.84</v>
      </c>
      <c r="J21" s="65">
        <f xml:space="preserve"> (E$6 + electricity_cost311418222630343842465450[[#This Row],[Elect. Net cost to date
(TND)]]) * (1 + E$5)</f>
        <v>105.3032</v>
      </c>
      <c r="K21" s="62">
        <f>electricity_cost311418222630343842465450[[#This Row],[Elect. Cost  VAT included
(TND)
]]-J20/(electricity_cost311418222630343842465450[[#This Row],[Date of reading 
(Elect + Gas)]]-G20)</f>
        <v>103.95944489795919</v>
      </c>
      <c r="L21" s="62">
        <f>(electricity_cost311418222630343842465450[[#This Row],[Consumption to date (KWh)]] - F20)/_xlfn.DAYS(electricity_cost311418222630343842465450[[#This Row],[Date of reading 
(Elect + Gas)]], G20)</f>
        <v>3.8775510204081631</v>
      </c>
      <c r="M21" s="11">
        <v>13202</v>
      </c>
      <c r="P21" s="11">
        <v>13280</v>
      </c>
      <c r="Q21" s="11">
        <f>gas_cost10713519232731353943475551[[#This Row],[ Index (m3)]] - gas_cost10713519232731353943475551[[#This Row],[Original index 
(m3)]]</f>
        <v>78</v>
      </c>
      <c r="R21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1</v>
      </c>
      <c r="S21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18.018000000000001</v>
      </c>
      <c r="T21" s="12">
        <f xml:space="preserve"> gas_cost10713519232731353943475551[[#This Row],[Gas Net cost to date
(TND)]]* (1 + E$5)</f>
        <v>21.261240000000001</v>
      </c>
      <c r="U21" s="12">
        <f>(gas_cost10713519232731353943475551[[#This Row],[Gas Cost to date  VAT included
(TND)
]] - T20)/_xlfn.DAYS(electricity_cost311418222630343842465450[[#This Row],[Date of reading 
(Elect + Gas)]], G20)</f>
        <v>0.35046000000000005</v>
      </c>
      <c r="V21" s="12">
        <f>(gas_cost10713519232731353943475551[[#This Row],[Consumption (m3)]] - Q20)/_xlfn.DAYS(electricity_cost311418222630343842465450[[#This Row],[Date of reading 
(Elect + Gas)]], G20)</f>
        <v>1.2857142857142858</v>
      </c>
      <c r="W21" s="20">
        <f xml:space="preserve"> E$8 + ((electricity_cost311418222630343842465450[[#This Row],[Elect. Net cost to date
(TND)]] + E$6 + gas_cost10713519232731353943475551[[#This Row],[Gas Net cost to date
(TND)]] + E$7) * (1 + E$5))</f>
        <v>138.50443999999999</v>
      </c>
      <c r="X21" s="38"/>
    </row>
    <row r="22" spans="2:25" x14ac:dyDescent="0.25">
      <c r="B22" s="70">
        <v>27755</v>
      </c>
      <c r="C22" s="6">
        <v>44449</v>
      </c>
      <c r="D22" s="54">
        <v>44573</v>
      </c>
      <c r="E22" s="70">
        <v>28105</v>
      </c>
      <c r="F22" s="60">
        <f>electricity_cost311418222630343842465450[[#This Row],[ Index (KWh)]]-electricity_cost311418222630343842465450[[#This Row],[Original index 
(KWh)]]</f>
        <v>350</v>
      </c>
      <c r="G22" s="58">
        <v>44530</v>
      </c>
      <c r="H22" s="6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22" s="6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61.6</v>
      </c>
      <c r="J22" s="65">
        <f xml:space="preserve"> (E$6 + electricity_cost311418222630343842465450[[#This Row],[Elect. Net cost to date
(TND)]]) * (1 + E$5)</f>
        <v>107.38</v>
      </c>
      <c r="K22" s="62">
        <f>electricity_cost311418222630343842465450[[#This Row],[Elect. Cost  VAT included
(TND)
]]-J21/(electricity_cost311418222630343842465450[[#This Row],[Date of reading 
(Elect + Gas)]]-G21)</f>
        <v>2.0767999999999915</v>
      </c>
      <c r="L22" s="62">
        <f>(electricity_cost311418222630343842465450[[#This Row],[Consumption to date (KWh)]] - F21)/_xlfn.DAYS(electricity_cost311418222630343842465450[[#This Row],[Date of reading 
(Elect + Gas)]], G21)</f>
        <v>10</v>
      </c>
      <c r="M22" s="11">
        <v>13202</v>
      </c>
      <c r="P22" s="11">
        <v>13295</v>
      </c>
      <c r="Q22" s="11">
        <f>gas_cost10713519232731353943475551[[#This Row],[ Index (m3)]] - gas_cost10713519232731353943475551[[#This Row],[Original index 
(m3)]]</f>
        <v>93</v>
      </c>
      <c r="R22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1</v>
      </c>
      <c r="S22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21.483000000000001</v>
      </c>
      <c r="T22" s="12">
        <f xml:space="preserve"> gas_cost10713519232731353943475551[[#This Row],[Gas Net cost to date
(TND)]]* (1 + E$5)</f>
        <v>25.34994</v>
      </c>
      <c r="U22" s="12">
        <f>(gas_cost10713519232731353943475551[[#This Row],[Gas Cost to date  VAT included
(TND)
]] - T21)/_xlfn.DAYS(electricity_cost311418222630343842465450[[#This Row],[Date of reading 
(Elect + Gas)]], G21)</f>
        <v>4.0886999999999993</v>
      </c>
      <c r="V22" s="12">
        <f>(gas_cost10713519232731353943475551[[#This Row],[Consumption (m3)]] - Q21)/_xlfn.DAYS(electricity_cost311418222630343842465450[[#This Row],[Date of reading 
(Elect + Gas)]], G21)</f>
        <v>15</v>
      </c>
      <c r="W22" s="20">
        <f xml:space="preserve"> E$8 + ((electricity_cost311418222630343842465450[[#This Row],[Elect. Net cost to date
(TND)]] + E$6 + gas_cost10713519232731353943475551[[#This Row],[Gas Net cost to date
(TND)]] + E$7) * (1 + E$5))</f>
        <v>144.66994</v>
      </c>
      <c r="X22" s="38"/>
    </row>
    <row r="23" spans="2:25" x14ac:dyDescent="0.25">
      <c r="B23" s="70">
        <v>27755</v>
      </c>
      <c r="C23" s="6">
        <v>44449</v>
      </c>
      <c r="D23" s="54">
        <v>44573</v>
      </c>
      <c r="E23" s="70">
        <v>28120</v>
      </c>
      <c r="F23" s="11">
        <f>electricity_cost311418222630343842465450[[#This Row],[ Index (KWh)]]-electricity_cost311418222630343842465450[[#This Row],[Original index 
(KWh)]]</f>
        <v>365</v>
      </c>
      <c r="G23" s="6">
        <v>44533</v>
      </c>
      <c r="H23" s="2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23" s="1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64.239999999999995</v>
      </c>
      <c r="J23" s="10">
        <f xml:space="preserve"> (E$6 + electricity_cost311418222630343842465450[[#This Row],[Elect. Net cost to date
(TND)]]) * (1 + E$5)</f>
        <v>110.49519999999998</v>
      </c>
      <c r="K23" s="12">
        <f>electricity_cost311418222630343842465450[[#This Row],[Elect. Cost  VAT included
(TND)
]]-J22/(electricity_cost311418222630343842465450[[#This Row],[Date of reading 
(Elect + Gas)]]-G22)</f>
        <v>74.70186666666666</v>
      </c>
      <c r="L23" s="12">
        <f>(electricity_cost311418222630343842465450[[#This Row],[Consumption to date (KWh)]] - F22)/_xlfn.DAYS(electricity_cost311418222630343842465450[[#This Row],[Date of reading 
(Elect + Gas)]], G22)</f>
        <v>5</v>
      </c>
      <c r="M23" s="11">
        <v>13202</v>
      </c>
      <c r="P23" s="11">
        <v>13321</v>
      </c>
      <c r="Q23" s="11">
        <f>gas_cost10713519232731353943475551[[#This Row],[ Index (m3)]] - gas_cost10713519232731353943475551[[#This Row],[Original index 
(m3)]]</f>
        <v>119</v>
      </c>
      <c r="R23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1</v>
      </c>
      <c r="S23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27.489000000000001</v>
      </c>
      <c r="T23" s="12">
        <f xml:space="preserve"> gas_cost10713519232731353943475551[[#This Row],[Gas Net cost to date
(TND)]]* (1 + E$5)</f>
        <v>32.437019999999997</v>
      </c>
      <c r="U23" s="12">
        <f>(gas_cost10713519232731353943475551[[#This Row],[Gas Cost to date  VAT included
(TND)
]] - T22)/_xlfn.DAYS(electricity_cost311418222630343842465450[[#This Row],[Date of reading 
(Elect + Gas)]], G22)</f>
        <v>2.3623599999999989</v>
      </c>
      <c r="V23" s="12">
        <f>(gas_cost10713519232731353943475551[[#This Row],[Consumption (m3)]] - Q22)/_xlfn.DAYS(electricity_cost311418222630343842465450[[#This Row],[Date of reading 
(Elect + Gas)]], G22)</f>
        <v>8.6666666666666661</v>
      </c>
      <c r="W23" s="20">
        <f xml:space="preserve"> E$8 + ((electricity_cost311418222630343842465450[[#This Row],[Elect. Net cost to date
(TND)]] + E$6 + gas_cost10713519232731353943475551[[#This Row],[Gas Net cost to date
(TND)]] + E$7) * (1 + E$5))</f>
        <v>154.87221999999997</v>
      </c>
      <c r="X23" s="38"/>
    </row>
    <row r="24" spans="2:25" x14ac:dyDescent="0.25">
      <c r="B24" s="70">
        <v>27755</v>
      </c>
      <c r="C24" s="6">
        <v>44449</v>
      </c>
      <c r="D24" s="54">
        <v>44573</v>
      </c>
      <c r="E24" s="70">
        <v>28141</v>
      </c>
      <c r="F24" s="11">
        <f>electricity_cost311418222630343842465450[[#This Row],[ Index (KWh)]]-electricity_cost311418222630343842465450[[#This Row],[Original index 
(KWh)]]</f>
        <v>386</v>
      </c>
      <c r="G24" s="6">
        <v>44536</v>
      </c>
      <c r="H24" s="2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24" s="1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67.936000000000007</v>
      </c>
      <c r="J24" s="10">
        <f xml:space="preserve"> (E$6 + electricity_cost311418222630343842465450[[#This Row],[Elect. Net cost to date
(TND)]]) * (1 + E$5)</f>
        <v>114.85648</v>
      </c>
      <c r="K24" s="12">
        <f>electricity_cost311418222630343842465450[[#This Row],[Elect. Cost  VAT included
(TND)
]]-J23/(electricity_cost311418222630343842465450[[#This Row],[Date of reading 
(Elect + Gas)]]-G23)</f>
        <v>78.024746666666687</v>
      </c>
      <c r="L24" s="12">
        <f>(electricity_cost311418222630343842465450[[#This Row],[Consumption to date (KWh)]] - F23)/_xlfn.DAYS(electricity_cost311418222630343842465450[[#This Row],[Date of reading 
(Elect + Gas)]], G23)</f>
        <v>7</v>
      </c>
      <c r="M24" s="11">
        <v>13202</v>
      </c>
      <c r="P24" s="11">
        <v>13349</v>
      </c>
      <c r="Q24" s="11">
        <f>gas_cost10713519232731353943475551[[#This Row],[ Index (m3)]] - gas_cost10713519232731353943475551[[#This Row],[Original index 
(m3)]]</f>
        <v>147</v>
      </c>
      <c r="R24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2</v>
      </c>
      <c r="S24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50.127000000000002</v>
      </c>
      <c r="T24" s="12">
        <f xml:space="preserve"> gas_cost10713519232731353943475551[[#This Row],[Gas Net cost to date
(TND)]]* (1 + E$5)</f>
        <v>59.149859999999997</v>
      </c>
      <c r="U24" s="12">
        <f>(gas_cost10713519232731353943475551[[#This Row],[Gas Cost to date  VAT included
(TND)
]] - T23)/_xlfn.DAYS(electricity_cost[[#This Row],[Date of reading 
(Elect)]], G23)</f>
        <v>-1.6499592340951205E-2</v>
      </c>
      <c r="V24" s="12">
        <f>(gas_cost10713519232731353943475551[[#This Row],[Consumption (m3)]] - Q23)/_xlfn.DAYS(electricity_cost311[[#This Row],[Date of reading 
(Elect + Gas)]], G23)</f>
        <v>-1.9844082211197732E-2</v>
      </c>
      <c r="W24" s="20">
        <f xml:space="preserve"> E$8 + ((electricity_cost311418222630343842465450[[#This Row],[Elect. Net cost to date
(TND)]] + E$6 + gas_cost10713519232731353943475551[[#This Row],[Gas Net cost to date
(TND)]] + E$7) * (1 + E$5))</f>
        <v>185.94634000000002</v>
      </c>
      <c r="X24" s="38"/>
    </row>
    <row r="25" spans="2:25" x14ac:dyDescent="0.25">
      <c r="B25" s="70">
        <v>27755</v>
      </c>
      <c r="C25" s="6">
        <v>44449</v>
      </c>
      <c r="D25" s="54">
        <v>44573</v>
      </c>
      <c r="E25" s="70">
        <v>28146</v>
      </c>
      <c r="F25" s="11">
        <f>electricity_cost311418222630343842465450[[#This Row],[ Index (KWh)]]-electricity_cost311418222630343842465450[[#This Row],[Original index 
(KWh)]]</f>
        <v>391</v>
      </c>
      <c r="G25" s="6">
        <v>44537</v>
      </c>
      <c r="H25" s="2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25" s="1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68.816000000000003</v>
      </c>
      <c r="J25" s="10">
        <f xml:space="preserve"> (E$6 + electricity_cost311418222630343842465450[[#This Row],[Elect. Net cost to date
(TND)]]) * (1 + E$5)</f>
        <v>115.89488</v>
      </c>
      <c r="K25" s="12">
        <f>electricity_cost311418222630343842465450[[#This Row],[Elect. Cost  VAT included
(TND)
]]-J24/(electricity_cost311418222630343842465450[[#This Row],[Date of reading 
(Elect + Gas)]]-G24)</f>
        <v>1.0383999999999958</v>
      </c>
      <c r="L25" s="12">
        <f>(electricity_cost311418222630343842465450[[#This Row],[Consumption to date (KWh)]] - F24)/_xlfn.DAYS(electricity_cost311418222630343842465450[[#This Row],[Date of reading 
(Elect + Gas)]], G24)</f>
        <v>5</v>
      </c>
      <c r="M25" s="11">
        <v>13202</v>
      </c>
      <c r="P25" s="11">
        <v>13359</v>
      </c>
      <c r="Q25" s="11">
        <f>gas_cost10713519232731353943475551[[#This Row],[ Index (m3)]] - gas_cost10713519232731353943475551[[#This Row],[Original index 
(m3)]]</f>
        <v>157</v>
      </c>
      <c r="R25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2</v>
      </c>
      <c r="S25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53.536999999999999</v>
      </c>
      <c r="T25" s="12">
        <f xml:space="preserve"> gas_cost10713519232731353943475551[[#This Row],[Gas Net cost to date
(TND)]]* (1 + E$5)</f>
        <v>63.173659999999998</v>
      </c>
      <c r="U25" s="12">
        <f>(gas_cost10713519232731353943475551[[#This Row],[Gas Cost to date  VAT included
(TND)
]] - T24)/_xlfn.DAYS(electricity_cost[[#This Row],[Date of reading 
(Elect)]], G24)</f>
        <v>-2.4822948797038873E-3</v>
      </c>
      <c r="V25" s="12">
        <f>(gas_cost10713519232731353943475551[[#This Row],[Consumption (m3)]] - Q24)/_xlfn.DAYS(electricity_cost311[[#This Row],[Date of reading 
(Elect + Gas)]], G24)</f>
        <v>-7.0771408351026181E-3</v>
      </c>
      <c r="W25" s="20">
        <f xml:space="preserve"> E$8 + ((electricity_cost311418222630343842465450[[#This Row],[Elect. Net cost to date
(TND)]] + E$6 + gas_cost10713519232731353943475551[[#This Row],[Gas Net cost to date
(TND)]] + E$7) * (1 + E$5))</f>
        <v>191.00854000000001</v>
      </c>
      <c r="X25" s="38"/>
    </row>
    <row r="26" spans="2:25" x14ac:dyDescent="0.25">
      <c r="B26" s="70">
        <v>27755</v>
      </c>
      <c r="C26" s="6">
        <v>44449</v>
      </c>
      <c r="D26" s="54">
        <v>44573</v>
      </c>
      <c r="E26" s="70">
        <v>28183</v>
      </c>
      <c r="F26" s="11">
        <f>electricity_cost311418222630343842465450[[#This Row],[ Index (KWh)]]-electricity_cost311418222630343842465450[[#This Row],[Original index 
(KWh)]]</f>
        <v>428</v>
      </c>
      <c r="G26" s="6">
        <v>44545</v>
      </c>
      <c r="H26" s="2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26" s="1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75.328000000000003</v>
      </c>
      <c r="J26" s="10">
        <f xml:space="preserve"> (E$6 + electricity_cost311418222630343842465450[[#This Row],[Elect. Net cost to date
(TND)]]) * (1 + E$5)</f>
        <v>123.57904000000001</v>
      </c>
      <c r="K26" s="12">
        <f>electricity_cost311418222630343842465450[[#This Row],[Elect. Cost  VAT included
(TND)
]]-J25/(electricity_cost311418222630343842465450[[#This Row],[Date of reading 
(Elect + Gas)]]-G25)</f>
        <v>109.09218000000001</v>
      </c>
      <c r="L26" s="12">
        <f>(electricity_cost311418222630343842465450[[#This Row],[Consumption to date (KWh)]] - F25)/_xlfn.DAYS(electricity_cost311418222630343842465450[[#This Row],[Date of reading 
(Elect + Gas)]], G25)</f>
        <v>4.625</v>
      </c>
      <c r="M26" s="11">
        <v>13202</v>
      </c>
      <c r="P26" s="11">
        <v>13430</v>
      </c>
      <c r="Q26" s="11">
        <f>gas_cost10713519232731353943475551[[#This Row],[ Index (m3)]] - gas_cost10713519232731353943475551[[#This Row],[Original index 
(m3)]]</f>
        <v>228</v>
      </c>
      <c r="R26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2</v>
      </c>
      <c r="S26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77.748000000000005</v>
      </c>
      <c r="T26" s="12">
        <f xml:space="preserve"> gas_cost10713519232731353943475551[[#This Row],[Gas Net cost to date
(TND)]]* (1 + E$5)</f>
        <v>91.742639999999994</v>
      </c>
      <c r="U26" s="12">
        <f>(gas_cost10713519232731353943475551[[#This Row],[Gas Cost to date  VAT included
(TND)
]] - T25)/_xlfn.DAYS(electricity_cost[[#This Row],[Date of reading 
(Elect)]], G25)</f>
        <v>-1.7624293645897592E-2</v>
      </c>
      <c r="V26" s="12">
        <f>(gas_cost10713519232731353943475551[[#This Row],[Consumption (m3)]] - Q25)/_xlfn.DAYS(electricity_cost311[[#This Row],[Date of reading 
(Elect + Gas)]], G25)</f>
        <v>-5.0283286118980169E-2</v>
      </c>
      <c r="W26" s="20">
        <f xml:space="preserve"> E$8 + ((electricity_cost311418222630343842465450[[#This Row],[Elect. Net cost to date
(TND)]] + E$6 + gas_cost10713519232731353943475551[[#This Row],[Gas Net cost to date
(TND)]] + E$7) * (1 + E$5))</f>
        <v>227.26167999999998</v>
      </c>
      <c r="X26" s="38"/>
    </row>
    <row r="27" spans="2:25" x14ac:dyDescent="0.25">
      <c r="B27" s="70">
        <v>27755</v>
      </c>
      <c r="C27" s="6">
        <v>44449</v>
      </c>
      <c r="D27" s="54">
        <v>44573</v>
      </c>
      <c r="E27" s="70">
        <v>28212</v>
      </c>
      <c r="F27" s="11">
        <f>electricity_cost311418222630343842465450[[#This Row],[ Index (KWh)]]-electricity_cost311418222630343842465450[[#This Row],[Original index 
(KWh)]]</f>
        <v>457</v>
      </c>
      <c r="G27" s="6">
        <v>44550</v>
      </c>
      <c r="H27" s="2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27" s="1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80.432000000000002</v>
      </c>
      <c r="J27" s="10">
        <f xml:space="preserve"> (E$6 + electricity_cost311418222630343842465450[[#This Row],[Elect. Net cost to date
(TND)]]) * (1 + E$5)</f>
        <v>129.60175999999998</v>
      </c>
      <c r="K27" s="12">
        <f>electricity_cost311418222630343842465450[[#This Row],[Elect. Cost  VAT included
(TND)
]]-J26/(electricity_cost311418222630343842465450[[#This Row],[Date of reading 
(Elect + Gas)]]-G26)</f>
        <v>104.88595199999997</v>
      </c>
      <c r="L27" s="12">
        <f>(electricity_cost311418222630343842465450[[#This Row],[Consumption to date (KWh)]] - F26)/_xlfn.DAYS(electricity_cost311418222630343842465450[[#This Row],[Date of reading 
(Elect + Gas)]], G26)</f>
        <v>5.8</v>
      </c>
      <c r="M27" s="11">
        <v>13202</v>
      </c>
      <c r="P27" s="11">
        <v>13470</v>
      </c>
      <c r="Q27" s="11">
        <f>gas_cost10713519232731353943475551[[#This Row],[ Index (m3)]] - gas_cost10713519232731353943475551[[#This Row],[Original index 
(m3)]]</f>
        <v>268</v>
      </c>
      <c r="R27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3</v>
      </c>
      <c r="S27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119.79600000000001</v>
      </c>
      <c r="T27" s="12">
        <f xml:space="preserve"> gas_cost10713519232731353943475551[[#This Row],[Gas Net cost to date
(TND)]]* (1 + E$5)</f>
        <v>141.35928000000001</v>
      </c>
      <c r="U27" s="12">
        <f>(gas_cost10713519232731353943475551[[#This Row],[Gas Cost to date  VAT included
(TND)
]] - T26)/_xlfn.DAYS(electricity_cost[[#This Row],[Date of reading 
(Elect)]], G26)</f>
        <v>-3.0477051597051608E-2</v>
      </c>
      <c r="V27" s="12">
        <f>(gas_cost10713519232731353943475551[[#This Row],[Consumption (m3)]] - Q26)/_xlfn.DAYS(electricity_cost311[[#This Row],[Date of reading 
(Elect + Gas)]], G26)</f>
        <v>-2.8268551236749116E-2</v>
      </c>
      <c r="W27" s="20">
        <f xml:space="preserve"> E$8 + ((electricity_cost311418222630343842465450[[#This Row],[Elect. Net cost to date
(TND)]] + E$6 + gas_cost10713519232731353943475551[[#This Row],[Gas Net cost to date
(TND)]] + E$7) * (1 + E$5))</f>
        <v>282.90103999999997</v>
      </c>
      <c r="X27" s="38"/>
    </row>
    <row r="28" spans="2:25" ht="15.75" x14ac:dyDescent="0.25">
      <c r="B28" s="70">
        <v>27756</v>
      </c>
      <c r="C28" s="6">
        <v>44449</v>
      </c>
      <c r="D28" s="54">
        <v>44573</v>
      </c>
      <c r="E28">
        <v>28323</v>
      </c>
      <c r="F28" s="11">
        <f>electricity_cost311418222630343842465450[[#This Row],[ Index (KWh)]]-electricity_cost311418222630343842465450[[#This Row],[Original index 
(KWh)]]</f>
        <v>567</v>
      </c>
      <c r="G28" s="6">
        <v>44575</v>
      </c>
      <c r="H28" s="21">
        <f xml:space="preserve"> _xlfn.IFS(electricity_cost311418222630343842465450[[#This Row],[Consumption to date (KWh)]] &lt;= K$4, 1, AND(K$4 &lt; electricity_cost311418222630343842465450[[#This Row],[Consumption to date (KWh)]],  electricity_cost311418222630343842465450[[#This Row],[Consumption to date (KWh)]]&lt;= K$5), 2, AND(K$5 &lt; electricity_cost311418222630343842465450[[#This Row],[Consumption to date (KWh)]],  electricity_cost311418222630343842465450[[#This Row],[Consumption to date (KWh)]]&lt;= K$6), 3, electricity_cost311418222630343842465450[[#This Row],[Consumption to date (KWh)]] &gt; K$6, 4)</f>
        <v>1</v>
      </c>
      <c r="I28" s="12">
        <f>_xlfn.IFS(electricity_cost311418222630343842465450[[#This Row],[Level (Elect)]]= 1, (electricity_cost311418222630343842465450[[#This Row],[Consumption to date (KWh)]] * L$4)/1000, electricity_cost311418222630343842465450[[#This Row],[Level (Elect)]] = 2, (K$4 * L$4 +((electricity_cost311418222630343842465450[[#This Row],[Consumption to date (KWh)]] - K$4) * L$5))/1000,electricity_cost311418222630343842465450[[#This Row],[Level (Elect)]] = 3, (K$4 * L$4 + (K$5-J$5) * L$5 + ((electricity_cost311418222630343842465450[[#This Row],[Consumption to date (KWh)]] - K$5) * L$6))/1000, electricity_cost311418222630343842465450[[#This Row],[Level (Elect)]] = 4, (K$4 * L$4 + (K$5-J$5) * L$5 + (K$6-J$6) * L$6 + ((electricity_cost311418222630343842465450[[#This Row],[Consumption to date (KWh)]] - K$6) * L$7))/1000)</f>
        <v>99.792000000000002</v>
      </c>
      <c r="J28" s="10">
        <f xml:space="preserve"> (E$6 + electricity_cost311418222630343842465450[[#This Row],[Elect. Net cost to date
(TND)]]) * (1 + E$5)</f>
        <v>152.44656000000001</v>
      </c>
      <c r="K28" s="12">
        <f>electricity_cost311418222630343842465450[[#This Row],[Elect. Cost  VAT included
(TND)
]]-J27/(electricity_cost311418222630343842465450[[#This Row],[Date of reading 
(Elect + Gas)]]-G27)</f>
        <v>147.26248960000001</v>
      </c>
      <c r="L28" s="12">
        <f>(electricity_cost311418222630343842465450[[#This Row],[Consumption to date (KWh)]] - F27)/_xlfn.DAYS(electricity_cost311418222630343842465450[[#This Row],[Date of reading 
(Elect + Gas)]], G27)</f>
        <v>4.4000000000000004</v>
      </c>
      <c r="M28" s="11">
        <v>13202</v>
      </c>
      <c r="P28" s="11">
        <v>13654</v>
      </c>
      <c r="Q28" s="11">
        <f>gas_cost10713519232731353943475551[[#This Row],[ Index (m3)]] - gas_cost10713519232731353943475551[[#This Row],[Original index 
(m3)]]</f>
        <v>452</v>
      </c>
      <c r="R28" s="11">
        <f xml:space="preserve"> _xlfn.IFS(gas_cost10713519232731353943475551[[#This Row],[Consumption (m3)]] &lt;= R$4, 1, AND(R$4 &lt; gas_cost10713519232731353943475551[[#This Row],[Consumption (m3)]], gas_cost10713519232731353943475551[[#This Row],[Consumption (m3)]] &lt;= R$5), 2, AND(R$5 &lt; gas_cost10713519232731353943475551[[#This Row],[Consumption (m3)]], gas_cost10713519232731353943475551[[#This Row],[Consumption (m3)]] &lt;= R$6), 3, gas_cost10713519232731353943475551[[#This Row],[Consumption (m3)]] &gt; R$6, 4)</f>
        <v>3</v>
      </c>
      <c r="S28" s="12">
        <f>_xlfn.IFS(gas_cost10713519232731353943475551[[#This Row],[Level (Gas)]]= 1, (gas_cost10713519232731353943475551[[#This Row],[Consumption (m3)]] * S$4)/1000, gas_cost10713519232731353943475551[[#This Row],[Level (Gas)]] = 2, (gas_cost10713519232731353943475551[[#This Row],[Consumption (m3)]] * S$5)/1000,gas_cost10713519232731353943475551[[#This Row],[Level (Gas)]] = 3, (gas_cost10713519232731353943475551[[#This Row],[Consumption (m3)]] * S$6)/1000, gas_cost10713519232731353943475551[[#This Row],[Level (Gas)]] = 4, (gas_cost10713519232731353943475551[[#This Row],[Consumption (m3)]] * S$7)/1000)</f>
        <v>202.04400000000001</v>
      </c>
      <c r="T28" s="12">
        <f xml:space="preserve"> gas_cost10713519232731353943475551[[#This Row],[Gas Net cost to date
(TND)]]* (1 + E$5)</f>
        <v>238.41192000000001</v>
      </c>
      <c r="U28" s="12">
        <f>(gas_cost10713519232731353943475551[[#This Row],[Gas Cost to date  VAT included
(TND)
]] - T27)/_xlfn.DAYS(electricity_cost[[#This Row],[Date of reading 
(Elect)]], G27)</f>
        <v>-5.9468529411764705E-2</v>
      </c>
      <c r="V28" s="12">
        <f>(gas_cost10713519232731353943475551[[#This Row],[Consumption (m3)]] - Q27)/_xlfn.DAYS(electricity_cost311[[#This Row],[Date of reading 
(Elect + Gas)]], G27)</f>
        <v>-0.12976022566995768</v>
      </c>
      <c r="W28" s="20">
        <f xml:space="preserve"> E$8 + ((electricity_cost311418222630343842465450[[#This Row],[Elect. Net cost to date
(TND)]] + E$6 + gas_cost10713519232731353943475551[[#This Row],[Gas Net cost to date
(TND)]] + E$7) * (1 + E$5))</f>
        <v>402.79847999999998</v>
      </c>
      <c r="X28" s="71">
        <v>383</v>
      </c>
    </row>
    <row r="29" spans="2:25" x14ac:dyDescent="0.25">
      <c r="B29" s="69"/>
      <c r="C29" s="6"/>
      <c r="D29" s="55"/>
      <c r="F29" s="11"/>
      <c r="G29" s="6"/>
      <c r="H29" s="21"/>
      <c r="I29" s="12"/>
      <c r="J29" s="10"/>
      <c r="K29" s="12"/>
      <c r="L29" s="12"/>
      <c r="M29" s="11"/>
      <c r="P29" s="11"/>
      <c r="Q29" s="11"/>
      <c r="R29" s="11"/>
      <c r="S29" s="12"/>
      <c r="T29" s="12"/>
      <c r="U29" s="12"/>
      <c r="V29" s="12"/>
      <c r="W29" s="20"/>
      <c r="X29" s="38"/>
    </row>
    <row r="30" spans="2:25" x14ac:dyDescent="0.25">
      <c r="B30" s="69"/>
      <c r="C30" s="6"/>
      <c r="D30" s="55"/>
      <c r="F30" s="11"/>
      <c r="G30" s="6"/>
      <c r="H30" s="21"/>
      <c r="I30" s="12"/>
      <c r="J30" s="10"/>
      <c r="K30" s="12"/>
      <c r="L30" s="12"/>
      <c r="M30" s="11"/>
      <c r="P30" s="11"/>
      <c r="Q30" s="11"/>
      <c r="R30" s="11"/>
      <c r="S30" s="12"/>
      <c r="T30" s="12"/>
      <c r="U30" s="12"/>
      <c r="V30" s="12"/>
      <c r="W30" s="20"/>
      <c r="X30" s="38"/>
    </row>
    <row r="31" spans="2:25" x14ac:dyDescent="0.25">
      <c r="B31" s="69"/>
      <c r="C31" s="6"/>
      <c r="D31" s="55"/>
      <c r="F31" s="11"/>
      <c r="G31" s="6"/>
      <c r="H31" s="21"/>
      <c r="I31" s="12"/>
      <c r="J31" s="10"/>
      <c r="K31" s="12"/>
      <c r="L31" s="12"/>
      <c r="M31" s="11"/>
      <c r="P31" s="11"/>
      <c r="Q31" s="11"/>
      <c r="R31" s="11"/>
      <c r="S31" s="12"/>
      <c r="T31" s="12"/>
      <c r="U31" s="12"/>
      <c r="V31" s="12"/>
      <c r="W31" s="20"/>
      <c r="X31" s="38"/>
    </row>
    <row r="32" spans="2:25" x14ac:dyDescent="0.25">
      <c r="C32" s="6"/>
      <c r="D32" s="55"/>
      <c r="F32" s="11"/>
      <c r="G32" s="6"/>
      <c r="H32" s="21"/>
      <c r="I32" s="12"/>
      <c r="J32" s="10"/>
      <c r="K32" s="12"/>
      <c r="L32" s="12"/>
      <c r="M32" s="11"/>
      <c r="P32" s="11"/>
      <c r="Q32" s="11"/>
      <c r="R32" s="11"/>
      <c r="S32" s="12"/>
      <c r="T32" s="12"/>
      <c r="U32" s="12"/>
      <c r="V32" s="12"/>
      <c r="W32" s="20"/>
      <c r="X32" s="38"/>
    </row>
    <row r="33" spans="13:24" x14ac:dyDescent="0.25">
      <c r="M33" s="11"/>
      <c r="P33" s="11"/>
      <c r="Q33" s="11"/>
      <c r="R33" s="11"/>
      <c r="S33" s="12"/>
      <c r="T33" s="12"/>
      <c r="U33" s="12"/>
      <c r="V33" s="12"/>
      <c r="W33" s="20"/>
      <c r="X33" s="38"/>
    </row>
    <row r="34" spans="13:24" ht="60" x14ac:dyDescent="0.25">
      <c r="M34" s="11"/>
      <c r="P34" s="11"/>
      <c r="Q34" s="11"/>
      <c r="R34" s="11"/>
      <c r="S34" s="12"/>
      <c r="T34" s="12"/>
      <c r="U34" s="12"/>
      <c r="V34" s="66" t="s">
        <v>77</v>
      </c>
      <c r="W34" s="20" cm="1">
        <f t="array" ref="W34" xml:space="preserve"> 120 + LOOKUP(2, 1/(gas_cost10713519232731353943475551[Total to pay to date
(TND)
- Predicted -]&lt;&gt;""), gas_cost10713519232731353943475551[Total to pay to date
(TND)
- Predicted -])</f>
        <v>522.79847999999993</v>
      </c>
      <c r="X34" s="38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F47-0D18-4D5F-B9C2-F0B5E6BD9178}">
  <dimension ref="B2:Y26"/>
  <sheetViews>
    <sheetView tabSelected="1" topLeftCell="D18" zoomScale="85" zoomScaleNormal="85" workbookViewId="0">
      <selection activeCell="L34" sqref="L34"/>
    </sheetView>
  </sheetViews>
  <sheetFormatPr defaultRowHeight="15" x14ac:dyDescent="0.25"/>
  <cols>
    <col min="2" max="2" width="23.140625" customWidth="1"/>
    <col min="3" max="3" width="20.28515625" customWidth="1"/>
    <col min="4" max="4" width="15.85546875" customWidth="1"/>
    <col min="5" max="5" width="19.42578125" customWidth="1"/>
    <col min="6" max="6" width="19.5703125" customWidth="1"/>
    <col min="7" max="7" width="31.28515625" customWidth="1"/>
    <col min="8" max="8" width="23.85546875" customWidth="1"/>
    <col min="9" max="9" width="19.85546875" customWidth="1"/>
    <col min="10" max="10" width="19.28515625" customWidth="1"/>
    <col min="11" max="11" width="17.7109375" customWidth="1"/>
    <col min="12" max="12" width="24.7109375" customWidth="1"/>
    <col min="13" max="13" width="13.85546875" customWidth="1"/>
    <col min="14" max="14" width="11.42578125" hidden="1" customWidth="1"/>
    <col min="15" max="15" width="10.7109375" hidden="1" customWidth="1"/>
    <col min="16" max="16" width="19.7109375" customWidth="1"/>
    <col min="17" max="17" width="27.140625" customWidth="1"/>
    <col min="18" max="18" width="14.85546875" customWidth="1"/>
    <col min="19" max="19" width="18.28515625" customWidth="1"/>
    <col min="20" max="20" width="31" customWidth="1"/>
    <col min="21" max="21" width="25.7109375" customWidth="1"/>
    <col min="22" max="22" width="22" customWidth="1"/>
    <col min="23" max="23" width="25.42578125" customWidth="1"/>
    <col min="24" max="24" width="19.28515625" customWidth="1"/>
    <col min="25" max="25" width="13.85546875" customWidth="1"/>
  </cols>
  <sheetData>
    <row r="2" spans="2:24" x14ac:dyDescent="0.25">
      <c r="H2" s="1"/>
      <c r="I2" s="9" t="s">
        <v>1</v>
      </c>
      <c r="P2" s="9" t="s">
        <v>46</v>
      </c>
    </row>
    <row r="3" spans="2:24" ht="30" x14ac:dyDescent="0.25">
      <c r="I3" t="s">
        <v>7</v>
      </c>
      <c r="J3" t="s">
        <v>2</v>
      </c>
      <c r="K3" t="s">
        <v>3</v>
      </c>
      <c r="L3" s="2" t="s">
        <v>6</v>
      </c>
      <c r="P3" t="s">
        <v>7</v>
      </c>
      <c r="Q3" t="s">
        <v>10</v>
      </c>
      <c r="R3" t="s">
        <v>11</v>
      </c>
      <c r="S3" s="2" t="s">
        <v>6</v>
      </c>
      <c r="U3" t="s">
        <v>28</v>
      </c>
      <c r="W3" t="s">
        <v>50</v>
      </c>
      <c r="X3" t="s">
        <v>51</v>
      </c>
    </row>
    <row r="4" spans="2:24" x14ac:dyDescent="0.25">
      <c r="G4" s="3"/>
      <c r="I4">
        <v>1</v>
      </c>
      <c r="J4">
        <v>1</v>
      </c>
      <c r="K4">
        <v>800</v>
      </c>
      <c r="L4">
        <v>176</v>
      </c>
      <c r="P4">
        <v>1</v>
      </c>
      <c r="Q4">
        <v>1</v>
      </c>
      <c r="R4">
        <v>120</v>
      </c>
      <c r="S4">
        <v>231</v>
      </c>
      <c r="U4" s="19">
        <v>44450</v>
      </c>
      <c r="V4" s="19"/>
      <c r="W4" s="11">
        <v>0</v>
      </c>
      <c r="X4">
        <v>0</v>
      </c>
    </row>
    <row r="5" spans="2:24" x14ac:dyDescent="0.25">
      <c r="D5" s="16" t="s">
        <v>0</v>
      </c>
      <c r="E5" s="13">
        <v>0.18</v>
      </c>
      <c r="I5">
        <v>2</v>
      </c>
      <c r="J5">
        <v>801</v>
      </c>
      <c r="K5">
        <v>1200</v>
      </c>
      <c r="L5">
        <v>223</v>
      </c>
      <c r="P5">
        <v>2</v>
      </c>
      <c r="Q5">
        <v>1</v>
      </c>
      <c r="R5">
        <v>240</v>
      </c>
      <c r="S5">
        <v>341</v>
      </c>
      <c r="T5" t="s">
        <v>71</v>
      </c>
      <c r="U5" s="19">
        <v>44450</v>
      </c>
      <c r="V5" s="19"/>
      <c r="W5">
        <v>700</v>
      </c>
      <c r="X5">
        <v>1500</v>
      </c>
    </row>
    <row r="6" spans="2:24" x14ac:dyDescent="0.25">
      <c r="D6" s="16" t="s">
        <v>14</v>
      </c>
      <c r="E6" s="14">
        <v>29.4</v>
      </c>
      <c r="I6">
        <v>3</v>
      </c>
      <c r="J6">
        <v>1201</v>
      </c>
      <c r="K6">
        <v>2000</v>
      </c>
      <c r="L6">
        <v>346</v>
      </c>
      <c r="P6">
        <v>3</v>
      </c>
      <c r="Q6">
        <v>1</v>
      </c>
      <c r="R6">
        <v>600</v>
      </c>
      <c r="S6">
        <v>447</v>
      </c>
      <c r="T6" t="s">
        <v>65</v>
      </c>
    </row>
    <row r="7" spans="2:24" x14ac:dyDescent="0.25">
      <c r="D7" s="16" t="s">
        <v>15</v>
      </c>
      <c r="E7" s="14">
        <v>4.5</v>
      </c>
      <c r="I7">
        <v>4</v>
      </c>
      <c r="J7">
        <v>2001</v>
      </c>
      <c r="L7">
        <v>355</v>
      </c>
      <c r="P7">
        <v>4</v>
      </c>
      <c r="Q7">
        <v>1</v>
      </c>
      <c r="S7">
        <v>504</v>
      </c>
      <c r="T7" s="64" t="s">
        <v>66</v>
      </c>
    </row>
    <row r="8" spans="2:24" x14ac:dyDescent="0.25">
      <c r="D8" s="16" t="s">
        <v>12</v>
      </c>
      <c r="E8" s="14">
        <v>6.63</v>
      </c>
      <c r="F8" s="14"/>
    </row>
    <row r="9" spans="2:24" ht="15.75" thickBot="1" x14ac:dyDescent="0.3">
      <c r="D9" s="15"/>
      <c r="E9" s="15"/>
    </row>
    <row r="10" spans="2:24" ht="18.75" x14ac:dyDescent="0.3">
      <c r="B10" s="23"/>
      <c r="C10" s="24"/>
      <c r="D10" s="25" t="s">
        <v>32</v>
      </c>
      <c r="E10" s="32">
        <f xml:space="preserve"> INDEX(electricity_cost31141822263034384246545058[Elect. Net cost to date
(TND)], COUNTA(I18:I20), 1) + E6</f>
        <v>40.311999999999998</v>
      </c>
      <c r="G10" s="67" t="s">
        <v>76</v>
      </c>
      <c r="H10" s="67"/>
    </row>
    <row r="11" spans="2:24" ht="45" x14ac:dyDescent="0.25">
      <c r="B11" s="26"/>
      <c r="C11" s="15"/>
      <c r="D11" s="27" t="s">
        <v>33</v>
      </c>
      <c r="E11" s="17" t="e">
        <f xml:space="preserve"> INDEX(#REF!, COUNTA(#REF!:#REF!), 1)  + E7</f>
        <v>#REF!</v>
      </c>
      <c r="H11" s="33" t="s">
        <v>75</v>
      </c>
      <c r="I11" s="33" t="s">
        <v>73</v>
      </c>
      <c r="J11" s="33" t="s">
        <v>74</v>
      </c>
      <c r="K11" s="33"/>
    </row>
    <row r="12" spans="2:24" ht="16.5" thickBot="1" x14ac:dyDescent="0.3">
      <c r="B12" s="28"/>
      <c r="C12" s="29"/>
      <c r="D12" s="30" t="s">
        <v>42</v>
      </c>
      <c r="E12" s="18" t="e">
        <f xml:space="preserve"> ((E10 + E11) * (1 + E5)) + E8</f>
        <v>#REF!</v>
      </c>
      <c r="G12" s="3" t="s">
        <v>39</v>
      </c>
      <c r="H12" s="34">
        <v>600</v>
      </c>
      <c r="I12" s="34">
        <v>600</v>
      </c>
      <c r="J12" s="51">
        <v>170</v>
      </c>
      <c r="L12">
        <v>1200</v>
      </c>
      <c r="M12">
        <v>302.27999999999997</v>
      </c>
    </row>
    <row r="13" spans="2:24" ht="15.75" x14ac:dyDescent="0.25">
      <c r="B13" s="68" t="s">
        <v>43</v>
      </c>
      <c r="C13" s="68"/>
      <c r="D13" s="68"/>
      <c r="E13" s="40"/>
      <c r="G13" s="3" t="s">
        <v>40</v>
      </c>
      <c r="H13" s="35">
        <v>700</v>
      </c>
      <c r="I13" s="35">
        <v>800</v>
      </c>
      <c r="J13" s="52">
        <v>450</v>
      </c>
      <c r="L13">
        <v>1500</v>
      </c>
      <c r="M13">
        <v>404.7</v>
      </c>
    </row>
    <row r="14" spans="2:24" x14ac:dyDescent="0.25">
      <c r="G14" s="3" t="s">
        <v>54</v>
      </c>
      <c r="H14" s="3" t="s">
        <v>55</v>
      </c>
      <c r="I14" s="3" t="s">
        <v>55</v>
      </c>
      <c r="J14" s="3">
        <v>630</v>
      </c>
    </row>
    <row r="17" spans="2:25" ht="60" x14ac:dyDescent="0.25">
      <c r="B17" s="5" t="s">
        <v>4</v>
      </c>
      <c r="C17" s="5" t="s">
        <v>18</v>
      </c>
      <c r="D17" s="5" t="s">
        <v>19</v>
      </c>
      <c r="E17" s="4" t="s">
        <v>5</v>
      </c>
      <c r="F17" s="5" t="s">
        <v>34</v>
      </c>
      <c r="G17" s="5" t="s">
        <v>53</v>
      </c>
      <c r="H17" s="4" t="s">
        <v>20</v>
      </c>
      <c r="I17" s="5" t="s">
        <v>16</v>
      </c>
      <c r="J17" s="5" t="s">
        <v>21</v>
      </c>
      <c r="K17" s="22" t="s">
        <v>22</v>
      </c>
      <c r="L17" s="22" t="s">
        <v>13</v>
      </c>
      <c r="M17" s="5" t="s">
        <v>8</v>
      </c>
      <c r="N17" s="5" t="s">
        <v>24</v>
      </c>
      <c r="O17" s="5" t="s">
        <v>23</v>
      </c>
      <c r="P17" s="4" t="s">
        <v>9</v>
      </c>
      <c r="Q17" s="5" t="s">
        <v>25</v>
      </c>
      <c r="R17" s="4" t="s">
        <v>26</v>
      </c>
      <c r="S17" s="5" t="s">
        <v>17</v>
      </c>
      <c r="T17" s="5" t="s">
        <v>27</v>
      </c>
      <c r="U17" s="5" t="s">
        <v>31</v>
      </c>
      <c r="V17" s="22" t="s">
        <v>52</v>
      </c>
      <c r="W17" s="48" t="s">
        <v>45</v>
      </c>
      <c r="X17" s="39" t="s">
        <v>59</v>
      </c>
    </row>
    <row r="18" spans="2:25" x14ac:dyDescent="0.25">
      <c r="B18" s="70">
        <v>28319</v>
      </c>
      <c r="C18" s="6">
        <v>44573</v>
      </c>
      <c r="D18" s="54">
        <v>44691</v>
      </c>
      <c r="E18" s="70">
        <v>28319</v>
      </c>
      <c r="F18" s="11">
        <f>electricity_cost31141822263034384246545058[[#This Row],[ Index (KWh)]]-electricity_cost31141822263034384246545058[[#This Row],[Original index 
(KWh)]]</f>
        <v>0</v>
      </c>
      <c r="G18" s="6">
        <v>44573</v>
      </c>
      <c r="H18" s="21">
        <f xml:space="preserve"> _xlfn.IFS(electricity_cost31141822263034384246545058[[#This Row],[Consumption to date (KWh)]] &lt;= K$4, 1, AND(K$4 &lt; electricity_cost31141822263034384246545058[[#This Row],[Consumption to date (KWh)]],  electricity_cost31141822263034384246545058[[#This Row],[Consumption to date (KWh)]]&lt;= K$5), 2, AND(K$5 &lt; electricity_cost31141822263034384246545058[[#This Row],[Consumption to date (KWh)]],  electricity_cost31141822263034384246545058[[#This Row],[Consumption to date (KWh)]]&lt;= K$6), 3, electricity_cost31141822263034384246545058[[#This Row],[Consumption to date (KWh)]] &gt; K$6, 4)</f>
        <v>1</v>
      </c>
      <c r="I18" s="12">
        <f>_xlfn.IFS(electricity_cost31141822263034384246545058[[#This Row],[Level (Elect)]]= 1, (electricity_cost31141822263034384246545058[[#This Row],[Consumption to date (KWh)]] * L$4)/1000, electricity_cost31141822263034384246545058[[#This Row],[Level (Elect)]] = 2, (K$4 * L$4 +((electricity_cost31141822263034384246545058[[#This Row],[Consumption to date (KWh)]] - K$4) * L$5))/1000,electricity_cost31141822263034384246545058[[#This Row],[Level (Elect)]] = 3, (K$4 * L$4 + (K$5-J$5) * L$5 + ((electricity_cost31141822263034384246545058[[#This Row],[Consumption to date (KWh)]] - K$5) * L$6))/1000, electricity_cost31141822263034384246545058[[#This Row],[Level (Elect)]] = 4, (K$4 * L$4 + (K$5-J$5) * L$5 + (K$6-J$6) * L$6 + ((electricity_cost31141822263034384246545058[[#This Row],[Consumption to date (KWh)]] - K$6) * L$7))/1000)</f>
        <v>0</v>
      </c>
      <c r="J18" s="10">
        <f xml:space="preserve"> (E$6 + electricity_cost31141822263034384246545058[[#This Row],[Elect. Net cost to date
(TND)]]) * (1 + E$5)</f>
        <v>34.691999999999993</v>
      </c>
      <c r="K18" s="12"/>
      <c r="L18" s="12"/>
      <c r="M18" s="11">
        <v>13643</v>
      </c>
      <c r="P18" s="11">
        <v>13643</v>
      </c>
      <c r="Q18" s="11">
        <f>gas_cost1071351923273135394347555159[[#This Row],[ Index (m3)]] - gas_cost1071351923273135394347555159[[#This Row],[Original index 
(m3)]]</f>
        <v>0</v>
      </c>
      <c r="R18" s="11">
        <f xml:space="preserve"> _xlfn.IFS(gas_cost1071351923273135394347555159[[#This Row],[Consumption (m3)]] &lt;= R$4, 1, AND(R$4 &lt; gas_cost1071351923273135394347555159[[#This Row],[Consumption (m3)]], gas_cost1071351923273135394347555159[[#This Row],[Consumption (m3)]] &lt;= R$5), 2, AND(R$5 &lt; gas_cost1071351923273135394347555159[[#This Row],[Consumption (m3)]], gas_cost1071351923273135394347555159[[#This Row],[Consumption (m3)]] &lt;= R$6), 3, gas_cost1071351923273135394347555159[[#This Row],[Consumption (m3)]] &gt; R$6, 4)</f>
        <v>1</v>
      </c>
      <c r="S18" s="12">
        <f>_xlfn.IFS(gas_cost1071351923273135394347555159[[#This Row],[Level (Gas)]]= 1, (gas_cost1071351923273135394347555159[[#This Row],[Consumption (m3)]] * S$4)/1000, gas_cost1071351923273135394347555159[[#This Row],[Level (Gas)]] = 2, (gas_cost1071351923273135394347555159[[#This Row],[Consumption (m3)]] * S$5)/1000,gas_cost1071351923273135394347555159[[#This Row],[Level (Gas)]] = 3, (gas_cost1071351923273135394347555159[[#This Row],[Consumption (m3)]] * S$6)/1000, gas_cost1071351923273135394347555159[[#This Row],[Level (Gas)]] = 4, (gas_cost1071351923273135394347555159[[#This Row],[Consumption (m3)]] * S$7)/1000)</f>
        <v>0</v>
      </c>
      <c r="T18" s="12">
        <f xml:space="preserve"> gas_cost1071351923273135394347555159[[#This Row],[Gas Net cost to date
(TND)]]* (1 + E$5)</f>
        <v>0</v>
      </c>
      <c r="U18" s="12"/>
      <c r="V18" s="12"/>
      <c r="W18" s="20">
        <f xml:space="preserve"> E$8 + ((electricity_cost31141822263034384246545058[[#This Row],[Elect. Net cost to date
(TND)]] + E$6 + gas_cost1071351923273135394347555159[[#This Row],[Gas Net cost to date
(TND)]] + E$7) * (1 + E$5))</f>
        <v>46.631999999999998</v>
      </c>
      <c r="X18" s="38"/>
      <c r="Y18" s="37"/>
    </row>
    <row r="19" spans="2:25" x14ac:dyDescent="0.25">
      <c r="B19" s="70">
        <v>28319</v>
      </c>
      <c r="C19" s="6">
        <v>44573</v>
      </c>
      <c r="D19" s="54">
        <v>44691</v>
      </c>
      <c r="E19" s="70">
        <v>28323</v>
      </c>
      <c r="F19" s="11">
        <f>electricity_cost31141822263034384246545058[[#This Row],[ Index (KWh)]]-electricity_cost31141822263034384246545058[[#This Row],[Original index 
(KWh)]]</f>
        <v>4</v>
      </c>
      <c r="G19" s="6">
        <v>44575</v>
      </c>
      <c r="H19" s="21">
        <f xml:space="preserve"> _xlfn.IFS(electricity_cost31141822263034384246545058[[#This Row],[Consumption to date (KWh)]] &lt;= K$4, 1, AND(K$4 &lt; electricity_cost31141822263034384246545058[[#This Row],[Consumption to date (KWh)]],  electricity_cost31141822263034384246545058[[#This Row],[Consumption to date (KWh)]]&lt;= K$5), 2, AND(K$5 &lt; electricity_cost31141822263034384246545058[[#This Row],[Consumption to date (KWh)]],  electricity_cost31141822263034384246545058[[#This Row],[Consumption to date (KWh)]]&lt;= K$6), 3, electricity_cost31141822263034384246545058[[#This Row],[Consumption to date (KWh)]] &gt; K$6, 4)</f>
        <v>1</v>
      </c>
      <c r="I19" s="12">
        <f>_xlfn.IFS(electricity_cost31141822263034384246545058[[#This Row],[Level (Elect)]]= 1, (electricity_cost31141822263034384246545058[[#This Row],[Consumption to date (KWh)]] * L$4)/1000, electricity_cost31141822263034384246545058[[#This Row],[Level (Elect)]] = 2, (K$4 * L$4 +((electricity_cost31141822263034384246545058[[#This Row],[Consumption to date (KWh)]] - K$4) * L$5))/1000,electricity_cost31141822263034384246545058[[#This Row],[Level (Elect)]] = 3, (K$4 * L$4 + (K$5-J$5) * L$5 + ((electricity_cost31141822263034384246545058[[#This Row],[Consumption to date (KWh)]] - K$5) * L$6))/1000, electricity_cost31141822263034384246545058[[#This Row],[Level (Elect)]] = 4, (K$4 * L$4 + (K$5-J$5) * L$5 + (K$6-J$6) * L$6 + ((electricity_cost31141822263034384246545058[[#This Row],[Consumption to date (KWh)]] - K$6) * L$7))/1000)</f>
        <v>0.70399999999999996</v>
      </c>
      <c r="J19" s="10">
        <f xml:space="preserve"> (E$6 + electricity_cost31141822263034384246545058[[#This Row],[Elect. Net cost to date
(TND)]]) * (1 + E$5)</f>
        <v>35.52272</v>
      </c>
      <c r="K19" s="12">
        <f>(electricity_cost31141822263034384246545058[[#This Row],[Elect. Cost  VAT included
(TND)
]]-J18)/_xlfn.DAYS(electricity_cost31141822263034384246545058[[#This Row],[Date of reading 
(Elect + Gas)]], G18)</f>
        <v>0.41536000000000328</v>
      </c>
      <c r="L19" s="12">
        <f>(electricity_cost31141822263034384246545058[[#This Row],[Consumption to date (KWh)]] - F18)/_xlfn.DAYS(electricity_cost31141822263034384246545058[[#This Row],[Date of reading 
(Elect + Gas)]], G18)</f>
        <v>2</v>
      </c>
      <c r="M19" s="11">
        <v>13643</v>
      </c>
      <c r="P19" s="11">
        <v>13654</v>
      </c>
      <c r="Q19" s="11">
        <f>gas_cost1071351923273135394347555159[[#This Row],[ Index (m3)]] - gas_cost1071351923273135394347555159[[#This Row],[Original index 
(m3)]]</f>
        <v>11</v>
      </c>
      <c r="R19" s="11">
        <f xml:space="preserve"> _xlfn.IFS(gas_cost1071351923273135394347555159[[#This Row],[Consumption (m3)]] &lt;= R$4, 1, AND(R$4 &lt; gas_cost1071351923273135394347555159[[#This Row],[Consumption (m3)]], gas_cost1071351923273135394347555159[[#This Row],[Consumption (m3)]] &lt;= R$5), 2, AND(R$5 &lt; gas_cost1071351923273135394347555159[[#This Row],[Consumption (m3)]], gas_cost1071351923273135394347555159[[#This Row],[Consumption (m3)]] &lt;= R$6), 3, gas_cost1071351923273135394347555159[[#This Row],[Consumption (m3)]] &gt; R$6, 4)</f>
        <v>1</v>
      </c>
      <c r="S19" s="12">
        <f>_xlfn.IFS(gas_cost1071351923273135394347555159[[#This Row],[Level (Gas)]]= 1, (gas_cost1071351923273135394347555159[[#This Row],[Consumption (m3)]] * S$4)/1000, gas_cost1071351923273135394347555159[[#This Row],[Level (Gas)]] = 2, (gas_cost1071351923273135394347555159[[#This Row],[Consumption (m3)]] * S$5)/1000,gas_cost1071351923273135394347555159[[#This Row],[Level (Gas)]] = 3, (gas_cost1071351923273135394347555159[[#This Row],[Consumption (m3)]] * S$6)/1000, gas_cost1071351923273135394347555159[[#This Row],[Level (Gas)]] = 4, (gas_cost1071351923273135394347555159[[#This Row],[Consumption (m3)]] * S$7)/1000)</f>
        <v>2.5409999999999999</v>
      </c>
      <c r="T19" s="12">
        <f xml:space="preserve"> gas_cost1071351923273135394347555159[[#This Row],[Gas Net cost to date
(TND)]]* (1 + E$5)</f>
        <v>2.9983799999999996</v>
      </c>
      <c r="U19" s="12">
        <f>(gas_cost1071351923273135394347555159[[#This Row],[Gas Cost to date  VAT included
(TND)
]] - T18)/_xlfn.DAYS(electricity_cost31141822263034384246545058[[#This Row],[Date of reading 
(Elect + Gas)]], G18)</f>
        <v>1.4991899999999998</v>
      </c>
      <c r="V19" s="12">
        <f>(gas_cost1071351923273135394347555159[[#This Row],[Consumption (m3)]] - Q18)/_xlfn.DAYS(electricity_cost31141822263034384246545058[[#This Row],[Date of reading 
(Elect + Gas)]], G18)</f>
        <v>5.5</v>
      </c>
      <c r="W19" s="20">
        <f xml:space="preserve"> E$8 + ((electricity_cost31141822263034384246545058[[#This Row],[Elect. Net cost to date
(TND)]] + E$6 + gas_cost1071351923273135394347555159[[#This Row],[Gas Net cost to date
(TND)]] + E$7) * (1 + E$5))</f>
        <v>50.461099999999995</v>
      </c>
      <c r="X19" s="38"/>
    </row>
    <row r="20" spans="2:25" x14ac:dyDescent="0.25">
      <c r="B20" s="70">
        <v>28319</v>
      </c>
      <c r="C20" s="6">
        <v>44573</v>
      </c>
      <c r="D20" s="54">
        <v>44691</v>
      </c>
      <c r="E20" s="70">
        <v>28381</v>
      </c>
      <c r="F20" s="11">
        <f>electricity_cost31141822263034384246545058[[#This Row],[ Index (KWh)]]-electricity_cost31141822263034384246545058[[#This Row],[Original index 
(KWh)]]</f>
        <v>62</v>
      </c>
      <c r="G20" s="6">
        <v>44586</v>
      </c>
      <c r="H20" s="21">
        <f xml:space="preserve"> _xlfn.IFS(electricity_cost31141822263034384246545058[[#This Row],[Consumption to date (KWh)]] &lt;= K$4, 1, AND(K$4 &lt; electricity_cost31141822263034384246545058[[#This Row],[Consumption to date (KWh)]],  electricity_cost31141822263034384246545058[[#This Row],[Consumption to date (KWh)]]&lt;= K$5), 2, AND(K$5 &lt; electricity_cost31141822263034384246545058[[#This Row],[Consumption to date (KWh)]],  electricity_cost31141822263034384246545058[[#This Row],[Consumption to date (KWh)]]&lt;= K$6), 3, electricity_cost31141822263034384246545058[[#This Row],[Consumption to date (KWh)]] &gt; K$6, 4)</f>
        <v>1</v>
      </c>
      <c r="I20" s="12">
        <f>_xlfn.IFS(electricity_cost31141822263034384246545058[[#This Row],[Level (Elect)]]= 1, (electricity_cost31141822263034384246545058[[#This Row],[Consumption to date (KWh)]] * L$4)/1000, electricity_cost31141822263034384246545058[[#This Row],[Level (Elect)]] = 2, (K$4 * L$4 +((electricity_cost31141822263034384246545058[[#This Row],[Consumption to date (KWh)]] - K$4) * L$5))/1000,electricity_cost31141822263034384246545058[[#This Row],[Level (Elect)]] = 3, (K$4 * L$4 + (K$5-J$5) * L$5 + ((electricity_cost31141822263034384246545058[[#This Row],[Consumption to date (KWh)]] - K$5) * L$6))/1000, electricity_cost31141822263034384246545058[[#This Row],[Level (Elect)]] = 4, (K$4 * L$4 + (K$5-J$5) * L$5 + (K$6-J$6) * L$6 + ((electricity_cost31141822263034384246545058[[#This Row],[Consumption to date (KWh)]] - K$6) * L$7))/1000)</f>
        <v>10.912000000000001</v>
      </c>
      <c r="J20" s="10">
        <f xml:space="preserve"> (E$6 + electricity_cost31141822263034384246545058[[#This Row],[Elect. Net cost to date
(TND)]]) * (1 + E$5)</f>
        <v>47.568159999999992</v>
      </c>
      <c r="K20" s="12">
        <f>electricity_cost31141822263034384246545058[[#This Row],[Elect. Cost  VAT included
(TND)
]]-J19/(electricity_cost31141822263034384246545058[[#This Row],[Date of reading 
(Elect + Gas)]]-G19)</f>
        <v>44.338821818181813</v>
      </c>
      <c r="L20" s="12">
        <f>(electricity_cost31141822263034384246545058[[#This Row],[Consumption to date (KWh)]] - F19)/_xlfn.DAYS(electricity_cost31141822263034384246545058[[#This Row],[Date of reading 
(Elect + Gas)]], G19)</f>
        <v>5.2727272727272725</v>
      </c>
      <c r="M20" s="11">
        <v>13643</v>
      </c>
      <c r="P20" s="11">
        <v>13762</v>
      </c>
      <c r="Q20" s="11">
        <f>gas_cost1071351923273135394347555159[[#This Row],[ Index (m3)]] - gas_cost1071351923273135394347555159[[#This Row],[Original index 
(m3)]]</f>
        <v>119</v>
      </c>
      <c r="R20" s="11">
        <f xml:space="preserve"> _xlfn.IFS(gas_cost1071351923273135394347555159[[#This Row],[Consumption (m3)]] &lt;= R$4, 1, AND(R$4 &lt; gas_cost1071351923273135394347555159[[#This Row],[Consumption (m3)]], gas_cost1071351923273135394347555159[[#This Row],[Consumption (m3)]] &lt;= R$5), 2, AND(R$5 &lt; gas_cost1071351923273135394347555159[[#This Row],[Consumption (m3)]], gas_cost1071351923273135394347555159[[#This Row],[Consumption (m3)]] &lt;= R$6), 3, gas_cost1071351923273135394347555159[[#This Row],[Consumption (m3)]] &gt; R$6, 4)</f>
        <v>1</v>
      </c>
      <c r="S20" s="12">
        <f>_xlfn.IFS(gas_cost1071351923273135394347555159[[#This Row],[Level (Gas)]]= 1, (gas_cost1071351923273135394347555159[[#This Row],[Consumption (m3)]] * S$4)/1000, gas_cost1071351923273135394347555159[[#This Row],[Level (Gas)]] = 2, (gas_cost1071351923273135394347555159[[#This Row],[Consumption (m3)]] * S$5)/1000,gas_cost1071351923273135394347555159[[#This Row],[Level (Gas)]] = 3, (gas_cost1071351923273135394347555159[[#This Row],[Consumption (m3)]] * S$6)/1000, gas_cost1071351923273135394347555159[[#This Row],[Level (Gas)]] = 4, (gas_cost1071351923273135394347555159[[#This Row],[Consumption (m3)]] * S$7)/1000)</f>
        <v>27.489000000000001</v>
      </c>
      <c r="T20" s="12">
        <f xml:space="preserve"> gas_cost1071351923273135394347555159[[#This Row],[Gas Net cost to date
(TND)]]* (1 + E$5)</f>
        <v>32.437019999999997</v>
      </c>
      <c r="U20" s="12">
        <f>(gas_cost1071351923273135394347555159[[#This Row],[Gas Cost to date  VAT included
(TND)
]] - T19)/_xlfn.DAYS(electricity_cost31141822263034384246545058[[#This Row],[Date of reading 
(Elect + Gas)]], G19)</f>
        <v>2.6762399999999995</v>
      </c>
      <c r="V20" s="12">
        <f>(gas_cost1071351923273135394347555159[[#This Row],[Consumption (m3)]] - Q19)/_xlfn.DAYS(electricity_cost31141822263034384246545058[[#This Row],[Date of reading 
(Elect + Gas)]], G19)</f>
        <v>9.8181818181818183</v>
      </c>
      <c r="W20" s="20">
        <f xml:space="preserve"> E$8 + ((electricity_cost31141822263034384246545058[[#This Row],[Elect. Net cost to date
(TND)]] + E$6 + gas_cost1071351923273135394347555159[[#This Row],[Gas Net cost to date
(TND)]] + E$7) * (1 + E$5))</f>
        <v>91.945179999999993</v>
      </c>
      <c r="X20" s="38"/>
    </row>
    <row r="21" spans="2:25" x14ac:dyDescent="0.25">
      <c r="B21" s="69"/>
      <c r="C21" s="6"/>
      <c r="D21" s="55"/>
      <c r="F21" s="11"/>
      <c r="G21" s="6"/>
      <c r="H21" s="21"/>
      <c r="I21" s="12"/>
      <c r="J21" s="10"/>
      <c r="K21" s="12"/>
      <c r="L21" s="12"/>
      <c r="M21" s="11"/>
      <c r="P21" s="11"/>
      <c r="Q21" s="11"/>
      <c r="R21" s="11"/>
      <c r="S21" s="12"/>
      <c r="T21" s="12"/>
      <c r="U21" s="12"/>
      <c r="V21" s="12"/>
      <c r="W21" s="20"/>
      <c r="X21" s="38"/>
    </row>
    <row r="22" spans="2:25" x14ac:dyDescent="0.25">
      <c r="B22" s="69"/>
      <c r="C22" s="6"/>
      <c r="D22" s="55"/>
      <c r="F22" s="11"/>
      <c r="G22" s="6"/>
      <c r="H22" s="21"/>
      <c r="I22" s="12"/>
      <c r="J22" s="10"/>
      <c r="K22" s="12"/>
      <c r="L22" s="12"/>
      <c r="M22" s="11"/>
      <c r="P22" s="11"/>
      <c r="Q22" s="11"/>
      <c r="R22" s="11"/>
      <c r="S22" s="12"/>
      <c r="T22" s="12"/>
      <c r="U22" s="12"/>
      <c r="V22" s="12"/>
      <c r="W22" s="20"/>
      <c r="X22" s="38"/>
    </row>
    <row r="23" spans="2:25" x14ac:dyDescent="0.25">
      <c r="B23" s="69"/>
      <c r="C23" s="6"/>
      <c r="D23" s="55"/>
      <c r="F23" s="11"/>
      <c r="G23" s="6"/>
      <c r="H23" s="21"/>
      <c r="I23" s="12"/>
      <c r="J23" s="10"/>
      <c r="K23" s="12"/>
      <c r="L23" s="12"/>
      <c r="M23" s="11"/>
      <c r="P23" s="11"/>
      <c r="Q23" s="11"/>
      <c r="R23" s="11"/>
      <c r="S23" s="12"/>
      <c r="T23" s="12"/>
      <c r="U23" s="12"/>
      <c r="V23" s="12"/>
      <c r="W23" s="20"/>
      <c r="X23" s="38"/>
    </row>
    <row r="24" spans="2:25" x14ac:dyDescent="0.25">
      <c r="C24" s="6"/>
      <c r="D24" s="55"/>
      <c r="F24" s="11"/>
      <c r="G24" s="6"/>
      <c r="H24" s="21"/>
      <c r="I24" s="12"/>
      <c r="J24" s="10"/>
      <c r="K24" s="12"/>
      <c r="L24" s="12"/>
      <c r="M24" s="11"/>
      <c r="P24" s="11"/>
      <c r="Q24" s="11"/>
      <c r="R24" s="11"/>
      <c r="S24" s="12"/>
      <c r="T24" s="12"/>
      <c r="U24" s="12"/>
      <c r="V24" s="12"/>
      <c r="W24" s="20"/>
      <c r="X24" s="38"/>
    </row>
    <row r="25" spans="2:25" x14ac:dyDescent="0.25">
      <c r="M25" s="11"/>
      <c r="P25" s="11"/>
      <c r="Q25" s="11"/>
      <c r="R25" s="11"/>
      <c r="S25" s="12"/>
      <c r="T25" s="12"/>
      <c r="U25" s="12"/>
      <c r="V25" s="12"/>
      <c r="W25" s="20"/>
      <c r="X25" s="38"/>
    </row>
    <row r="26" spans="2:25" x14ac:dyDescent="0.25">
      <c r="M26" s="11"/>
      <c r="P26" s="11"/>
      <c r="Q26" s="11"/>
      <c r="R26" s="11"/>
      <c r="S26" s="12"/>
      <c r="T26" s="12"/>
      <c r="U26" s="12"/>
      <c r="V26" s="66"/>
      <c r="W26" s="20"/>
      <c r="X26" s="38"/>
    </row>
  </sheetData>
  <mergeCells count="2">
    <mergeCell ref="G10:H10"/>
    <mergeCell ref="B13:D13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STEG - Sept. 2017</vt:lpstr>
      <vt:lpstr>STEG - Jan. 2018</vt:lpstr>
      <vt:lpstr>STEG - May 2018</vt:lpstr>
      <vt:lpstr>STEG - Sep 2018</vt:lpstr>
      <vt:lpstr>STEG - Jan 2019</vt:lpstr>
      <vt:lpstr>STEG - Mai 2019</vt:lpstr>
      <vt:lpstr>STEG - Sept 2019</vt:lpstr>
      <vt:lpstr>STEG - jan 2020</vt:lpstr>
      <vt:lpstr>STEG - Mai 2020</vt:lpstr>
      <vt:lpstr>STEG - Sep 2020</vt:lpstr>
      <vt:lpstr>STEG - Jan 2021</vt:lpstr>
      <vt:lpstr>STEG - May 2021</vt:lpstr>
      <vt:lpstr>STEG - Sep 2021</vt:lpstr>
      <vt:lpstr>STEG - Jan 2022</vt:lpstr>
      <vt:lpstr>STEG - May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Zairi, Sofien</dc:creator>
  <cp:lastModifiedBy>Zairi, Sofien</cp:lastModifiedBy>
  <dcterms:created xsi:type="dcterms:W3CDTF">2017-06-23T06:57:38Z</dcterms:created>
  <dcterms:modified xsi:type="dcterms:W3CDTF">2022-01-25T08:15:39Z</dcterms:modified>
</cp:coreProperties>
</file>