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1079458\work\finance\Assurance vie\GAT_vista_motivation\tax_year_2025\"/>
    </mc:Choice>
  </mc:AlternateContent>
  <xr:revisionPtr revIDLastSave="0" documentId="13_ncr:1_{F6A1C0AB-E56C-4D37-AFD8-CF9CC9D220D9}" xr6:coauthVersionLast="47" xr6:coauthVersionMax="47" xr10:uidLastSave="{00000000-0000-0000-0000-000000000000}"/>
  <bookViews>
    <workbookView xWindow="-51285" yWindow="24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" l="1"/>
  <c r="D41" i="1"/>
  <c r="F8" i="1"/>
  <c r="F9" i="1" s="1"/>
  <c r="F5" i="1"/>
  <c r="F6" i="1"/>
  <c r="D6" i="1"/>
  <c r="E36" i="1"/>
  <c r="E35" i="1"/>
  <c r="E27" i="1"/>
  <c r="E37" i="1"/>
  <c r="E48" i="1" s="1"/>
  <c r="D35" i="1"/>
  <c r="E8" i="1"/>
  <c r="E19" i="1"/>
  <c r="S35" i="1"/>
  <c r="E44" i="1" l="1"/>
  <c r="S31" i="1"/>
  <c r="J31" i="1"/>
  <c r="L31" i="1"/>
  <c r="E45" i="1" l="1"/>
  <c r="E46" i="1"/>
  <c r="J35" i="1"/>
  <c r="L35" i="1"/>
  <c r="N35" i="1"/>
  <c r="P35" i="1"/>
  <c r="P31" i="1"/>
  <c r="N31" i="1"/>
  <c r="E47" i="1" l="1"/>
  <c r="E25" i="1"/>
  <c r="E22" i="1"/>
  <c r="E49" i="1" l="1"/>
  <c r="E51" i="1"/>
  <c r="E30" i="1"/>
  <c r="E5" i="1"/>
  <c r="E6" i="1"/>
  <c r="E9" i="1" l="1"/>
</calcChain>
</file>

<file path=xl/sharedStrings.xml><?xml version="1.0" encoding="utf-8"?>
<sst xmlns="http://schemas.openxmlformats.org/spreadsheetml/2006/main" count="31" uniqueCount="30">
  <si>
    <t>Bonus name</t>
  </si>
  <si>
    <t>Individual contrbution</t>
  </si>
  <si>
    <t>Annual bonus</t>
  </si>
  <si>
    <t>Epargne BIAT</t>
  </si>
  <si>
    <t>Bonus amount</t>
  </si>
  <si>
    <t>Retraite complementaire (Astree)</t>
  </si>
  <si>
    <t>N/A</t>
  </si>
  <si>
    <t>Star Incentive Plan (SIP)</t>
  </si>
  <si>
    <t>SIP =</t>
  </si>
  <si>
    <t xml:space="preserve">Sum = </t>
  </si>
  <si>
    <t>Brut imposable =</t>
  </si>
  <si>
    <t>Prêt ABC (Charge mensuelle qui sera deduite du salaire)</t>
  </si>
  <si>
    <t>Prime assurance vie optimale</t>
  </si>
  <si>
    <t>Gain mensuel net =</t>
  </si>
  <si>
    <t>Gain d'impts ( pour une epargne x)</t>
  </si>
  <si>
    <t>Interets du credit ABC 2025</t>
  </si>
  <si>
    <t>Interets du credit ABC 2024</t>
  </si>
  <si>
    <t>Gain d'impots (pour une epargne x)</t>
  </si>
  <si>
    <t>Net 2025 (After deducting new tax, and reducing Astree individual contrib) =</t>
  </si>
  <si>
    <t>Astree monthly individual contrib</t>
  </si>
  <si>
    <t>Gain IRPP mensuel net (without new tax) =</t>
  </si>
  <si>
    <t>Net 2024 (After deducting Astree individual contrib) =</t>
  </si>
  <si>
    <t>tax increase (between 2024 and 2025)</t>
  </si>
  <si>
    <t>Monthly Net basic 2024 (Using Tunisie-paie simulator)</t>
  </si>
  <si>
    <t>Monthly Net basic 2025 (Using Tunisie-paie simulator)</t>
  </si>
  <si>
    <t>Offset of tax variation (After including le gain IRPP increase)</t>
  </si>
  <si>
    <t>Gain IRPP increase (between 2024 and 2025 for the same investment i.e. 63 k)</t>
  </si>
  <si>
    <t>January 2025 net (after deducting new tax + astree contrib. + last yer ABC loan interest)</t>
  </si>
  <si>
    <t>Individual contribution offset</t>
  </si>
  <si>
    <t>April 2025 net (after deducting new tax + astree contrib. + last yer ABC loan interest + 2025 ABC loan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</si>
</sst>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22419-A829-44EE-820C-533ECE9164E4}" name="Table1" displayName="Table1" ref="C4:F8" totalsRowShown="0">
  <autoFilter ref="C4:F8" xr:uid="{08622419-A829-44EE-820C-533ECE9164E4}"/>
  <tableColumns count="4">
    <tableColumn id="1" xr3:uid="{E254770E-03A7-4747-BF9E-34C93C363AF2}" name="Bonus name"/>
    <tableColumn id="2" xr3:uid="{E2272AC9-6BFD-4490-A716-9F4C966B62A6}" name="Bonus amount"/>
    <tableColumn id="3" xr3:uid="{C88DDF50-AC1A-4139-82D6-461DAFC4F074}" name="Individual contrbution" dataDxfId="1">
      <calculatedColumnFormula>Table1[[#This Row],[Bonus amount]]*0.05</calculatedColumnFormula>
    </tableColumn>
    <tableColumn id="4" xr3:uid="{E89868A2-9C2B-4F4B-A5FC-E69EE78258E0}" name="Individual contribution offset" dataDxfId="0">
      <calculatedColumnFormula>Table1[[#This Row],[Bonus amount]]*(0.05 * 0.4)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52"/>
  <sheetViews>
    <sheetView tabSelected="1" topLeftCell="A46" workbookViewId="0">
      <selection activeCell="E52" sqref="E52"/>
    </sheetView>
  </sheetViews>
  <sheetFormatPr defaultRowHeight="15" x14ac:dyDescent="0.25"/>
  <cols>
    <col min="2" max="2" width="21.28515625" customWidth="1"/>
    <col min="3" max="3" width="36.5703125" customWidth="1"/>
    <col min="4" max="4" width="32.7109375" customWidth="1"/>
    <col min="5" max="5" width="21.7109375" customWidth="1"/>
    <col min="6" max="6" width="29.5703125" customWidth="1"/>
  </cols>
  <sheetData>
    <row r="4" spans="3:9" x14ac:dyDescent="0.25">
      <c r="C4" t="s">
        <v>0</v>
      </c>
      <c r="D4" t="s">
        <v>4</v>
      </c>
      <c r="E4" t="s">
        <v>1</v>
      </c>
      <c r="F4" t="s">
        <v>28</v>
      </c>
    </row>
    <row r="5" spans="3:9" x14ac:dyDescent="0.25">
      <c r="C5" t="s">
        <v>2</v>
      </c>
      <c r="D5">
        <v>15000</v>
      </c>
      <c r="E5">
        <f>Table1[[#This Row],[Bonus amount]]*0.05</f>
        <v>750</v>
      </c>
      <c r="F5">
        <f>Table1[[#This Row],[Bonus amount]]*(0.05 * 0.4)</f>
        <v>300.00000000000006</v>
      </c>
    </row>
    <row r="6" spans="3:9" x14ac:dyDescent="0.25">
      <c r="C6" t="s">
        <v>7</v>
      </c>
      <c r="D6">
        <f>4400*3</f>
        <v>13200</v>
      </c>
      <c r="E6">
        <f>Table1[[#This Row],[Bonus amount]]*0.05</f>
        <v>660</v>
      </c>
      <c r="F6">
        <f>Table1[[#This Row],[Bonus amount]]*(0.05 * 0.4)</f>
        <v>264.00000000000006</v>
      </c>
    </row>
    <row r="7" spans="3:9" x14ac:dyDescent="0.25">
      <c r="C7" t="s">
        <v>3</v>
      </c>
      <c r="D7" t="s">
        <v>6</v>
      </c>
      <c r="E7">
        <v>1200</v>
      </c>
      <c r="F7">
        <v>1200</v>
      </c>
    </row>
    <row r="8" spans="3:9" x14ac:dyDescent="0.25">
      <c r="C8" t="s">
        <v>5</v>
      </c>
      <c r="D8" t="s">
        <v>6</v>
      </c>
      <c r="E8">
        <f>414.337*12</f>
        <v>4972.0439999999999</v>
      </c>
      <c r="F8">
        <f xml:space="preserve"> (414.337 * 0.4) * 12</f>
        <v>1988.8176000000001</v>
      </c>
      <c r="I8">
        <v>394</v>
      </c>
    </row>
    <row r="9" spans="3:9" x14ac:dyDescent="0.25">
      <c r="D9" s="1" t="s">
        <v>9</v>
      </c>
      <c r="E9">
        <f>SUM(Table1[Individual contrbution])</f>
        <v>7582.0439999999999</v>
      </c>
      <c r="F9">
        <f>SUM(Table1[Individual contribution offset])</f>
        <v>3752.8176000000003</v>
      </c>
    </row>
    <row r="12" spans="3:9" x14ac:dyDescent="0.25">
      <c r="E12" s="1"/>
    </row>
    <row r="19" spans="2:19" x14ac:dyDescent="0.25">
      <c r="D19" s="1" t="s">
        <v>8</v>
      </c>
      <c r="E19">
        <f xml:space="preserve"> (4400*3 ) * (1 + 0.21)</f>
        <v>15972</v>
      </c>
    </row>
    <row r="22" spans="2:19" x14ac:dyDescent="0.25">
      <c r="D22" t="s">
        <v>10</v>
      </c>
      <c r="E22">
        <f xml:space="preserve"> 11937.908 * 12</f>
        <v>143254.89600000001</v>
      </c>
    </row>
    <row r="25" spans="2:19" ht="35.450000000000003" customHeight="1" x14ac:dyDescent="0.25">
      <c r="B25" s="3">
        <v>2024</v>
      </c>
      <c r="C25" s="2" t="s">
        <v>11</v>
      </c>
      <c r="D25">
        <v>30000</v>
      </c>
      <c r="E25">
        <f xml:space="preserve"> (D25 * 0.0975) / 12</f>
        <v>243.75</v>
      </c>
    </row>
    <row r="26" spans="2:19" ht="36" customHeight="1" x14ac:dyDescent="0.25">
      <c r="B26" s="3"/>
      <c r="C26" s="2" t="s">
        <v>12</v>
      </c>
      <c r="D26">
        <v>70983</v>
      </c>
    </row>
    <row r="27" spans="2:19" ht="38.450000000000003" customHeight="1" x14ac:dyDescent="0.25">
      <c r="B27" s="3"/>
      <c r="C27" s="2" t="s">
        <v>14</v>
      </c>
      <c r="D27">
        <v>63000</v>
      </c>
      <c r="E27">
        <f>(D27*0.35) / 12</f>
        <v>1837.5</v>
      </c>
    </row>
    <row r="28" spans="2:19" x14ac:dyDescent="0.25">
      <c r="B28" s="3"/>
    </row>
    <row r="29" spans="2:19" x14ac:dyDescent="0.25">
      <c r="B29" s="3"/>
    </row>
    <row r="30" spans="2:19" x14ac:dyDescent="0.25">
      <c r="B30" s="3"/>
      <c r="D30" t="s">
        <v>13</v>
      </c>
      <c r="E30">
        <f xml:space="preserve"> E27 - E25</f>
        <v>1593.75</v>
      </c>
    </row>
    <row r="31" spans="2:19" x14ac:dyDescent="0.25">
      <c r="J31">
        <f>42000+20000</f>
        <v>62000</v>
      </c>
      <c r="L31">
        <f>40000+20000</f>
        <v>60000</v>
      </c>
      <c r="N31">
        <f>50000+10000</f>
        <v>60000</v>
      </c>
      <c r="P31">
        <f>52000+10000</f>
        <v>62000</v>
      </c>
      <c r="S31">
        <f>32000 + 30000</f>
        <v>62000</v>
      </c>
    </row>
    <row r="32" spans="2:19" x14ac:dyDescent="0.25">
      <c r="J32">
        <v>1808</v>
      </c>
      <c r="L32">
        <v>1750</v>
      </c>
      <c r="N32">
        <v>1750</v>
      </c>
      <c r="P32">
        <v>1808</v>
      </c>
      <c r="S32">
        <v>1808</v>
      </c>
    </row>
    <row r="33" spans="2:19" x14ac:dyDescent="0.25">
      <c r="J33">
        <v>1645</v>
      </c>
      <c r="L33">
        <v>1587</v>
      </c>
      <c r="N33">
        <v>1668.75</v>
      </c>
      <c r="P33">
        <v>1727</v>
      </c>
      <c r="S33">
        <v>1565</v>
      </c>
    </row>
    <row r="35" spans="2:19" x14ac:dyDescent="0.25">
      <c r="B35" s="4">
        <v>2025</v>
      </c>
      <c r="C35" t="s">
        <v>16</v>
      </c>
      <c r="D35">
        <f>D25</f>
        <v>30000</v>
      </c>
      <c r="E35">
        <f xml:space="preserve"> (D35 * 0.0975) / 12 + 40</f>
        <v>283.75</v>
      </c>
      <c r="J35">
        <f>J33*12</f>
        <v>19740</v>
      </c>
      <c r="L35">
        <f>L33*12</f>
        <v>19044</v>
      </c>
      <c r="N35">
        <f>N33*12</f>
        <v>20025</v>
      </c>
      <c r="P35">
        <f>P33*12</f>
        <v>20724</v>
      </c>
      <c r="S35">
        <f>S33*12</f>
        <v>18780</v>
      </c>
    </row>
    <row r="36" spans="2:19" x14ac:dyDescent="0.25">
      <c r="B36" s="4"/>
      <c r="C36" t="s">
        <v>15</v>
      </c>
      <c r="D36">
        <v>50000</v>
      </c>
      <c r="E36">
        <f xml:space="preserve"> ((D36 * 0.0975) / 12) + 40</f>
        <v>446.25</v>
      </c>
    </row>
    <row r="37" spans="2:19" x14ac:dyDescent="0.25">
      <c r="B37" s="4"/>
      <c r="C37" t="s">
        <v>17</v>
      </c>
      <c r="D37">
        <v>63000</v>
      </c>
      <c r="E37">
        <f>(D37*0.4) / 12</f>
        <v>2100</v>
      </c>
    </row>
    <row r="38" spans="2:19" x14ac:dyDescent="0.25">
      <c r="B38" s="4"/>
    </row>
    <row r="39" spans="2:19" x14ac:dyDescent="0.25">
      <c r="B39" s="4"/>
      <c r="C39" t="s">
        <v>23</v>
      </c>
      <c r="D39">
        <v>8531.1010000000006</v>
      </c>
    </row>
    <row r="40" spans="2:19" x14ac:dyDescent="0.25">
      <c r="B40" s="4"/>
      <c r="C40" t="s">
        <v>24</v>
      </c>
      <c r="D40" s="2">
        <v>8110.76</v>
      </c>
    </row>
    <row r="41" spans="2:19" x14ac:dyDescent="0.25">
      <c r="B41" s="4"/>
      <c r="C41" t="s">
        <v>19</v>
      </c>
      <c r="D41">
        <f xml:space="preserve"> 414.337 * 0.6</f>
        <v>248.60219999999998</v>
      </c>
    </row>
    <row r="42" spans="2:19" x14ac:dyDescent="0.25">
      <c r="B42" s="4"/>
    </row>
    <row r="43" spans="2:19" x14ac:dyDescent="0.25">
      <c r="B43" s="4"/>
    </row>
    <row r="44" spans="2:19" x14ac:dyDescent="0.25">
      <c r="B44" s="4"/>
      <c r="D44" t="s">
        <v>20</v>
      </c>
      <c r="E44">
        <f xml:space="preserve"> E37 - (E35 + E36)</f>
        <v>1370</v>
      </c>
    </row>
    <row r="45" spans="2:19" ht="46.15" customHeight="1" x14ac:dyDescent="0.25">
      <c r="D45" s="2" t="s">
        <v>18</v>
      </c>
      <c r="E45">
        <f>(D40 + E44) - D41</f>
        <v>9232.1578000000009</v>
      </c>
    </row>
    <row r="46" spans="2:19" ht="30" x14ac:dyDescent="0.25">
      <c r="D46" s="2" t="s">
        <v>21</v>
      </c>
      <c r="E46">
        <f xml:space="preserve"> (D39 + E44) - D41</f>
        <v>9652.4988000000012</v>
      </c>
    </row>
    <row r="47" spans="2:19" x14ac:dyDescent="0.25">
      <c r="D47" t="s">
        <v>22</v>
      </c>
      <c r="E47">
        <f xml:space="preserve"> E46 - E45</f>
        <v>420.34100000000035</v>
      </c>
    </row>
    <row r="48" spans="2:19" ht="45" x14ac:dyDescent="0.25">
      <c r="D48" s="2" t="s">
        <v>26</v>
      </c>
      <c r="E48">
        <f>E37 - E27</f>
        <v>262.5</v>
      </c>
    </row>
    <row r="49" spans="4:5" ht="30" x14ac:dyDescent="0.25">
      <c r="D49" s="2" t="s">
        <v>25</v>
      </c>
      <c r="E49">
        <f>E47 - E48</f>
        <v>157.84100000000035</v>
      </c>
    </row>
    <row r="51" spans="4:5" ht="45" x14ac:dyDescent="0.25">
      <c r="D51" s="2" t="s">
        <v>27</v>
      </c>
      <c r="E51">
        <f xml:space="preserve"> D39 - (D41 + E47 + E35)</f>
        <v>7578.4078</v>
      </c>
    </row>
    <row r="52" spans="4:5" ht="70.5" customHeight="1" x14ac:dyDescent="0.25">
      <c r="D52" s="2" t="s">
        <v>29</v>
      </c>
      <c r="E52">
        <f>D39-(D41+E47+E35+E36)</f>
        <v>7132.1578</v>
      </c>
    </row>
  </sheetData>
  <mergeCells count="2">
    <mergeCell ref="B25:B30"/>
    <mergeCell ref="B35:B4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2015-06-05T18:17:20Z</dcterms:created>
  <dcterms:modified xsi:type="dcterms:W3CDTF">2025-04-24T16:14:43Z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2024-02-06T12:17:40Z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c36046eb-aec3-4408-9a68-f1b30807e6af</vt:lpwstr>
  </property>
  <property fmtid="{D5CDD505-2E9C-101B-9397-08002B2CF9AE}" pid="8" name="MSIP_Label_9e1e58c1-766d-4ff4-9619-b604fc37898b_ContentBits">
    <vt:lpwstr>0</vt:lpwstr>
  </property>
</Properties>
</file>