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Users\e1079458\work\finance\"/>
    </mc:Choice>
  </mc:AlternateContent>
  <xr:revisionPtr revIDLastSave="0" documentId="13_ncr:1_{47DD6DAC-8EA3-41BE-8037-06B1771E79B0}" xr6:coauthVersionLast="47" xr6:coauthVersionMax="47" xr10:uidLastSave="{00000000-0000-0000-0000-000000000000}"/>
  <bookViews>
    <workbookView xWindow="-108" yWindow="-108" windowWidth="23256" windowHeight="12456" firstSheet="12" activeTab="16" xr2:uid="{00000000-000D-0000-FFFF-FFFF00000000}"/>
  </bookViews>
  <sheets>
    <sheet name="2017 Spendings" sheetId="1" r:id="rId1"/>
    <sheet name="2017 Savings" sheetId="2" r:id="rId2"/>
    <sheet name="2018 Spendings" sheetId="3" r:id="rId3"/>
    <sheet name="2018 Savings" sheetId="4" r:id="rId4"/>
    <sheet name="2019 Spendings" sheetId="6" r:id="rId5"/>
    <sheet name="2019 Savings" sheetId="7" r:id="rId6"/>
    <sheet name="2020 Spendings" sheetId="8" r:id="rId7"/>
    <sheet name="2020 Savings" sheetId="9" r:id="rId8"/>
    <sheet name="economic study" sheetId="12" r:id="rId9"/>
    <sheet name="Forecast_new" sheetId="10" r:id="rId10"/>
    <sheet name="2020-2021" sheetId="13" r:id="rId11"/>
    <sheet name="Father" sheetId="14" r:id="rId12"/>
    <sheet name="Borj_Cedria" sheetId="15" r:id="rId13"/>
    <sheet name="Rue AlMaktar - Dokken" sheetId="18" r:id="rId14"/>
    <sheet name="affaire_maison_bizerte" sheetId="16" r:id="rId15"/>
    <sheet name="dar_allouche" sheetId="17" r:id="rId16"/>
    <sheet name="family_spendings_2025"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19" l="1"/>
  <c r="D9" i="19"/>
  <c r="D8" i="19"/>
  <c r="D7" i="19"/>
  <c r="G120" i="17" l="1"/>
  <c r="G116" i="17"/>
  <c r="G115" i="17"/>
  <c r="G100" i="17"/>
  <c r="G103" i="17"/>
  <c r="G99" i="17"/>
  <c r="G98" i="17"/>
  <c r="G24" i="17"/>
  <c r="G82" i="17"/>
  <c r="G91" i="17"/>
  <c r="G70" i="17"/>
  <c r="G80" i="17"/>
  <c r="G79" i="17"/>
  <c r="G78" i="17"/>
  <c r="G63" i="17"/>
  <c r="G77" i="17"/>
  <c r="G76" i="17"/>
  <c r="G60" i="17"/>
  <c r="G43" i="17"/>
  <c r="G90" i="17"/>
  <c r="G42" i="17"/>
  <c r="G74" i="17"/>
  <c r="G58" i="17"/>
  <c r="G73" i="17"/>
  <c r="F6" i="18"/>
  <c r="E6" i="18"/>
  <c r="D6" i="18"/>
  <c r="G19" i="17"/>
  <c r="F13" i="17"/>
  <c r="G17" i="17"/>
  <c r="G13" i="17"/>
  <c r="D12" i="16"/>
  <c r="E53" i="15"/>
  <c r="F55" i="15"/>
  <c r="E58" i="15"/>
  <c r="F53" i="15"/>
  <c r="E40" i="15" l="1"/>
  <c r="D137" i="14"/>
  <c r="D114" i="14"/>
  <c r="D113" i="14"/>
  <c r="D112" i="14"/>
  <c r="F33" i="15"/>
  <c r="F36" i="15"/>
  <c r="D94" i="14"/>
  <c r="E36" i="15"/>
  <c r="F35" i="15"/>
  <c r="F30" i="15"/>
  <c r="F29" i="15"/>
  <c r="D89" i="14" l="1"/>
  <c r="E37" i="15" l="1"/>
  <c r="E35" i="15"/>
  <c r="E30" i="15"/>
  <c r="E29" i="15"/>
  <c r="D87" i="14"/>
  <c r="D85" i="14"/>
  <c r="D74" i="14" l="1"/>
  <c r="D69" i="14"/>
  <c r="D67" i="14"/>
  <c r="D65" i="14" l="1"/>
  <c r="D58" i="14" l="1"/>
  <c r="D34" i="14" l="1"/>
  <c r="D42" i="14" l="1"/>
  <c r="D50" i="14"/>
  <c r="D43" i="14"/>
  <c r="D44" i="14" l="1"/>
  <c r="H32" i="14" l="1"/>
  <c r="D145" i="14" l="1"/>
  <c r="D149" i="14"/>
  <c r="D150" i="14" s="1"/>
  <c r="E157" i="14"/>
  <c r="E158" i="14"/>
  <c r="E159" i="14"/>
  <c r="E160" i="14"/>
  <c r="E161" i="14"/>
  <c r="E162" i="14"/>
  <c r="E163" i="14"/>
  <c r="E156" i="14"/>
  <c r="E155" i="14"/>
  <c r="E148" i="14"/>
  <c r="E149" i="14"/>
  <c r="E150" i="14"/>
  <c r="E151" i="14"/>
  <c r="E152" i="14"/>
  <c r="E153" i="14"/>
  <c r="E154" i="14"/>
  <c r="D151" i="14" l="1"/>
  <c r="D152" i="14" s="1"/>
  <c r="D153" i="14" s="1"/>
  <c r="D154" i="14" s="1"/>
  <c r="D155" i="14" s="1"/>
  <c r="D156" i="14" s="1"/>
  <c r="D32" i="14"/>
  <c r="D16" i="14"/>
  <c r="F141" i="14" l="1"/>
  <c r="K7" i="13" l="1"/>
  <c r="E4" i="13"/>
  <c r="D2" i="13" l="1"/>
  <c r="J24" i="13" l="1"/>
  <c r="L6" i="13"/>
  <c r="K6" i="13"/>
  <c r="K5" i="13" l="1"/>
  <c r="L5" i="13"/>
  <c r="K4" i="13"/>
  <c r="E5" i="13" l="1"/>
  <c r="E6" i="13" s="1"/>
  <c r="E7" i="13" s="1"/>
  <c r="E8" i="13" s="1"/>
  <c r="F10" i="12" l="1"/>
  <c r="F9" i="12"/>
  <c r="F8" i="12"/>
  <c r="F7" i="12"/>
  <c r="E10" i="12"/>
  <c r="E9" i="12"/>
  <c r="F6" i="12"/>
  <c r="E7" i="12"/>
  <c r="E8" i="12"/>
  <c r="X7" i="10" l="1"/>
  <c r="Z11" i="10"/>
  <c r="Y8" i="10"/>
  <c r="Q11" i="10"/>
  <c r="Q12" i="10" s="1"/>
  <c r="Q13" i="10" s="1"/>
  <c r="Q14" i="10" s="1"/>
  <c r="Q10" i="10"/>
  <c r="X8" i="10"/>
  <c r="W16" i="10"/>
  <c r="X11" i="10"/>
  <c r="H10" i="10"/>
  <c r="H11" i="10" s="1"/>
  <c r="K9" i="10"/>
  <c r="K10" i="10" s="1"/>
  <c r="K11" i="10" s="1"/>
  <c r="K12" i="10" s="1"/>
  <c r="K13" i="10" s="1"/>
  <c r="K14" i="10" s="1"/>
  <c r="N10" i="10"/>
  <c r="N11" i="10" s="1"/>
  <c r="N12" i="10" s="1"/>
  <c r="N13" i="10" s="1"/>
  <c r="N14" i="10" s="1"/>
  <c r="Z12" i="10"/>
  <c r="Y12" i="10"/>
  <c r="X12" i="10"/>
  <c r="W12" i="10"/>
  <c r="W11" i="10"/>
  <c r="W10" i="10"/>
  <c r="Z9" i="10"/>
  <c r="Y9" i="10"/>
  <c r="X9" i="10"/>
  <c r="W9" i="10"/>
  <c r="W7" i="10"/>
  <c r="F23" i="9"/>
  <c r="E2" i="9"/>
  <c r="Z7" i="10" l="1"/>
  <c r="H12" i="10"/>
  <c r="H13" i="10" s="1"/>
  <c r="H14" i="10" s="1"/>
  <c r="Y7" i="10"/>
  <c r="Z8" i="10"/>
  <c r="Y11" i="10"/>
  <c r="X10" i="10"/>
  <c r="X15" i="10" s="1"/>
  <c r="X16" i="10"/>
  <c r="Z10" i="10"/>
  <c r="Y10" i="10"/>
  <c r="W15" i="10"/>
  <c r="Y16" i="10" l="1"/>
  <c r="Y15" i="10"/>
  <c r="Z16" i="10" l="1"/>
  <c r="Z15" i="10"/>
  <c r="G7" i="8" l="1"/>
  <c r="G16" i="8"/>
  <c r="F16" i="8"/>
  <c r="H14" i="8"/>
  <c r="G9" i="9"/>
  <c r="H27" i="8"/>
  <c r="H26" i="8"/>
  <c r="H25" i="8"/>
  <c r="H24" i="8"/>
  <c r="H23" i="8"/>
  <c r="F22" i="8"/>
  <c r="H22" i="8" s="1"/>
  <c r="F21" i="8"/>
  <c r="H21" i="8" s="1"/>
  <c r="H20" i="8"/>
  <c r="G19" i="8"/>
  <c r="F19" i="8"/>
  <c r="H19" i="8" s="1"/>
  <c r="H18" i="8"/>
  <c r="H17" i="8"/>
  <c r="H16" i="8"/>
  <c r="H15" i="8"/>
  <c r="G13" i="8"/>
  <c r="F13" i="8"/>
  <c r="H13" i="8" s="1"/>
  <c r="G12" i="8"/>
  <c r="F12" i="8"/>
  <c r="H12" i="8" s="1"/>
  <c r="H11" i="8"/>
  <c r="G10" i="8"/>
  <c r="F10" i="8"/>
  <c r="H10" i="8" s="1"/>
  <c r="F9" i="8"/>
  <c r="H8" i="8"/>
  <c r="H7" i="8"/>
  <c r="I9" i="9" l="1"/>
  <c r="H9" i="9"/>
  <c r="G10" i="9"/>
  <c r="G11" i="9"/>
  <c r="F3" i="8"/>
  <c r="H9" i="8"/>
  <c r="F22" i="7"/>
  <c r="E2" i="7"/>
  <c r="G9" i="7"/>
  <c r="G10" i="7" s="1"/>
  <c r="G11" i="7" s="1"/>
  <c r="G12" i="7" s="1"/>
  <c r="G13" i="7" s="1"/>
  <c r="G14" i="7" s="1"/>
  <c r="J50" i="6"/>
  <c r="I50" i="6"/>
  <c r="J49" i="6"/>
  <c r="I49" i="6"/>
  <c r="J47" i="6"/>
  <c r="I47" i="6"/>
  <c r="J46" i="6"/>
  <c r="I46" i="6"/>
  <c r="J45" i="6"/>
  <c r="I45" i="6"/>
  <c r="J41" i="6"/>
  <c r="I41" i="6"/>
  <c r="J40" i="6"/>
  <c r="I40" i="6"/>
  <c r="J38" i="6"/>
  <c r="I38" i="6"/>
  <c r="F28" i="6" s="1"/>
  <c r="H28" i="6" s="1"/>
  <c r="J36" i="6"/>
  <c r="G28" i="6" s="1"/>
  <c r="I36" i="6"/>
  <c r="H30" i="6"/>
  <c r="H29" i="6"/>
  <c r="H27" i="6"/>
  <c r="H26" i="6"/>
  <c r="G26" i="6"/>
  <c r="H25" i="6"/>
  <c r="H24" i="6"/>
  <c r="H23" i="6"/>
  <c r="F22" i="6"/>
  <c r="H22" i="6" s="1"/>
  <c r="F21" i="6"/>
  <c r="H21" i="6" s="1"/>
  <c r="F20" i="6"/>
  <c r="H20" i="6" s="1"/>
  <c r="H19" i="6"/>
  <c r="G19" i="6"/>
  <c r="H18" i="6"/>
  <c r="G18" i="6"/>
  <c r="F18" i="6"/>
  <c r="H17" i="6"/>
  <c r="H16" i="6"/>
  <c r="G15" i="6"/>
  <c r="F15" i="6"/>
  <c r="H15" i="6" s="1"/>
  <c r="H14" i="6"/>
  <c r="G14" i="6"/>
  <c r="G13" i="6"/>
  <c r="F13" i="6"/>
  <c r="H13" i="6" s="1"/>
  <c r="G12" i="6"/>
  <c r="F12" i="6"/>
  <c r="H12" i="6" s="1"/>
  <c r="H11" i="6"/>
  <c r="G10" i="6"/>
  <c r="F10" i="6"/>
  <c r="H10" i="6" s="1"/>
  <c r="G9" i="6"/>
  <c r="F9" i="6"/>
  <c r="H9" i="6" s="1"/>
  <c r="H8" i="6"/>
  <c r="G8" i="6"/>
  <c r="H7" i="6"/>
  <c r="H10" i="9" l="1"/>
  <c r="I11" i="9"/>
  <c r="I10" i="9"/>
  <c r="F4" i="8"/>
  <c r="E3" i="9"/>
  <c r="E9" i="9" s="1"/>
  <c r="E10" i="9" s="1"/>
  <c r="E11" i="9" s="1"/>
  <c r="E12" i="9" s="1"/>
  <c r="E13" i="9" s="1"/>
  <c r="E14" i="9" s="1"/>
  <c r="E15" i="9" s="1"/>
  <c r="E16" i="9" s="1"/>
  <c r="E17" i="9" s="1"/>
  <c r="E18" i="9" s="1"/>
  <c r="E19" i="9" s="1"/>
  <c r="E20" i="9" s="1"/>
  <c r="E21" i="9" s="1"/>
  <c r="E23" i="9" s="1"/>
  <c r="H11" i="9"/>
  <c r="G12" i="9"/>
  <c r="G15" i="7"/>
  <c r="G16" i="7" s="1"/>
  <c r="G17" i="7" s="1"/>
  <c r="G18" i="7" s="1"/>
  <c r="H11" i="7"/>
  <c r="H13" i="7"/>
  <c r="H10" i="7"/>
  <c r="H14" i="7"/>
  <c r="H12" i="7"/>
  <c r="F3" i="6"/>
  <c r="F4" i="6" s="1"/>
  <c r="F23" i="4"/>
  <c r="G21" i="4"/>
  <c r="H12" i="9" l="1"/>
  <c r="I12" i="9"/>
  <c r="G13" i="9"/>
  <c r="G19" i="7"/>
  <c r="G20" i="7" s="1"/>
  <c r="H18" i="7"/>
  <c r="H16" i="7"/>
  <c r="H17" i="7"/>
  <c r="H15" i="7"/>
  <c r="H13" i="9" l="1"/>
  <c r="I13" i="9"/>
  <c r="G14" i="9"/>
  <c r="G22" i="7"/>
  <c r="H20" i="7"/>
  <c r="H19" i="7"/>
  <c r="G20" i="4"/>
  <c r="H14" i="9" l="1"/>
  <c r="I14" i="9"/>
  <c r="G15" i="9"/>
  <c r="G14" i="3"/>
  <c r="G19" i="4"/>
  <c r="H15" i="9" l="1"/>
  <c r="I15" i="9"/>
  <c r="G16" i="9"/>
  <c r="F18" i="4"/>
  <c r="G18" i="4" s="1"/>
  <c r="H16" i="9" l="1"/>
  <c r="I16" i="9"/>
  <c r="G17" i="9"/>
  <c r="H30" i="3"/>
  <c r="H17" i="9" l="1"/>
  <c r="I17" i="9"/>
  <c r="G18" i="9"/>
  <c r="J41" i="3"/>
  <c r="I41" i="3"/>
  <c r="H18" i="9" l="1"/>
  <c r="I18" i="9"/>
  <c r="G19" i="9"/>
  <c r="G17" i="4"/>
  <c r="H19" i="9" l="1"/>
  <c r="I19" i="9"/>
  <c r="G20" i="9"/>
  <c r="G26" i="3"/>
  <c r="H20" i="9" l="1"/>
  <c r="I20" i="9"/>
  <c r="G21" i="9"/>
  <c r="I21" i="9" s="1"/>
  <c r="J45" i="3"/>
  <c r="G16" i="4"/>
  <c r="G23" i="9" l="1"/>
  <c r="H21" i="9"/>
  <c r="J50" i="3"/>
  <c r="I50" i="3"/>
  <c r="G19" i="3" l="1"/>
  <c r="G18" i="3"/>
  <c r="G15" i="3"/>
  <c r="G13" i="3"/>
  <c r="G12" i="3"/>
  <c r="G9" i="3"/>
  <c r="G10" i="3"/>
  <c r="G8" i="3"/>
  <c r="I47" i="3"/>
  <c r="J47" i="3"/>
  <c r="I45" i="3"/>
  <c r="J38" i="3"/>
  <c r="J49" i="3"/>
  <c r="I49" i="3"/>
  <c r="H29" i="3"/>
  <c r="I46" i="3" l="1"/>
  <c r="I36" i="3"/>
  <c r="J36" i="3"/>
  <c r="G28" i="3" s="1"/>
  <c r="J46" i="3"/>
  <c r="J40" i="3"/>
  <c r="I40" i="3" l="1"/>
  <c r="I38" i="3"/>
  <c r="F28" i="3" s="1"/>
  <c r="H26" i="3"/>
  <c r="H27" i="3"/>
  <c r="H28" i="3" l="1"/>
  <c r="G15" i="4"/>
  <c r="G14" i="4"/>
  <c r="H25" i="3" l="1"/>
  <c r="H24" i="3"/>
  <c r="G13" i="4"/>
  <c r="G12" i="4" l="1"/>
  <c r="G11" i="4" l="1"/>
  <c r="G9" i="4" l="1"/>
  <c r="G10" i="4" s="1"/>
  <c r="G26" i="1"/>
  <c r="G25" i="1"/>
  <c r="G24" i="1"/>
  <c r="G20" i="1"/>
  <c r="G18" i="1"/>
  <c r="G17" i="1"/>
  <c r="G15" i="1"/>
  <c r="G12" i="1"/>
  <c r="G11" i="1"/>
  <c r="G7" i="1"/>
  <c r="H13" i="4" l="1"/>
  <c r="H11" i="4"/>
  <c r="H10" i="4"/>
  <c r="H12" i="4"/>
  <c r="H14" i="4" l="1"/>
  <c r="H15" i="4"/>
  <c r="H16" i="4" l="1"/>
  <c r="H17" i="4" l="1"/>
  <c r="H18" i="4" l="1"/>
  <c r="H19" i="4" l="1"/>
  <c r="H20" i="4" l="1"/>
  <c r="H21" i="4" l="1"/>
  <c r="G23" i="4"/>
  <c r="H23" i="3" l="1"/>
  <c r="F22" i="3"/>
  <c r="F21" i="3"/>
  <c r="F20" i="3"/>
  <c r="H19" i="3"/>
  <c r="F18" i="3"/>
  <c r="H17" i="3"/>
  <c r="H16" i="3"/>
  <c r="F15" i="3"/>
  <c r="H14" i="3"/>
  <c r="F13" i="3"/>
  <c r="F12" i="3"/>
  <c r="H11" i="3"/>
  <c r="F10" i="3"/>
  <c r="F9" i="3"/>
  <c r="H8" i="3"/>
  <c r="H7" i="3"/>
  <c r="F3" i="3" l="1"/>
  <c r="E3" i="7" s="1"/>
  <c r="E9" i="7" s="1"/>
  <c r="E10" i="7" s="1"/>
  <c r="E11" i="7" s="1"/>
  <c r="E12" i="7" s="1"/>
  <c r="E13" i="7" s="1"/>
  <c r="E14" i="7" s="1"/>
  <c r="E15" i="7" s="1"/>
  <c r="E16" i="7" s="1"/>
  <c r="E17" i="7" s="1"/>
  <c r="E18" i="7" s="1"/>
  <c r="E19" i="7" s="1"/>
  <c r="E20" i="7" s="1"/>
  <c r="E22" i="7" s="1"/>
  <c r="H15" i="3"/>
  <c r="H22" i="3"/>
  <c r="H12" i="3"/>
  <c r="H20" i="3"/>
  <c r="H10" i="3"/>
  <c r="H18" i="3"/>
  <c r="H9" i="3"/>
  <c r="H13" i="3"/>
  <c r="H21" i="3"/>
  <c r="F4" i="3"/>
  <c r="E3" i="4"/>
  <c r="E9" i="4" s="1"/>
  <c r="E10" i="4" s="1"/>
  <c r="E11" i="4" s="1"/>
  <c r="E12" i="4" s="1"/>
  <c r="E13" i="4" s="1"/>
  <c r="E14" i="4" s="1"/>
  <c r="E15" i="4" s="1"/>
  <c r="E16" i="4" s="1"/>
  <c r="E17" i="4" s="1"/>
  <c r="E18" i="4" s="1"/>
  <c r="E19" i="4" s="1"/>
  <c r="E20" i="4" s="1"/>
  <c r="E21" i="4" s="1"/>
  <c r="E23" i="4" s="1"/>
  <c r="F22" i="2"/>
  <c r="G20" i="2" l="1"/>
  <c r="G13" i="2"/>
  <c r="G14" i="2"/>
  <c r="G15" i="2"/>
  <c r="G16" i="2"/>
  <c r="G17" i="2"/>
  <c r="G18" i="2"/>
  <c r="G19" i="2"/>
  <c r="G12" i="2"/>
  <c r="G11" i="2"/>
  <c r="G10" i="2"/>
  <c r="F10" i="1" l="1"/>
  <c r="G10" i="1" s="1"/>
  <c r="F8" i="1"/>
  <c r="G8" i="1" s="1"/>
  <c r="F21" i="1" l="1"/>
  <c r="G21" i="1" s="1"/>
  <c r="F22" i="1"/>
  <c r="G22" i="1" s="1"/>
  <c r="F23" i="1"/>
  <c r="G23" i="1" s="1"/>
  <c r="F19" i="1"/>
  <c r="G19" i="1" s="1"/>
  <c r="F9" i="1"/>
  <c r="G9" i="1" s="1"/>
  <c r="F16" i="1"/>
  <c r="G16" i="1" s="1"/>
  <c r="F14" i="1"/>
  <c r="G14" i="1" s="1"/>
  <c r="F13" i="1"/>
  <c r="G13" i="1" s="1"/>
  <c r="F3" i="1" l="1"/>
  <c r="F4" i="1" l="1"/>
  <c r="E3" i="2"/>
  <c r="E8" i="2" s="1"/>
  <c r="E9" i="2" s="1"/>
  <c r="E10" i="2" s="1"/>
  <c r="E11" i="2" s="1"/>
  <c r="E12" i="2" s="1"/>
  <c r="E13" i="2" s="1"/>
  <c r="E14" i="2" s="1"/>
  <c r="E15" i="2" s="1"/>
  <c r="E16" i="2" s="1"/>
  <c r="E17" i="2" s="1"/>
  <c r="E18" i="2" s="1"/>
  <c r="E19" i="2" s="1"/>
  <c r="E20" i="2" l="1"/>
  <c r="E22" i="2" s="1"/>
</calcChain>
</file>

<file path=xl/sharedStrings.xml><?xml version="1.0" encoding="utf-8"?>
<sst xmlns="http://schemas.openxmlformats.org/spreadsheetml/2006/main" count="2168" uniqueCount="828">
  <si>
    <t>Expense (TND)</t>
  </si>
  <si>
    <t>Comments</t>
  </si>
  <si>
    <t>Payed by</t>
  </si>
  <si>
    <t>Sofiane</t>
  </si>
  <si>
    <t>Annual olive oil badget</t>
  </si>
  <si>
    <t>Type</t>
  </si>
  <si>
    <t>Family</t>
  </si>
  <si>
    <t>Groceries / Annual badget</t>
  </si>
  <si>
    <t>Personal</t>
  </si>
  <si>
    <t>* Personal monthly contribution for the Banque de l'Habitat loans = 200 TND
* Annual loan contrib. = (Monthly contrib.)*12</t>
  </si>
  <si>
    <t xml:space="preserve">BH / Annual loan contrib. </t>
  </si>
  <si>
    <t>Car / Maintenance</t>
  </si>
  <si>
    <t>* Annual service once or twice + frais at Ennakl Co. about 500 TND</t>
  </si>
  <si>
    <t>Car / Petrol</t>
  </si>
  <si>
    <t>* Annual car gas consumption = ((Weekly(i.e. 30TND))*4 )*12</t>
  </si>
  <si>
    <t>Car / Road tax (Vignette)</t>
  </si>
  <si>
    <t>Monthly Expense (TND)
(Average)</t>
  </si>
  <si>
    <t>Steg / Annual expense</t>
  </si>
  <si>
    <t>Annual Steg expense = Jan bill + May bill + Sept. bill</t>
  </si>
  <si>
    <t>Sonede / Annual expense</t>
  </si>
  <si>
    <t>* Monthly Syndic exepense. = 35 TND
* Annual Syndic. expense = Monthly expense * 12</t>
  </si>
  <si>
    <t xml:space="preserve">Annual Total = </t>
  </si>
  <si>
    <t xml:space="preserve">Monthly Average = </t>
  </si>
  <si>
    <t>Flat / Syndic annual expense</t>
  </si>
  <si>
    <t>BIAT / Annual loan contrib.</t>
  </si>
  <si>
    <t>* Annual Sonede expense = Jan bill + May bill + Sept. bill</t>
  </si>
  <si>
    <t>Miscellanous</t>
  </si>
  <si>
    <t>Family / Occasional outings</t>
  </si>
  <si>
    <t>Maghrebia / Annual contrib.</t>
  </si>
  <si>
    <t>Flat / Moustiquere assembly</t>
  </si>
  <si>
    <t>Family / Miscellanous</t>
  </si>
  <si>
    <t>Flat / Kitchen window (Fer Ferforge)</t>
  </si>
  <si>
    <t>Flat / Zibla et Kharouba</t>
  </si>
  <si>
    <t>Car / GAT insurance</t>
  </si>
  <si>
    <t>Summer / Outings and events</t>
  </si>
  <si>
    <t>* Monthly payment for accomodation loan ~ 1100 TND
* Annual loan = Monthly * 12</t>
  </si>
  <si>
    <t>* Including:
   - Dresses ~ 400</t>
  </si>
  <si>
    <t>* Occasional outings once every two months ~ 30 * 6
* Take aways ~ 10 * 6</t>
  </si>
  <si>
    <t>Includes:
* Forcasted doctor + medecine contribut. until year end = My Annual Payed medecine - Reimbursed part from Maghrebia
* Maghrebia membership fees: My annual membership with Sungard (25TND * 12)</t>
  </si>
  <si>
    <t>* Biill from the artisan - Amount = 1300 TND</t>
  </si>
  <si>
    <t>* Weekly supermarket + average (Monthly meat + chicken + fish + medecine not getting re-imbursed) + Additional expenses within the week
*Annual badget =  (Weekly(i.e. ~ 270TND) * 4)*12</t>
  </si>
  <si>
    <t>* Assuming a price of 1 litre = 10 TND
* Forecast annual expense = 8 * 10</t>
  </si>
  <si>
    <t xml:space="preserve">   * Including:
   - Occasional trips expenses (Petrol, etc) ~ 150
   - Occasional handy man to fix and maintain (Air conditioning, Heater, sink fixing, etc) ~ 150 TND annualy </t>
  </si>
  <si>
    <t>* Frais de la municipalite - Forecasted from previous bill</t>
  </si>
  <si>
    <t>* Special little events for summer during 3-4 months, including:
    * Summer trip expenses, grillade events, etc
    * Rents, food, and fun spendings</t>
  </si>
  <si>
    <t>Month</t>
  </si>
  <si>
    <t>Actual</t>
  </si>
  <si>
    <t>Tot =</t>
  </si>
  <si>
    <t>Planned</t>
  </si>
  <si>
    <t>Simu</t>
  </si>
  <si>
    <t>Yearly =</t>
  </si>
  <si>
    <t>Forecasted Saving Avg (Monthly) =</t>
  </si>
  <si>
    <t>Forecasted Bonus Base =</t>
  </si>
  <si>
    <t>Actual (Monthly)</t>
  </si>
  <si>
    <t xml:space="preserve">Actual = </t>
  </si>
  <si>
    <t>Trip to London</t>
  </si>
  <si>
    <t>Annual Steg expense = Jan bill + May bill + Sept. bill
* Jan bill ~ 420 TND
* May bill ~ 600 TND
* Sept (forecast) = 400 TND
Total (forecast) = 1420</t>
  </si>
  <si>
    <t>* Assuming a price of 1 litre = 10 TND
* Forecast annual expense = 10 * 10</t>
  </si>
  <si>
    <t>* Weekly supermarket + average (Monthly meat + chicken + fish + medecine not getting re-imbursed) + Additional expenses within the week
*Annual badget =  (Weekly(i.e. ~ 300TND) * 4)*12</t>
  </si>
  <si>
    <t>Includes:
* Forcasted doctor + medecine contribut. until year end = My Annual Payed medecine - Reimbursed part from Maghrebia = 700 TND (Forecast)
* Maghrebia membership fees = 0 TND</t>
  </si>
  <si>
    <t xml:space="preserve">* Flight ticket~ 750 TND
* Timbre fiscal = 60 TND
* Change = 2000 TND
* Miscellanous ~ 200 TND
</t>
  </si>
  <si>
    <t xml:space="preserve">Actual bonus (2018) = </t>
  </si>
  <si>
    <t>Forecasted Bonus (Net) =</t>
  </si>
  <si>
    <r>
      <rPr>
        <b/>
        <sz val="11"/>
        <color theme="1"/>
        <rFont val="Calibri"/>
        <family val="2"/>
        <scheme val="minor"/>
      </rPr>
      <t>NB</t>
    </r>
    <r>
      <rPr>
        <sz val="11"/>
        <color theme="1"/>
        <rFont val="Calibri"/>
        <family val="2"/>
        <scheme val="minor"/>
      </rPr>
      <t>: 0 the bonus amount if all goes to GAT insurance group</t>
    </r>
  </si>
  <si>
    <t>Bank amount</t>
  </si>
  <si>
    <t>Planned monthly 
saving</t>
  </si>
  <si>
    <t>Actual  
2018 saving
(Aggregated)</t>
  </si>
  <si>
    <t>Actual  saving 
(Monthly)</t>
  </si>
  <si>
    <t xml:space="preserve">Bank amount as per June 1st 2017 (i.e. Offset amount) =  </t>
  </si>
  <si>
    <t>Portfolio item</t>
  </si>
  <si>
    <t>SICAV</t>
  </si>
  <si>
    <t>Bank account</t>
  </si>
  <si>
    <t>Year end</t>
  </si>
  <si>
    <t>* Frais de la municipalite - Forecasted from previous bill
* Unexpectedly, an arrear of 5 years had to be payed this year</t>
  </si>
  <si>
    <t>2018 Amount
 (Aggregated)</t>
  </si>
  <si>
    <t>Bank</t>
  </si>
  <si>
    <t>GAT (FIS grp life insurance)</t>
  </si>
  <si>
    <t>GAT (FIS group life insurance)</t>
  </si>
  <si>
    <t>Compte de placement</t>
  </si>
  <si>
    <t>N/A</t>
  </si>
  <si>
    <t>Compte de placement a terme</t>
  </si>
  <si>
    <t>Forecast</t>
  </si>
  <si>
    <r>
      <rPr>
        <b/>
        <sz val="11"/>
        <color theme="1"/>
        <rFont val="Calibri"/>
        <family val="2"/>
        <scheme val="minor"/>
      </rPr>
      <t>NB</t>
    </r>
    <r>
      <rPr>
        <sz val="11"/>
        <color theme="1"/>
        <rFont val="Calibri"/>
        <family val="2"/>
        <scheme val="minor"/>
      </rPr>
      <t>: It was actually 24727, but dedcued the 20000 amount of the "Compte de placement" to allow for simple processing by direcly reading from BIATNET account</t>
    </r>
  </si>
  <si>
    <t>* Personal monthly contribution for the Banque de l'Habitat loans = 200 TND/month
* Annual loan contrib. = (Monthly contrib.)*12</t>
  </si>
  <si>
    <t>Projet avenir (Skander)</t>
  </si>
  <si>
    <t>Projet avenir (Skander)*</t>
  </si>
  <si>
    <t>Swimming subscription (Adam)</t>
  </si>
  <si>
    <t>Swimming tools (Adam)</t>
  </si>
  <si>
    <t>* Buying swimming tools for Adam for the exercise (Goggles, Hair cover, Planche, Chleka…)</t>
  </si>
  <si>
    <t>2019 Forecast Amount
 (Aggregated)</t>
  </si>
  <si>
    <t>2020 Forecast Amount
 (Aggregated)</t>
  </si>
  <si>
    <r>
      <t xml:space="preserve">* </t>
    </r>
    <r>
      <rPr>
        <b/>
        <sz val="11"/>
        <color theme="1"/>
        <rFont val="Calibri"/>
        <family val="2"/>
        <scheme val="minor"/>
      </rPr>
      <t>NB</t>
    </r>
    <r>
      <rPr>
        <sz val="11"/>
        <color theme="1"/>
        <rFont val="Calibri"/>
        <family val="2"/>
        <scheme val="minor"/>
      </rPr>
      <t xml:space="preserve">: 
1. Projet avenir is for Skander and hence not accounted for in the total below
2. Forcasted figures below do not account for any more additional investments plan to keep it more realistic. Forcated figures below may grow if we invest along
</t>
    </r>
  </si>
  <si>
    <t>* Membership fees to Gamarth swimming club (Aqua Viva) (2 days a week)</t>
  </si>
  <si>
    <t>Sister's wedding</t>
  </si>
  <si>
    <t>Context</t>
  </si>
  <si>
    <t>Unplanned</t>
  </si>
  <si>
    <t>Forecasted</t>
  </si>
  <si>
    <t>Adam new Year swimming training 
(Stage a l'hotel)</t>
  </si>
  <si>
    <t>Father leg trauma (Operation and fees, etc)</t>
  </si>
  <si>
    <t>* Swimming training - 4 nights in a Hotel at Sousse (Sea water swimming pool, Full course)
75*4=300</t>
  </si>
  <si>
    <t>* Cycling accident leading to a leg operation (Broken bone - Plaquette a clous)</t>
  </si>
  <si>
    <t>Item</t>
  </si>
  <si>
    <t>Fees</t>
  </si>
  <si>
    <t>Staus</t>
  </si>
  <si>
    <t>Kine sessions</t>
  </si>
  <si>
    <t>Glucometre</t>
  </si>
  <si>
    <t>Fees (TND)</t>
  </si>
  <si>
    <t>Diabete</t>
  </si>
  <si>
    <t>Post-operation</t>
  </si>
  <si>
    <t>Payed</t>
  </si>
  <si>
    <t>Nuppies</t>
  </si>
  <si>
    <t>Deambulateur</t>
  </si>
  <si>
    <t>* Facture
* All in one AcuCheck</t>
  </si>
  <si>
    <t>* Forecasting 15 sessions 
at a 20 TND each</t>
  </si>
  <si>
    <t>Hospital operation</t>
  </si>
  <si>
    <t>Radiographies</t>
  </si>
  <si>
    <t>x-Rays at hospital (Pre-operation)</t>
  </si>
  <si>
    <t>x-Rays at hospital (Post-operation), 
i.e. Control</t>
  </si>
  <si>
    <t>* x-Rays pre-operation</t>
  </si>
  <si>
    <t>Registration fees</t>
  </si>
  <si>
    <t>Operation fees (At hospital)</t>
  </si>
  <si>
    <t>Hospital registration</t>
  </si>
  <si>
    <t>Infirmier</t>
  </si>
  <si>
    <t>Various fees</t>
  </si>
  <si>
    <t>To reamburse (Possibly)</t>
  </si>
  <si>
    <t>Yes</t>
  </si>
  <si>
    <t>No</t>
  </si>
  <si>
    <t>Medecine</t>
  </si>
  <si>
    <t>* Forfeiture op. fees (Operation)
* Staying at hospital (Bed + Food + Analysis, Medecine, etc)</t>
  </si>
  <si>
    <t>Hick-up</t>
  </si>
  <si>
    <t>* Mongi coming at home 
to change the plast and
adminster medecine (Seringe, etc)
* Agreed 20 TND (Pensement + Seringe)</t>
  </si>
  <si>
    <t>Date</t>
  </si>
  <si>
    <t>Task</t>
  </si>
  <si>
    <t>Seringe</t>
  </si>
  <si>
    <t>Nurse fees</t>
  </si>
  <si>
    <t>Kine session
Date</t>
  </si>
  <si>
    <t>Kine fees</t>
  </si>
  <si>
    <t>Plaster change and Seringe</t>
  </si>
  <si>
    <t>Fees (TND)
- Forescasted -</t>
  </si>
  <si>
    <t>Fees (TND)
- Actual -</t>
  </si>
  <si>
    <t>Status</t>
  </si>
  <si>
    <t>Pending</t>
  </si>
  <si>
    <t>Done</t>
  </si>
  <si>
    <t>Hick-up consultation (Doctor)</t>
  </si>
  <si>
    <t>Payement staus</t>
  </si>
  <si>
    <t>Payment status</t>
  </si>
  <si>
    <t>* Contribution of 600 TND to change the tiles of the outer bathroom</t>
  </si>
  <si>
    <t>Radio</t>
  </si>
  <si>
    <t>Radio to have fun</t>
  </si>
  <si>
    <t>* Bought a radio for father to keep him comapny:
   - Radio device = 35 TND
   - Charger plug = 4 TND</t>
  </si>
  <si>
    <t>* Nuppies:
  - 15
  - 20
  - 20</t>
  </si>
  <si>
    <t>* Fees for sister incuding Taxi etc,: 50(TND)*2
* Various fees including Lingettes, etc
* Car gas
* Parfume = 5 TND
* Deo = 8 TND
* Desodorizer = 3 TND</t>
  </si>
  <si>
    <t>Expense (TND)
- Forecasted -</t>
  </si>
  <si>
    <t>Expense (TND)
- Actual -</t>
  </si>
  <si>
    <t>* Including:
   - Dresses: 400
   - Shooes: 100</t>
  </si>
  <si>
    <t>Flat / Bathroom renovation</t>
  </si>
  <si>
    <t>Clothes</t>
  </si>
  <si>
    <t>* Clothes (55 (Jogging) + 40 (Miscellanous) + 15 (Pantoufle)</t>
  </si>
  <si>
    <t>Changing his dress</t>
  </si>
  <si>
    <t>Mobile phone charger</t>
  </si>
  <si>
    <t>Lost charger</t>
  </si>
  <si>
    <t>* Consultation a domicile (~ 80 TND) + medecine (~ 70 TND)
* Following the operation, father didn't feel well
* Bringing him to a doctor…
* Payed a medecine only (Ipproten) -- already accounted up in (Medecine section)</t>
  </si>
  <si>
    <t>Anti-pipi under bed tissue</t>
  </si>
  <si>
    <t>Large anti pipi tissue</t>
  </si>
  <si>
    <t>* An additional anti pipi au lit for father post trauma</t>
  </si>
  <si>
    <t>Restaurant (Machaoui Achem)</t>
  </si>
  <si>
    <t>Get him out to chill out and cut his hair…</t>
  </si>
  <si>
    <t>* Get out for lunch at mixed grill restau</t>
  </si>
  <si>
    <t>Hair dresser</t>
  </si>
  <si>
    <t>Hairdresser</t>
  </si>
  <si>
    <t>* Getting him out to the hairdresser to cut his hair, and to
* Shave his barb</t>
  </si>
  <si>
    <t>* x-Rays post-operation on Jan 03rd (Posponed from Dec 31st appointment due to unavailability of the system)</t>
  </si>
  <si>
    <t>* Frais d'admission a l'hopital = 10 TND
* Frais de la visite de control = 0 TND</t>
  </si>
  <si>
    <t>Flat assistant (Radiah)</t>
  </si>
  <si>
    <t>* Fees for Radiah to assist with common tasks including:
    - Food warming and serving
    - Cleaning table…</t>
  </si>
  <si>
    <t>Flat assistant</t>
  </si>
  <si>
    <t>* 500 TND gift 
* Car decoration = 100
* Petrol to Nabeul… = 60
* Wedding dress - Leila had to pay 50 TND
* Car cleaning = 20 TND = 15 cleaning + 5 TND tip
* Car board brightner = 7 TND</t>
  </si>
  <si>
    <t>Kine did not come (Bank holiday)</t>
  </si>
  <si>
    <t>Cancelled :: father noth feeling well (Cold and fiever)</t>
  </si>
  <si>
    <t>Kine confirms that father is up and running and that he is ready to wlk freely</t>
  </si>
  <si>
    <t>x-Rays private (Post-operation), 
i.e. 2nd Control</t>
  </si>
  <si>
    <t>* Last x-Ray post operation to bring him to doctor</t>
  </si>
  <si>
    <t>Orthopedist</t>
  </si>
  <si>
    <t>Visit the doctor for checks about father's leg status</t>
  </si>
  <si>
    <t>Doctor / Ortho visit to check the status of the operation</t>
  </si>
  <si>
    <t>Doctor / Generalist / Checking health deteriaoration following bad flu</t>
  </si>
  <si>
    <t>Generalist coming home to check on father's health state</t>
  </si>
  <si>
    <t>Labo / Ana</t>
  </si>
  <si>
    <t>Average and day analysis of the diabetic figures</t>
  </si>
  <si>
    <t>* Post_operation medecine from hospital (103 TND)
* Hick-up gastric medecine (10 TND) -- Ipproten
* Medecine for blood circulation -- (1 pack for two days:16 TND on Thursday - Dec 20th
* Medecine for blood circulation (48 = 3*16 TND for 6 days on Saturday - Dec 22nd
* Antiseptic = 2.6 TND
* Medecine for blood circulation (32 = 2*16 TND for 4 days on Thursday - Dec 28th
* Medecine for constipation = 12.5 TND
* Jan 1st &gt;&gt; Medecine for blood circulation (16 TND) for 2 days, Seringes (5.5TND), Insulin bottle (~ 6.5 TND) --&gt; Sum ~ 28 TND
* Jan 3rd &gt;&gt; Ipproten after farther insisting it's suitable for his wellbeing... (11.5 TND)
* Vaseline = 7.0 TND
* Cold, Cough and fiever (Fervex + Doliprane + Cough sirop) ~ 14 TND
* Following health deteriarioation after the Flu, the generalist has administred vitamins and proteins to my father = 50 TND
* The pivate orthopedist has administered medecine to father = 50 TND</t>
  </si>
  <si>
    <t>* Couette X 1
* Mattress cover X 1
* Cotton like bed cloth X 2</t>
  </si>
  <si>
    <t>Bed set…</t>
  </si>
  <si>
    <t>Provide clean bed set for father ahead of the forseen eye operation quite soon</t>
  </si>
  <si>
    <t>Quad cane adjustable</t>
  </si>
  <si>
    <t>Kine needs his cane back; bought new one for father</t>
  </si>
  <si>
    <t>2021 Forecast Amount
 (Aggregated)</t>
  </si>
  <si>
    <t>Lending money to HM*</t>
  </si>
  <si>
    <t>Lending money to HM*
* Amount: 7000 TND
* Lending date: 19/Feb/2019
* Agreement: 2 years lending agreement - Plan is to be returned by Jan/Feb 2021 - 0% Interest rate</t>
  </si>
  <si>
    <t>HM lending</t>
  </si>
  <si>
    <t>"- 7000" !!</t>
  </si>
  <si>
    <t>"+ 7000 should be returned - Amound is already counted in above"</t>
  </si>
  <si>
    <t>* &gt;&gt; Done -- Annual service once or twice + frais at Ennakl Co. about 500 TND
* &gt;&gt; Done -- Changing the roof = 100
* &gt;&gt; Done -- Actual 150 TND -- Fixing the Break system (Disfunctional Break button) (Forecast) = 500 TND 
* Planned - Additional expected due to car aging (Forecat) = 500 TND
* &gt;&gt; Done -- Changing 1st Xenon bubble = 630 TND
* Unplanned for 2019  -- Changing 2nd Xenon bubble = 630 TND
* Unplanned for 2019 -- Changing couroix de distribution (Ennakl quote estimated to 1200 TND)
* Unplanned for 2019 -- Changing air evacuation syetm revealed by the bleeping coil like indicator (1400 TND)
* Only 1600 TND was forecasted intially
* Total (Forecasted) =  300 TND (Car service) + 630 (Replace 1st Xenon bulb) + 630 (Replace 2nd Xenon bulb) + 1200 (Replace couroix de distribution when reaching 203 km mileage) + 500 (Fixing the break system &amp; motor distribution clean-up,...) + 1400 (Changing air evacuation syetm revealed by the bleeping coil like indicator)</t>
  </si>
  <si>
    <t>BIAT / Flat loan expenses</t>
  </si>
  <si>
    <t>BIAT / Personal loan expenses</t>
  </si>
  <si>
    <t>* Personal loan:
  - Original amount = 30,000 TND
  - Monthly payment about: 1000TND
  - Duration of the loan: 3 years
  - Date of first monthly stallment: Oct 2019</t>
  </si>
  <si>
    <t>* Annual car gas consumption = ((Weekly(i.e. 50TND))*4 )*12</t>
  </si>
  <si>
    <t xml:space="preserve">Bank amount as per August 31st 2019 (i.e. Offset amount) =  </t>
  </si>
  <si>
    <t>Actual  
2020 saving
(Aggregated)</t>
  </si>
  <si>
    <t>* NB: Bought CE estate</t>
  </si>
  <si>
    <t>Planned 
saving TND (Aggregated)</t>
  </si>
  <si>
    <t>"- 5000" !!
* [Sept 2019] HM payed back 1000 TND
* [Oct 2020] HM payed back 1000 TND</t>
  </si>
  <si>
    <t>Estate CE*</t>
  </si>
  <si>
    <t xml:space="preserve">Total cash available* (TND) = </t>
  </si>
  <si>
    <t>Total asset (Incl. Estate, Projet avenir, and GAT group mutual fund) (TND) =</t>
  </si>
  <si>
    <t>Money in 
(exceptional in TND)</t>
  </si>
  <si>
    <r>
      <rPr>
        <b/>
        <sz val="11"/>
        <color theme="1"/>
        <rFont val="Calibri"/>
        <family val="2"/>
        <scheme val="minor"/>
      </rPr>
      <t>NB</t>
    </r>
    <r>
      <rPr>
        <sz val="11"/>
        <color theme="1"/>
        <rFont val="Calibri"/>
        <family val="2"/>
        <scheme val="minor"/>
      </rPr>
      <t>: 1000 TND received from HM borrowing</t>
    </r>
  </si>
  <si>
    <r>
      <rPr>
        <b/>
        <sz val="11"/>
        <color theme="1"/>
        <rFont val="Calibri"/>
        <family val="2"/>
        <scheme val="minor"/>
      </rPr>
      <t>NB</t>
    </r>
    <r>
      <rPr>
        <sz val="11"/>
        <color theme="1"/>
        <rFont val="Calibri"/>
        <family val="2"/>
        <scheme val="minor"/>
      </rPr>
      <t>: Another 1000 TND received from HM borrowing</t>
    </r>
  </si>
  <si>
    <r>
      <rPr>
        <b/>
        <sz val="11"/>
        <color theme="1"/>
        <rFont val="Calibri"/>
        <family val="2"/>
        <scheme val="minor"/>
      </rPr>
      <t>NB</t>
    </r>
    <r>
      <rPr>
        <sz val="11"/>
        <color theme="1"/>
        <rFont val="Calibri"/>
        <family val="2"/>
        <scheme val="minor"/>
      </rPr>
      <t>: 4680 received from GAT assurance following car repair</t>
    </r>
  </si>
  <si>
    <r>
      <rPr>
        <b/>
        <sz val="11"/>
        <color theme="1"/>
        <rFont val="Calibri"/>
        <family val="2"/>
        <scheme val="minor"/>
      </rPr>
      <t>NB</t>
    </r>
    <r>
      <rPr>
        <sz val="11"/>
        <color theme="1"/>
        <rFont val="Calibri"/>
        <family val="2"/>
        <scheme val="minor"/>
      </rPr>
      <t>: 350 TND amount of retroactive salary adjustment on Oct</t>
    </r>
  </si>
  <si>
    <t>Money out
(Exceptional in TND)</t>
  </si>
  <si>
    <r>
      <t>300 TND (</t>
    </r>
    <r>
      <rPr>
        <b/>
        <sz val="11"/>
        <color rgb="FFFF0000"/>
        <rFont val="Calibri"/>
        <family val="2"/>
        <scheme val="minor"/>
      </rPr>
      <t>TBC</t>
    </r>
    <r>
      <rPr>
        <sz val="11"/>
        <color theme="1"/>
        <rFont val="Calibri"/>
        <family val="2"/>
        <scheme val="minor"/>
      </rPr>
      <t>) Syndic annual contribution</t>
    </r>
  </si>
  <si>
    <t>300 TND Adam's swimming annual membership - Q4' 2019 stallment</t>
  </si>
  <si>
    <t>300 TND Adam's swimming annual membership - Q1' 2020 stallment</t>
  </si>
  <si>
    <t>Saving
Including exceptional money in
(Monthly)</t>
  </si>
  <si>
    <t>NPV</t>
  </si>
  <si>
    <t>Value in 5 years including original inv.</t>
  </si>
  <si>
    <r>
      <t xml:space="preserve">inv2 - </t>
    </r>
    <r>
      <rPr>
        <b/>
        <sz val="11"/>
        <color theme="1"/>
        <rFont val="Calibri"/>
        <family val="2"/>
        <scheme val="minor"/>
      </rPr>
      <t>ROI from 2nd year</t>
    </r>
    <r>
      <rPr>
        <sz val="11"/>
        <color theme="1"/>
        <rFont val="Calibri"/>
        <family val="2"/>
        <scheme val="minor"/>
      </rPr>
      <t>, i.e. ROI starts by End of 2021
(Start farming project from the second year to collect benefit by end of 2nd year (Assuming that Benefits will grow progressively YTY…)</t>
    </r>
  </si>
  <si>
    <r>
      <t xml:space="preserve">inv3 - </t>
    </r>
    <r>
      <rPr>
        <b/>
        <sz val="11"/>
        <color theme="1"/>
        <rFont val="Calibri"/>
        <family val="2"/>
        <scheme val="minor"/>
      </rPr>
      <t>ROI from 3rd year</t>
    </r>
    <r>
      <rPr>
        <sz val="11"/>
        <color theme="1"/>
        <rFont val="Calibri"/>
        <family val="2"/>
        <scheme val="minor"/>
      </rPr>
      <t>, i.e. ROI starts by End of 2022
(Start farming project from the 3rd year to start collecting benefits by end of 3rd year (Assuming that Benefits will grow progressively YTY…)</t>
    </r>
  </si>
  <si>
    <r>
      <t xml:space="preserve">inv4 - </t>
    </r>
    <r>
      <rPr>
        <b/>
        <sz val="11"/>
        <color theme="1"/>
        <rFont val="Calibri"/>
        <family val="2"/>
        <scheme val="minor"/>
      </rPr>
      <t>ROI from 4th year</t>
    </r>
    <r>
      <rPr>
        <sz val="11"/>
        <color theme="1"/>
        <rFont val="Calibri"/>
        <family val="2"/>
        <scheme val="minor"/>
      </rPr>
      <t>, i.e. ROI starts by End of 2023
inv4 - (Start farming project from the second year to collect benefit by end of 4th year (Assuming that Benefits will grow progressively YTY…)</t>
    </r>
  </si>
  <si>
    <t>Investment</t>
  </si>
  <si>
    <t>inv1 - Keep money in saving bank account and assume a 10% fictitious annual interest rate</t>
  </si>
  <si>
    <r>
      <t xml:space="preserve">inv5 - </t>
    </r>
    <r>
      <rPr>
        <b/>
        <sz val="11"/>
        <color theme="1"/>
        <rFont val="Calibri"/>
        <family val="2"/>
        <scheme val="minor"/>
      </rPr>
      <t>ROI from 5th year</t>
    </r>
    <r>
      <rPr>
        <sz val="11"/>
        <color theme="1"/>
        <rFont val="Calibri"/>
        <family val="2"/>
        <scheme val="minor"/>
      </rPr>
      <t>, i.e. ROI starts by End of 2024
inv5 - (Start farming project from the second year to collect benefit by end of 4th year (Assuming that Benefits will grow progressively YTY…)</t>
    </r>
  </si>
  <si>
    <r>
      <t xml:space="preserve">Farming project (Business study):
* A five year investment plan NPV analysis
* Acquired land by January 27th 2020
* </t>
    </r>
    <r>
      <rPr>
        <b/>
        <sz val="11"/>
        <color theme="1"/>
        <rFont val="Calibri"/>
        <family val="2"/>
        <scheme val="minor"/>
      </rPr>
      <t>Assumption</t>
    </r>
    <r>
      <rPr>
        <sz val="11"/>
        <color theme="1"/>
        <rFont val="Calibri"/>
        <family val="2"/>
        <scheme val="minor"/>
      </rPr>
      <t>: State value will either remain steady or increase over time --&gt; Original inv. will remain secure</t>
    </r>
  </si>
  <si>
    <t>Stallment (TND)</t>
  </si>
  <si>
    <t>Remaing</t>
  </si>
  <si>
    <t>Spending</t>
  </si>
  <si>
    <t>Salary</t>
  </si>
  <si>
    <t>* 2500 payed back as follows:
  - 2000 -- versement
  - 500 -- cash</t>
  </si>
  <si>
    <t>* Spendings details:
 - 4000 --&gt; Leila's pay back stallment
 - 75 --&gt; SONEDE
 - 200 --&gt; Father monthly allocation 
 - 100 --&gt; Epargne Life insurance (Adam / Skandar)
 - 1500 --&gt; Both loans pay back stallments (~ 1000: House loan, ~ 500: for the 23.000 loan)</t>
  </si>
  <si>
    <t>* Spendings details:
 - 4000 --&gt; Leila's pay back stallment
 - 540 --&gt; Gat car insurance (August stallment -- late payment)
- 650 --&gt; Misc
 - 200 --&gt; Father monthly allocation 
 - 100 --&gt; Epargne Life insurance (Adam / Skandar)
 - 1500 --&gt; Both loans pay back stallments (~ 1000: House loan, ~ 500: for the 23.000 loan)</t>
  </si>
  <si>
    <t xml:space="preserve">* Spendings details:
 - 2500 --&gt; Leila's pay back stallment
 - 750 --&gt; Lawyer fees (2nd and last part)
 - 675 --&gt; STEG
- 650 -- 700 -- &gt; Misc
 - 240  --&gt; Maintenance work (Water leak + Oven bifurcation)
 - 60 --&gt; Pediatre consultation (Skander)
 - 80 --&gt; Dentist consultation (SZ)
 - 200 --&gt; Father monthly allocation 
 - 100 --&gt; Epargne Life insurance (Adam / Skandar)
 - 1500 --&gt; Both loans pay back stallments (~ 1000: House loan, ~ 500: for the 23.000 loan) </t>
  </si>
  <si>
    <t>Saving -- aggregated
(i.e. The actual/expected remaining by end of the month)</t>
  </si>
  <si>
    <t>Leila's</t>
  </si>
  <si>
    <t>Jan</t>
  </si>
  <si>
    <t>Feb</t>
  </si>
  <si>
    <t>Mar</t>
  </si>
  <si>
    <t>Apr</t>
  </si>
  <si>
    <t>May</t>
  </si>
  <si>
    <t xml:space="preserve">Sum = </t>
  </si>
  <si>
    <t>June</t>
  </si>
  <si>
    <t>Loan 2 anticipated payment by when:</t>
  </si>
  <si>
    <t>Borrowed from LM:
* [01/Sep./2020] To payback the loan: 13000 TND 
* [June 2020] Monia's part-1: 2900 TND
* [Sep. 2019] Adam pool subscription: 300 TND
* SUM =</t>
  </si>
  <si>
    <t>* Versement</t>
  </si>
  <si>
    <t>Item or Task</t>
  </si>
  <si>
    <t>Processed by</t>
  </si>
  <si>
    <t>SZ</t>
  </si>
  <si>
    <t xml:space="preserve">Original amount as of 25/Jan/2021 = </t>
  </si>
  <si>
    <t>Gel douche</t>
  </si>
  <si>
    <t>Couches</t>
  </si>
  <si>
    <t>Purchased from</t>
  </si>
  <si>
    <t>Aziza</t>
  </si>
  <si>
    <t>Monoprix</t>
  </si>
  <si>
    <t xml:space="preserve">Solde tout compte (i.e. Remaining) = </t>
  </si>
  <si>
    <t>Operation crediteur</t>
  </si>
  <si>
    <t>Operation debiteur</t>
  </si>
  <si>
    <t>LaPoste withdrawal amount</t>
  </si>
  <si>
    <t>Baba</t>
  </si>
  <si>
    <t>Tensiometre</t>
  </si>
  <si>
    <t>Diabetometre &amp; extra bandelettes</t>
  </si>
  <si>
    <t>Paramedics -- Centre Soukra</t>
  </si>
  <si>
    <t>* Couvrir les frais de la clinique suite a un malaise cerebral (~5200 TND) + medecine from pharmacy + Diabetometre &amp; extra badelettes (125 TND) + Tensiometre (120 TND) + nappies …</t>
  </si>
  <si>
    <t>Remboursement Assurance</t>
  </si>
  <si>
    <t>Nappies (Couches) &amp; others</t>
  </si>
  <si>
    <t>Pharmacy</t>
  </si>
  <si>
    <t>Clinique Soukra (Bulletin de soin# X471252)</t>
  </si>
  <si>
    <t>Renboursement Maghrebia assur. pour la clinique (Bulletin# X471252)</t>
  </si>
  <si>
    <t>* These are consumption figures that are hard to calculate and for which no receipts exist … It's like an underestimated monthly contribution.</t>
  </si>
  <si>
    <t>La carte membership -- 1st parent</t>
  </si>
  <si>
    <t>LaPoste</t>
  </si>
  <si>
    <t>Well being</t>
  </si>
  <si>
    <t>Clinic fees</t>
  </si>
  <si>
    <t>Tooling</t>
  </si>
  <si>
    <t>Medecines</t>
  </si>
  <si>
    <t>Additional medical prescriptions post clinic</t>
  </si>
  <si>
    <t>Did not keep the receipts back then, so counting only the month of the purchase not the exact dates as I don't recall them …</t>
  </si>
  <si>
    <t>Souscription annuelle 1er parent a charge avec La Carte Assurance mutuelle sante -- Opt. 2 sans CNAM</t>
  </si>
  <si>
    <t>Chaise roulante</t>
  </si>
  <si>
    <t>Well being can include:
* Nappies
* Gel douche nettoyant
* Pommade hydratante pour remedier contre le decaillement de la peau seche (mon pere)
* Chaise roulante
* Meubles</t>
  </si>
  <si>
    <t>Doctor</t>
  </si>
  <si>
    <t>Dentist</t>
  </si>
  <si>
    <t>Dentisit visit -- Prothese dentaires Up &amp; down (Bulletin# ???) (Projected -- not purchased yet)</t>
  </si>
  <si>
    <t>Miscellanous (for the month of January)</t>
  </si>
  <si>
    <t>Vaseline (Bucket from pharmacy)</t>
  </si>
  <si>
    <t>* Achat d'un seau de Vaseline pour le decaillement de sa peau, qui se manifeste d'une maniere repetitive</t>
  </si>
  <si>
    <t>Double bed + matress for my father</t>
  </si>
  <si>
    <t>Large single bed (Adam's) pour l'accompagnement + matress</t>
  </si>
  <si>
    <t>Furniture</t>
  </si>
  <si>
    <t>Armoire (Adam's)</t>
  </si>
  <si>
    <t>Table de nuit</t>
  </si>
  <si>
    <t>Le prix consulte chez Tayara et vers les 450 TND sans matela !!</t>
  </si>
  <si>
    <t>Achete il y'a quelques annees de Mallassine furniture market a 180 TND + 50 TND transport</t>
  </si>
  <si>
    <t>Leila mentionne que ca lui a coute 400 TND !!</t>
  </si>
  <si>
    <t>Frais de transport du meuble de l'Aouina a Bordj Cedria</t>
  </si>
  <si>
    <t>Transport</t>
  </si>
  <si>
    <t>* Le mnuisier Sahbi noua aide avec le transport avec son frere
* J'ai verifie les prix ailleurs pas mois de 150 TND chez les transporteurs artisans</t>
  </si>
  <si>
    <t>Tete de lit</t>
  </si>
  <si>
    <t>Leila mentionne que ca lui a coute ~ 400 TND !!</t>
  </si>
  <si>
    <t>LM</t>
  </si>
  <si>
    <t>Laboratory fees</t>
  </si>
  <si>
    <t>* Following father's diarrea and vaumiting, a doctor (Hassen Bordj Cedria) visited my father and asked for few blood analysis to help for the diagnosis</t>
  </si>
  <si>
    <t>* Doctor (Hassen -- Bordj cedria) asked to check with    1. Doppler specialist about any stomac issues, leading to diarrea/constipation
2. Cardio vascular about the left leg possible ulcer …</t>
  </si>
  <si>
    <t>* Purchased a wheel chair for father</t>
  </si>
  <si>
    <t>Doctor visit to Bordj Cedria home</t>
  </si>
  <si>
    <t>Bilan demande par le medecin (Hassen)</t>
  </si>
  <si>
    <t>Administred drugs following the doctor visit</t>
  </si>
  <si>
    <t>* Purchased the medecine from Bordj Cedria pharmacy</t>
  </si>
  <si>
    <t>Food and nappies</t>
  </si>
  <si>
    <t>* Handed over 250 TND to Nadia to take care of father needs -- food, nuppies, etc</t>
  </si>
  <si>
    <t>Handed over money to Nadia (Fees for nappies, food, etc)</t>
  </si>
  <si>
    <t>Paramedics -- rue de Khaled Ibn Al Waid a cote de la pharmacie de nuit</t>
  </si>
  <si>
    <t>Echo doppler demande par le medecin generaliste (Hassen)</t>
  </si>
  <si>
    <t>* Le medecin souhaite ecarter la possibilite que les ulcaire au niveau des pieds ne sont pas dus a des probleme cardio-vasculaire les artiare notement
* Par la meme occasion des echo au niveau:
   - Des reins
   - De la vessie
   Pas de corps etrangers ni d'irregularite -- we are good hmd</t>
  </si>
  <si>
    <t>Doctor visit -- Diabetologue (Bulletin# ???)</t>
  </si>
  <si>
    <t>Kine sessions accomplishement</t>
  </si>
  <si>
    <t>Fees (payed)</t>
  </si>
  <si>
    <t>Fees (Remaining)</t>
  </si>
  <si>
    <r>
      <t xml:space="preserve">
                              Kine (Total payed cash) =
</t>
    </r>
    <r>
      <rPr>
        <sz val="8"/>
        <color theme="1"/>
        <rFont val="Calibri"/>
        <family val="2"/>
        <scheme val="minor"/>
      </rPr>
      <t xml:space="preserve">* La prise en charge CNAM n'est pas consideree dans ce total </t>
    </r>
  </si>
  <si>
    <t>Annule</t>
  </si>
  <si>
    <t>After ~ a month and half following a complaint, Maghrebia has payed an additional 448.891</t>
  </si>
  <si>
    <t>Doctor visit at home -- generalist</t>
  </si>
  <si>
    <t>Scanner sur l'etat des poumons suite a l'essouflement</t>
  </si>
  <si>
    <r>
      <t xml:space="preserve">* Prescription = 50 TND
* Medecine ~ 73 TND
</t>
    </r>
    <r>
      <rPr>
        <sz val="11"/>
        <color rgb="FFFF0000"/>
        <rFont val="Calibri"/>
        <family val="2"/>
        <scheme val="minor"/>
      </rPr>
      <t xml:space="preserve">* </t>
    </r>
    <r>
      <rPr>
        <b/>
        <sz val="11"/>
        <color rgb="FFFF0000"/>
        <rFont val="Calibri"/>
        <family val="2"/>
        <scheme val="minor"/>
      </rPr>
      <t>Claim</t>
    </r>
    <r>
      <rPr>
        <sz val="11"/>
        <color rgb="FFFF0000"/>
        <rFont val="Calibri"/>
        <family val="2"/>
        <scheme val="minor"/>
      </rPr>
      <t xml:space="preserve"> sent to La Carte to include the missing prescription so that medicine would be reimbursed !!
* Following the claim of the missing prescription scan, an additional 62.916 has been payed</t>
    </r>
  </si>
  <si>
    <t>Additional payment by Maghrebia after claim -- about Clinique Soukra (Bulletin de soin# X471252)</t>
  </si>
  <si>
    <t>* Suite a la visite du generaliste et le bilan effectue, Hassen nous a recommende (i.e. Control visit --  Grattuit) un scanner des poumons qui a revele l'existence de l'eau dans les poumons -- a priori la cause de l'essouflement</t>
  </si>
  <si>
    <t>Achat d'un saturometre pour mesurer le taux d'oxygene dans le sang</t>
  </si>
  <si>
    <t>* Suite a l'essouflement de mon pere, un saturometre a ete achete du paramedic shop (Rawia's shop)</t>
  </si>
  <si>
    <t>* Suite a l'essouflement de mon pere qui a commence Dimanche 07/March, Lundi le generaliste lui a rendu visite a la maison Borj Cedria. Il a suspecte au debut et prescrit un bilan sanguin + des medicaments (Voir detail du buletin#  generalist_essouflement_mz_09-03-2021)
* Le bilan a coute 120 dont 10 TND frais de deplacement -- 10 TND non incluse dans le montant (i.e. Montant reel ~ 278.265)</t>
  </si>
  <si>
    <t xml:space="preserve">Hospitalisation (Hopital Ariana -- Abderrahmen Mami) </t>
  </si>
  <si>
    <t>Hospitalisation</t>
  </si>
  <si>
    <t>* Suite a l'essouflement, mon pere a ete amene a l'hopital Ariana des maladies respiratoires:
 - Urgence ~ 20 TND
 - Medecin et radio ~ 60
 - Miscellanous ~ 20</t>
  </si>
  <si>
    <t>Various costs</t>
  </si>
  <si>
    <t>* Miscelanous spendings:
   - Nappies (Couches -- large + couches slip -- medium) = 33
   - Bouteille de Butagaz = 8
   - Miscellanous costs ~ 10</t>
  </si>
  <si>
    <t>Auxiliaire de vie</t>
  </si>
  <si>
    <t>Sabiha salary remainder for March salary</t>
  </si>
  <si>
    <t>Groceries</t>
  </si>
  <si>
    <t>* Magasin General -- Few groceries for father</t>
  </si>
  <si>
    <t>Groceries &amp; fruits + nappies + seringes …</t>
  </si>
  <si>
    <t>* Groceries + seringes + dattes and fruits</t>
  </si>
  <si>
    <t>* Part of this includes an upfront salaty payment for Sabiha (Auxiliaire de vie)</t>
  </si>
  <si>
    <t>Retrait DAB (LaPoste Hamma-Lif)</t>
  </si>
  <si>
    <t>LaPoste - retrait site</t>
  </si>
  <si>
    <t>* Premier retrait DAB de 100 TND pour verifier et preparer pour le salaire de Sabiha (Auxiliaire de vie)</t>
  </si>
  <si>
    <t>Doctor visit -- Neurologue (Bulletin ref# neurologue_neuropathie_mz_20-02-2021)</t>
  </si>
  <si>
    <t>* Visite du neurologue suite au desequilibre moteur (Bulletin# neurologue_neuropathie_mz_20-02-2021) -- possiblement suite au malaise cerebral:
  - Consultation + test neuropathique = 60+140 = 200 TND
  - Pharmacy ~ 140
  - Kine ~ 94.5 = 13.5 * 7 =&gt; 105 = 15 * 7
* The neurologue asked for a 3 month Kine sessions
* Sessions started on Monday Feb. 22nd
* Remboursement par Assurance Carte effectue le 13/04/2021 --&gt; Remboursement pour vitamines rejete ~ 88 TND</t>
  </si>
  <si>
    <t>Scintigraphie pulmonaire -- payement effectue cash</t>
  </si>
  <si>
    <t>Acte de specialiste</t>
  </si>
  <si>
    <t>Retrait DAB (BIAT -- Aouina)</t>
  </si>
  <si>
    <t>Carte LaPoste - retrait DAB</t>
  </si>
  <si>
    <t>* Retrait de 300 TND pour:
  - Remaining of Sabiha (auxiliaire de vie) salary, et
  - Frais divers (nappies, groceries, etc) ~ 60 TND</t>
  </si>
  <si>
    <t>* Miscelanous spendings:
   - Nappies (Couches -- large) = 16.5
   - Miscellanous costs ~ 45 (Fruits, Water, groceries, …)</t>
  </si>
  <si>
    <t>Retrait DAB (LaPoste -- Hammam-Lif)</t>
  </si>
  <si>
    <t>Retrait DAB (BIAT - Bordj Cedria)</t>
  </si>
  <si>
    <t>Achat de couches + Savon + Shampoing</t>
  </si>
  <si>
    <t>* Handed over the remaining of the 100 TND to Nadia to take care of father</t>
  </si>
  <si>
    <t>* Visit Kidney Dr Nadia  to Centre Ibn Rochd Hammam-Lif:
  - Medical prescription = 60
  - Medecine ~ 186.095
  - Bilan ~ 174.500 + 5 ~ 180
* NB: Bulletin rembourse par LaCarte le 03 Avril 2021</t>
  </si>
  <si>
    <t>Kidney doctor visit + medecine + bilan
*ref bulletin# nephrologue_mz_22-03-2021</t>
  </si>
  <si>
    <t>Heart doctor visit + echo cardio
*ref bulletin# cardiologue_mz_23-04-2021</t>
  </si>
  <si>
    <t>* Visite Heart Dr Badii to Centre Ibn Rochd Hammam-Lif:
* Consultaion = 60 TND
* Echo cardio = 120 TND
* Medicine = 48.340 TND
* NB: Bulletin rembourse par LaCarte le 03 Avril 2021</t>
  </si>
  <si>
    <t>* Salaire d'Avril pour auxiliaire de vie (Sabiha)
* She asked to get payed the full salary this time given the Eid festive period to buy stuff for her kids …</t>
  </si>
  <si>
    <t>Sabiha April salary</t>
  </si>
  <si>
    <r>
      <t xml:space="preserve">* La CNAM a accepte de rembourser apres payement --&gt; Depot de la facture effectue le 15/04/2021 chez CNAM Hammam-Lif (Watch for mails from CNAM)
* La CNAM a rembourse </t>
    </r>
    <r>
      <rPr>
        <b/>
        <sz val="11"/>
        <color rgb="FFFF0000"/>
        <rFont val="Calibri"/>
        <family val="2"/>
        <scheme val="minor"/>
      </rPr>
      <t>187.5</t>
    </r>
    <r>
      <rPr>
        <sz val="11"/>
        <color theme="1"/>
        <rFont val="Calibri"/>
        <family val="2"/>
        <scheme val="minor"/>
      </rPr>
      <t xml:space="preserve"> TND par virement direct sur le compte LaPoste de mon pere</t>
    </r>
  </si>
  <si>
    <t>Reglement facture STEG Elec -- Borj Cedria</t>
  </si>
  <si>
    <t>Facture STEG</t>
  </si>
  <si>
    <t>* Payed the electricity bill for period Nov - March 2021</t>
  </si>
  <si>
    <t>Groceries &amp; fruits …</t>
  </si>
  <si>
    <t>MG</t>
  </si>
  <si>
    <t>* Purchased fruits, veggies, fish, chicken, …</t>
  </si>
  <si>
    <t>Miscellanous (for the month of May)</t>
  </si>
  <si>
    <t>Groceries = medecine post COVID vaccine health issues</t>
  </si>
  <si>
    <t>Handed over money to Nadia (Medecine post COVID health issues</t>
  </si>
  <si>
    <t>MG + Pharmacy</t>
  </si>
  <si>
    <t>* Father was not feeling well post COVID vaccine, and I had to take care of him</t>
  </si>
  <si>
    <t>* Nadia cought a virus and she needed to borrow</t>
  </si>
  <si>
    <t>GSM medical team</t>
  </si>
  <si>
    <t>* Father fainted during COVID-19 infection. We had to find an O2 concentrator.
* Price = 400 TND / week
* Rented for two weeks</t>
  </si>
  <si>
    <t>COVID-19 / Concentrateur d'oxygene rental for two weeks</t>
  </si>
  <si>
    <t>COVID-19 / Calling SAMU to bring father to perform a scan for his lungs</t>
  </si>
  <si>
    <t>* During the COVID-19 situation was such the civil protection, i.e. himeya is not available through 198. We had to look for a private SAMU to bring father to the clinic Farabi to perform a scan for his lungs to understand the impact of the covid as per the doctor recommendation.
* Price = 380 TND/each way from Borj Cedria to Farabi clinic Menzeh 6
* Two way trip =&gt; 380 * 2</t>
  </si>
  <si>
    <t>SAMU</t>
  </si>
  <si>
    <t>COVID-19 / GSM team / emergency remote consultation</t>
  </si>
  <si>
    <t>* A medical team came to Borj Cedria for consultation. Price 180 TND
* Performed a rapid test =&gt; The result is positive
* Provided a medical consultation for medecine …</t>
  </si>
  <si>
    <t>COVID-19 / Medecine</t>
  </si>
  <si>
    <t>* Lots of vitamines and medecines are purchased during the treatment period: 06/07 -&gt; 18/07</t>
  </si>
  <si>
    <t>* During my stay in Borj Cedria, I had to purchase groceries, etc</t>
  </si>
  <si>
    <t>* Fater got infected by Zona as a post covid impact (Presumably due to a weak immunity):
* Prior to bringing to the Dermatologue, the generalist advised to purchase some medecine etc ~ 50 TND -&gt; we did not know that it is Zona by then, and it was a Eid period so hard to book appointment with the Dermatologue</t>
  </si>
  <si>
    <t>COVID-19 / Post mortem / Zona infection</t>
  </si>
  <si>
    <t>COVID-19 / Post mortem / Zona infection / Dermatologue</t>
  </si>
  <si>
    <t>COVID - 19 / Groceries …</t>
  </si>
  <si>
    <t>COVID-19 / Post mortem / Visit to Neurologue</t>
  </si>
  <si>
    <t>Aide a domicile (Couchante) / Payer l'agence de service</t>
  </si>
  <si>
    <t>* Payed 120 TND to aide a domicile (Jamila) for the period:  
24/07 --&gt; 31/07</t>
  </si>
  <si>
    <t>* Payer l'agence de service NetGard pour les frais de nous trouver l'assistance a Domicile (Jamila): Resultat:
* Assistante a domicile disponible pour nous aider a prendre soin de mon pere
* Contrat d'une duree de 6 mois pour deux remplacement possible au cas ou Jamila partirai</t>
  </si>
  <si>
    <t>Aide a domicile (Couchante) / Payer la redevance de Juillet a Jamila</t>
  </si>
  <si>
    <t>COVID-19 / TDM scan</t>
  </si>
  <si>
    <t>* A s part of the emergency procedure for father COVID infection was to scan his lungs to check the extent of the viral infection. So, we called a SAMU to bring him to clinic Al Farabi Menzeh 6 from Borj Cedria</t>
  </si>
  <si>
    <t>Clinic Farabi Menzeh 6</t>
  </si>
  <si>
    <t>Receiver</t>
  </si>
  <si>
    <t>House structure assessment</t>
  </si>
  <si>
    <t>Visit and consultancy service of the structure engineer</t>
  </si>
  <si>
    <t>Malik</t>
  </si>
  <si>
    <t>Imen</t>
  </si>
  <si>
    <t xml:space="preserve">Sondages pour aider avec l'assessment de la structure </t>
  </si>
  <si>
    <t>Sondage</t>
  </si>
  <si>
    <t>* Renting of the tools to perform the assessment
* Paying the person who did the sondage
* Bying the ciment …</t>
  </si>
  <si>
    <t>* Half the cost gets payed in advance as agreeed with Imen</t>
  </si>
  <si>
    <t>2nd visit and consultancy service of the structure engineer</t>
  </si>
  <si>
    <t>* Assessed the state of the underground, the house, et le toit</t>
  </si>
  <si>
    <t>* Another visit to assess the viability of the master bedroom balcony widening</t>
  </si>
  <si>
    <t>Phase-1 &gt; architect plan &gt; Pay remaining amount</t>
  </si>
  <si>
    <t>Phase-1 &gt; architect plan &gt; avance de payement</t>
  </si>
  <si>
    <t>Aide a domicile (Couchante) / Payer la redevance d'Aout a Jamila</t>
  </si>
  <si>
    <t>NZ</t>
  </si>
  <si>
    <t>700*</t>
  </si>
  <si>
    <t>* Nadia payed Jamila after withdrawing money with the postal credit card
* Adding a star to make a point that this is not part of the lump debits</t>
  </si>
  <si>
    <t>* Couvrir les frais des depenses usuels, meubles, medecins, chaise roulante, etc</t>
  </si>
  <si>
    <t>Electromenager</t>
  </si>
  <si>
    <t>Element Cuisine + Chauffe bain + Avabo cuisine</t>
  </si>
  <si>
    <t>* Element cuisine + chauffe bain de Nadia --&gt; 2000 TND</t>
  </si>
  <si>
    <r>
      <t xml:space="preserve">* Electromenager (Machine a laver, plaque a gaz, Refrigerateur, Four electrique) --&gt; 2200 TND
</t>
    </r>
    <r>
      <rPr>
        <b/>
        <sz val="11"/>
        <color theme="1"/>
        <rFont val="Calibri"/>
        <family val="2"/>
        <scheme val="minor"/>
      </rPr>
      <t>NB</t>
    </r>
    <r>
      <rPr>
        <sz val="11"/>
        <color theme="1"/>
        <rFont val="Calibri"/>
        <family val="2"/>
        <scheme val="minor"/>
      </rPr>
      <t>: Mon pere a paye 1500 TND, j'ai paye le reste pour la convenance</t>
    </r>
  </si>
  <si>
    <t>NB: A ce jour il reste ~ 1200 - 1500 TND dans le compte LaPoste apres le retrait</t>
  </si>
  <si>
    <t>Ustensils cuisine</t>
  </si>
  <si>
    <t xml:space="preserve">* Couvrir les depenses pour un equipement provisoire de la cuisine:
  - Electromenager (Machine a laver, plaque a gaz, Refrigerateur, Four electrique) --&gt; 2200 TND
  - Des ustensils pour la cuisson, des assiettes, etc -- 260 TND
  - Element cuisine + chauffe bain + Avabo cuisine de Nadia --&gt; 2000 TND
</t>
  </si>
  <si>
    <t>Retrait DAB (LaPoste -- ???)</t>
  </si>
  <si>
    <t>* Withdraw to purchase the utility items for the kitchen; pour la cuisson et tout
* The rest is for groceries …</t>
  </si>
  <si>
    <t>* Des ustensils pour la cuisson, des assiettes, etc pas trop chers --&gt; -- 260 TND</t>
  </si>
  <si>
    <t>* It should be 700 but since the phase is not over yet, we pay 500; the remaining will be payed later …</t>
  </si>
  <si>
    <t>Phase-2 &gt; architect plan - deco &gt; Pay 1st amount avance</t>
  </si>
  <si>
    <t>* The architect has started working on this phase and we have discussed few times about the progress on this already</t>
  </si>
  <si>
    <t>* Withdraw to purchase groceries, nappies, etc
* The remaining will be kept for the Home assistant (i.e. Jamila) salary</t>
  </si>
  <si>
    <t>* A total of nearly 220 TND was spent for my father various needs during the first week after Nadia has left ( A number of items were missing and we had to accommodate):
  * Nappies = 15.5
  * Groceries from MG = 113
  * Olive oil (2l) = 20 TND
  * 25 Bandelettes de tests Glycyemie + Bavette = 23 TND
  * About another 50 TND for additional items and couldnt recall ...</t>
  </si>
  <si>
    <t>* Withdraw to purchase groceries, nappies, etc
* The remaining will be kept for the Home assistant (i.e. Jamila) salary, i.e. 700 TND</t>
  </si>
  <si>
    <t>Groceries from MG + others</t>
  </si>
  <si>
    <t>* Javel Judy (2l) + washing machine liquid from the grocery shop ~ 11 D
* Groceries from MG ~ 47 D
* Nappies = 15.5</t>
  </si>
  <si>
    <t>Gaz de ville</t>
  </si>
  <si>
    <t>STEG</t>
  </si>
  <si>
    <t>Gaz de ville &gt; Demande aupres du 
STEG</t>
  </si>
  <si>
    <t>Promoteur -- STEG</t>
  </si>
  <si>
    <t>* Le promoteur qui a fait le branchement ecterieur du Gaz de ville a pose le coffret = 50 TND</t>
  </si>
  <si>
    <t>Tinda &gt; Couverture pour reduire le rique des pluits sur le sous-sol</t>
  </si>
  <si>
    <t>Societe (SAMFI Sarl)</t>
  </si>
  <si>
    <t>* Achat de 2 plaques armaglass pour proteger les portes externes contre les curieux …
* 10% de remise offerte a l'achat
* 19% de TVA</t>
  </si>
  <si>
    <t>* Societe SAMFI SARL route de Sousse -- Hammam Lif.
* Achat d'une plaque de PolyCarbonate de 5m * 2.80 pour couvrir la tinda de l'entrée sous-sol
* 10% de remise a l'achat
* 19% de TVA</t>
  </si>
  <si>
    <t>Portes exterieures &gt; Achat de plaques ArmaGlass pour securiser les entrees</t>
  </si>
  <si>
    <t>House plan -- Architect</t>
  </si>
  <si>
    <t>Gaz de ville &gt; Raccordement interne cuivre …</t>
  </si>
  <si>
    <t>Bilel</t>
  </si>
  <si>
    <t>Gaz de ville &gt; Frais de license (Mairie)</t>
  </si>
  <si>
    <t>* Payer la mairie pour les frais de demande du permi ou de license de travaux externes pour le branchement du Gaz du reseau STEG</t>
  </si>
  <si>
    <t>Chauffage central</t>
  </si>
  <si>
    <t>Enlever les escaliers</t>
  </si>
  <si>
    <t>Mourad</t>
  </si>
  <si>
    <t>Protection des portes externes</t>
  </si>
  <si>
    <t>Protection tinda</t>
  </si>
  <si>
    <t>Frais &gt; Main d'oeuvre -- protection portes externes</t>
  </si>
  <si>
    <t>Frais &gt; Main d'oeuvre -- protection tinda</t>
  </si>
  <si>
    <t>* Frais de peiture + couverture (estimation) = 300 D</t>
  </si>
  <si>
    <t>* Enlever les escaliers pour proteger le 1er etage contre le cambriolage
* Frais main d'oeuvre (estimee) = 200 D</t>
  </si>
  <si>
    <t>Chauffage &gt; Installation du chauffage central au RDC</t>
  </si>
  <si>
    <t>* Installation du chauffage au RDC (Multicouches apparent pour phase-1 vue l'urgence du chauffage pour mon pere cet Hivers):
   * Achat de la chaudiere ~ 1800 D
   * Achat des radiateurs + seche linge ~ 1500 D ???
   * Achat des restes des outils et multicouches ~ ???
    * Total estime = 4000 a 4500 TND
  * Main d'oevre (Plombier) 1000 D</t>
  </si>
  <si>
    <t>Retrait DAB (BIAT Borj Cedria)</t>
  </si>
  <si>
    <t>* Groceries from MG ~ 43 D
* Nappies = 15 D from Declean
* Others ~ 12 D</t>
  </si>
  <si>
    <t>Aide a domicile (Couchante) / Avance sur la redevance de Septembre de Jamila</t>
  </si>
  <si>
    <t>Frais &gt; Main d'oeuvre -- Escaliers externes Removal</t>
  </si>
  <si>
    <t>Achats des vices, peinture, etc</t>
  </si>
  <si>
    <t>* Achats de la peinture, des vices, fourchette, etc de la quincaillerie Borj Cedria avec Mourad</t>
  </si>
  <si>
    <t>Portes externes &amp; Tenda &gt; Peinture, etc</t>
  </si>
  <si>
    <t>Quincaillerie (Borj Cedria)</t>
  </si>
  <si>
    <t>Planned cost (TND)</t>
  </si>
  <si>
    <t>Actual cost (TND)</t>
  </si>
  <si>
    <t>Gaz de ville / Raccordement interne / Phase-2 :: relier le raccordement</t>
  </si>
  <si>
    <t>Gaz de ville &gt; Pose coffret du compteur par le 
promoteur qui a installe le Gaz</t>
  </si>
  <si>
    <t>* Raccordement interne des lignes de Cuivre vers la chaudiere + Plaque a Gaz
* Achat du cuivre + outils + main d'oeuvre = ???
* Travaux prevus de commencer le 27 ou le 28 Septembre
* Total outils et cuivre estime ~ 500
* Main d'oeuvre (150 TND prevue) --&gt; actual = 260 a raison de 10 D / metre pour une longueur de Cuivre ~ 26 m
* Grand total (Estime) = 650 D
* Grand total (Actual) = 931.4 D --&gt; Voir les factures</t>
  </si>
  <si>
    <t>Aide a domicile (Couchante) / Reste de la redevance de Septembre, i.e. 500 D</t>
  </si>
  <si>
    <t>* Jamila a demande une avance de payement sur son salaire du mois de Septembre = 200 D</t>
  </si>
  <si>
    <t>* Payer Jamila le reste de la redevance de Septembre = 500 D</t>
  </si>
  <si>
    <t>* Groceries from MG ~ 56 D
* Nappies = 15.5 D from Borj Cedria
* Huile (~ 2 l) = 20 D</t>
  </si>
  <si>
    <t>Doctor visit / Nephrologue / Quarterly check up …</t>
  </si>
  <si>
    <t>COVID-19</t>
  </si>
  <si>
    <t>Nephrologue / Quarterly check-up</t>
  </si>
  <si>
    <r>
      <t xml:space="preserve">* Every 3 months, we visit the Nephrologue for a  check-up and to buy necessary medecine and vitamines
* </t>
    </r>
    <r>
      <rPr>
        <b/>
        <sz val="11"/>
        <color theme="1"/>
        <rFont val="Calibri"/>
        <family val="2"/>
        <scheme val="minor"/>
      </rPr>
      <t>NB</t>
    </r>
    <r>
      <rPr>
        <sz val="11"/>
        <color theme="1"/>
        <rFont val="Calibri"/>
        <family val="2"/>
        <scheme val="minor"/>
      </rPr>
      <t>: I pay for the health check from my own money, this is not from my father ...</t>
    </r>
  </si>
  <si>
    <r>
      <t xml:space="preserve">Visit to neurologue following a call from sister complaining about father feeling unwell and unbalanced in his walking. He even falled apparently …
* 60: Cosultation
* ~ 190: medecine
* Kine coming ???
</t>
    </r>
    <r>
      <rPr>
        <b/>
        <sz val="11"/>
        <color theme="1"/>
        <rFont val="Calibri"/>
        <family val="2"/>
        <scheme val="minor"/>
      </rPr>
      <t>NB</t>
    </r>
    <r>
      <rPr>
        <sz val="11"/>
        <color theme="1"/>
        <rFont val="Calibri"/>
        <family val="2"/>
        <scheme val="minor"/>
      </rPr>
      <t>: Payed from my own money not from my father</t>
    </r>
  </si>
  <si>
    <r>
      <t xml:space="preserve">* Booked appointment with the Dermatologue, who confirmed that it is a Zona case
</t>
    </r>
    <r>
      <rPr>
        <b/>
        <sz val="11"/>
        <color theme="1"/>
        <rFont val="Calibri"/>
        <family val="2"/>
        <scheme val="minor"/>
      </rPr>
      <t>NB</t>
    </r>
    <r>
      <rPr>
        <sz val="11"/>
        <color theme="1"/>
        <rFont val="Calibri"/>
        <family val="2"/>
        <scheme val="minor"/>
      </rPr>
      <t>: I payed from my own money for this visit</t>
    </r>
  </si>
  <si>
    <t>* Maintenant que le raccordement du Cuivre  est effectue, on doit relier la plaque de Gaz et le chauffe bain, et faire re-adapter le la plaque de Gaz au nouveau debit …
* Prevue:
  * Main d'oeuvre = 50 D
  * Cache pour le chauffe bain a l'eterieur = 30 - 40 D
* Actual:
  * Main d'oeuvre = 50 D
  * Cache pour le chauffe bain = 30 D
  * items (Achetes chez la quincaillerie) = 44 D</t>
  </si>
  <si>
    <t>* Frais de peinture + protection (Estimation) = 300 D
  * Mourad a eu 200 D
  * Le forgeron a soigne la porte et a recu 100 D</t>
  </si>
  <si>
    <t>* Voir detail du bulletin de soin "ophtalmo_mz_17-11-2021"</t>
  </si>
  <si>
    <t>Expert Maison Bizerte</t>
  </si>
  <si>
    <t>Affaire maison Bizerte / Avance sur frais de l'expert</t>
  </si>
  <si>
    <t>* L'expert alloue par le tribunal demande une avance de 200 TND</t>
  </si>
  <si>
    <t>Affaire maison Bizerte / Reste du payement de l'expert</t>
  </si>
  <si>
    <t>* Le rapport de l'expert est pret et le tribunal a approuve 620 D comme frais total de l'expert; so paying the remainder</t>
  </si>
  <si>
    <t>* J'ai paye la consultation (60 D) + les imageries demandees (360 D) + 50 D ma contribution pour le Laser. Total: 60 + 360 + 50 = 470 D
* Mon pere a paye 400 D out of 450 D comme frais du Laser</t>
  </si>
  <si>
    <t>Aide a domicile (Couchante) / Redevance de Novembre</t>
  </si>
  <si>
    <t>* Weekly Food, nappies
* Sparing 175 D for Jamila's wadges on a weekly basis</t>
  </si>
  <si>
    <t>* Salaire de Jamila pour le mois de Decembre</t>
  </si>
  <si>
    <t>* Salaire de Jamila pour le mois de Novembre</t>
  </si>
  <si>
    <t>* Approximate figure of 125 D as I did not keep track for this month</t>
  </si>
  <si>
    <t>Retrait DAB</t>
  </si>
  <si>
    <t>Visite Nephrologue pour le traitement trimestriel</t>
  </si>
  <si>
    <t>Visite diabetologue pour changer de traitement et nous aider a me regler l'hyper glycemie de mon pere</t>
  </si>
  <si>
    <t>* Voir detail du bulletin de soin "nephrologue_mz_20-12-2021"</t>
  </si>
  <si>
    <t>* Essayer de switcher a l'usage des stylos c'est apparement plus efficace que l'insulatar …
* Le dibetologue nous a aide a mieux comprendre et a mieux traiter sa glycemie …
* Voir details du bulletin de soin "diabeto_mz_21-12-2021"</t>
  </si>
  <si>
    <t>Visite ophtalmo suite a une Retinopathie diabetique + 1ere séance Laser</t>
  </si>
  <si>
    <t>Visite ophtalmo suite a une Retinopathie diabetique + 2eme séance Laser</t>
  </si>
  <si>
    <t>* Suite a un diagnostic du fond de l'oeuil par l'ophtalmologue, mon pere a ete diagnotique par une retinopathie diabetique pour l'oeil droit qui necessite deux seances Laser separe par 3 - 4 semaines max --&gt; Donc mon pere a ete ramene pour avoir une deuxieme seance Laser = 450 TND par seance
* Voir bulletin de soin "ophtalmo_mz_24-12-2021"</t>
  </si>
  <si>
    <t>Aide a domicile (Couchante) / Redevance de Decembre</t>
  </si>
  <si>
    <t>Retrait DAB (Hammam Lif)</t>
  </si>
  <si>
    <t>* Weekly Food, nappies:
 - MG groceries: 106.450 (MG ticket exists)
 - Nappies from another store (No ticket provided): 16.500 TND
- Eggs + Garlic from condiment shop (No tikcet provided): ~ 10 TND
* Sparing the rest for Jamila's wadges on a weekly basis</t>
  </si>
  <si>
    <t>* Nappies + groceries ~ 130 TND</t>
  </si>
  <si>
    <t>Paying Electricity bill for Maison Borj Cedria</t>
  </si>
  <si>
    <t>* Salaire de Jamila pour le mois de Janvier</t>
  </si>
  <si>
    <t>Aide a domicile (Couchante) / Redevance de Janvier</t>
  </si>
  <si>
    <t>Aide a domicile (Couchante) / Redevance de Fevrier</t>
  </si>
  <si>
    <t>Depenses (Groceries, nappies, and others) for the month of February</t>
  </si>
  <si>
    <t>Retraits DAB (Somme) -- au cours de Fevrier pour couvrir les depenses menssuelles hors medicaments, et operations de sante (doctors, etc)</t>
  </si>
  <si>
    <t>Retraits DAB (Somme) -- au cours de Mars pour couvrir les depenses menssuelles hors medicaments, et operations de sante (doctors, etc)</t>
  </si>
  <si>
    <t>Aide a domicile (Couchante) / Redevance de Mars</t>
  </si>
  <si>
    <t>Depenses (Groceries, nappies, and others) for the month of March</t>
  </si>
  <si>
    <t>Visite Diabetologue pour traitement trimestriel</t>
  </si>
  <si>
    <t>* L'insuline est prise en charge par AP1
* A separate payment for doctor consultation + feet medicine to clean father's feet</t>
  </si>
  <si>
    <t>Sondage / Digging</t>
  </si>
  <si>
    <t>Chokri</t>
  </si>
  <si>
    <t>Sondage / Additional pipes, and tools</t>
  </si>
  <si>
    <t>* Initial pipes + engine fixed on the D day</t>
  </si>
  <si>
    <t>Chokri + Quincaillerie (Borj Cedria)</t>
  </si>
  <si>
    <t>* Additional tools and pipes to fix the engine with the pipes 
* Payed Chokri to fix tthe engine and twick the pipes</t>
  </si>
  <si>
    <t>Sondage / Build the outer container</t>
  </si>
  <si>
    <t>Mourad (Builder)</t>
  </si>
  <si>
    <t>* Built the chamber for the water source (Sondage)</t>
  </si>
  <si>
    <t>Sondage / Troubleshooting the water purging mechanism and explain it</t>
  </si>
  <si>
    <t>Sondage / Electricity / Material</t>
  </si>
  <si>
    <t>Electric shop</t>
  </si>
  <si>
    <t>Sondage / Electricity / Set up the electricity to control electricity from the chamber</t>
  </si>
  <si>
    <t>Hakim (Electricien)</t>
  </si>
  <si>
    <t>Porte coulissante</t>
  </si>
  <si>
    <t>Porte coulissante / Acheter la porte</t>
  </si>
  <si>
    <t>Porte coulissante / build the rails &amp; the upper one</t>
  </si>
  <si>
    <t>Royal Porte automatique (seller)</t>
  </si>
  <si>
    <t>Porte coulissante / Electricity / Materiel</t>
  </si>
  <si>
    <t>Porte coulissante / Miscellanous</t>
  </si>
  <si>
    <t>Sondage / Engine + pipes + crepiere …</t>
  </si>
  <si>
    <t>Montant</t>
  </si>
  <si>
    <t>Payement expert alloue par le tribunal primaire (Bizerte)</t>
  </si>
  <si>
    <t>Payement frais du retrait du verdict de la premiere instance</t>
  </si>
  <si>
    <t>Payement expert (prive)</t>
  </si>
  <si>
    <t>Father</t>
  </si>
  <si>
    <t>Payement avocat</t>
  </si>
  <si>
    <t>Payement de la maison</t>
  </si>
  <si>
    <t>* Cheque de 30000 D
* Cheque de 20000 D</t>
  </si>
  <si>
    <t>Payement enregistrement (Recette des Finances)</t>
  </si>
  <si>
    <t>Payement des notaire pour avertir les proprietaires et le voisin</t>
  </si>
  <si>
    <t>* Payement des notaire (i.e. 2 un a Bizerte et un a Tunis pour les 3 personnes (une habite a Bizerte et 2 habitent a Tunis)
* Payement d'un 3eme notaire pour avertir le voisin</t>
  </si>
  <si>
    <t>Porte coulissante / Electricien</t>
  </si>
  <si>
    <t>* Including the the door and the engine</t>
  </si>
  <si>
    <t>Porte coulissante / Builder</t>
  </si>
  <si>
    <t>* Lika et tarbii</t>
  </si>
  <si>
    <t>Fuite bit stah</t>
  </si>
  <si>
    <t>Reparation fuite bit stah / Materiel</t>
  </si>
  <si>
    <t>payed</t>
  </si>
  <si>
    <t>Quancaillerie</t>
  </si>
  <si>
    <t>Mokrani</t>
  </si>
  <si>
    <t>Reparation du toit des shops / Materiel</t>
  </si>
  <si>
    <t>Reparation toits des dakakines</t>
  </si>
  <si>
    <t>Quancaillerie (240 D) + dibbou du ciment (50.400)</t>
  </si>
  <si>
    <t>Reparation du toit des shops / Builder</t>
  </si>
  <si>
    <t>Reparation fuite bit stah / Builder</t>
  </si>
  <si>
    <t>* Payed the builder 400 D pour les 3 taches (Porte coulissante + Fuite bit stah + toits des dokkens) ...</t>
  </si>
  <si>
    <t>Mourad the builder</t>
  </si>
  <si>
    <t>Morad the builder</t>
  </si>
  <si>
    <t>Reparation du sous-sol (Phase-1) / Materiel</t>
  </si>
  <si>
    <t>Sous-sol</t>
  </si>
  <si>
    <t>Reparation du sous-sol (Phase-1) / Builder</t>
  </si>
  <si>
    <t>Porte coulissante / Fausse d'eau + external ciement re-slope / Builder</t>
  </si>
  <si>
    <t>Porte-coulissante</t>
  </si>
  <si>
    <t>Porte coulissante / Fausse d'eau + external ciment re-slope / Material</t>
  </si>
  <si>
    <t>* 3 sachets ciment Kharrouba ~ 60 TND
* Un tube pvc (63/3, 4m de long le vendeur n'a pas plus petit que ca) pour acheminer l'eau de la fausse interieure vers l'exterieur = 38 TND
* Reduction (63/50) pour adapter la maskouka de la fausse au tube pvc = 2500
* graisse pour la "sikka" sous la porte coulissante = 3 TND</t>
  </si>
  <si>
    <r>
      <t xml:space="preserve">* Mastic externe
* Resine du bois
* Papiers abrasifs
NB: Le surfacere, le ciment, le ciment colle, et la Sikka ont été déjà achete lors dutraitement des toits (déjà comptes)
* </t>
    </r>
    <r>
      <rPr>
        <b/>
        <sz val="11"/>
        <color rgb="FFFF0000"/>
        <rFont val="Calibri"/>
        <family val="2"/>
        <scheme val="minor"/>
      </rPr>
      <t>Complement</t>
    </r>
    <r>
      <rPr>
        <sz val="11"/>
        <color rgb="FFFF0000"/>
        <rFont val="Calibri"/>
        <family val="2"/>
        <scheme val="minor"/>
      </rPr>
      <t xml:space="preserve"> surfacere de 5l (le mure absorbe trop de surfacere) = 13 TND</t>
    </r>
  </si>
  <si>
    <r>
      <t xml:space="preserve">* 3 sachets de ciment (Kharouba) = 50,400 D
* Sika Ceram + SikaLatex + Superlatex + Rouleau anti goute = 240,386 D
* Sachet jiir etanche pour les toits des dokkens = 32 D
* </t>
    </r>
    <r>
      <rPr>
        <b/>
        <sz val="11"/>
        <color rgb="FFFF0000"/>
        <rFont val="Calibri"/>
        <family val="2"/>
        <scheme val="minor"/>
      </rPr>
      <t>Complement</t>
    </r>
    <r>
      <rPr>
        <sz val="11"/>
        <color rgb="FFFF0000"/>
        <rFont val="Calibri"/>
        <family val="2"/>
        <scheme val="minor"/>
      </rPr>
      <t xml:space="preserve"> Ciment colle vue que l'eau stagnait</t>
    </r>
    <r>
      <rPr>
        <sz val="11"/>
        <color theme="1"/>
        <rFont val="Calibri"/>
        <family val="2"/>
        <scheme val="minor"/>
      </rPr>
      <t xml:space="preserve"> = 12</t>
    </r>
  </si>
  <si>
    <t>* Une avance de 100 TND a été donné au macon (Mourad)
* 400 TND payee le 10 Nov 2022 -- reste 100 TND pour chambre sous-sol phase-I + porte coulissante
Remark: 
  - Les "regaratts" ont été debouchee suite a une fuite observée au sous-sol</t>
  </si>
  <si>
    <t>Regara externe / debouchee et reparee</t>
  </si>
  <si>
    <t>Fausse externe connectant avec le reseau ONAS</t>
  </si>
  <si>
    <t>* Suite a une observation de l'etat mediocre de la fausse externe reliant les fausses internes au reseau de l'ONAS, une reparation externe du couvercle ainsi qu'un debouchement de toute les fausses a été effectuee pour essayer d'eviter les fuites d'eau vers le sous sol
* Cette activite a ete compte dans les 600 TND qui englobe (Chambre sous-sol phase-1 + porte coulissante + reparation externe de la fausse et debouchement des fausses); du coup no spcific fees for this task</t>
  </si>
  <si>
    <t>emptying underground</t>
  </si>
  <si>
    <t>Vider le sous sol / main d'œuvre</t>
  </si>
  <si>
    <t>Vider le sous sol / transporteur</t>
  </si>
  <si>
    <t>emptying the roof</t>
  </si>
  <si>
    <t>Vider le toit des choses inutiles / main d'ouvre</t>
  </si>
  <si>
    <t>* Mourad m'a aide a se debarraser des choses inutiles au sous sol</t>
  </si>
  <si>
    <t>* Mourad m'a aide a se debarrasser des choses inutiles au sous sol</t>
  </si>
  <si>
    <t>NA</t>
  </si>
  <si>
    <t>* Payement des notaire (i.e. 2 un a Bizerte et un a Tunis pour les 3 personnes (une habite a Bizerte et 2 habitent a Tunis)
* Un email m'a été envoye par l'avocat sur ma boite email fisglobal.com</t>
  </si>
  <si>
    <t>Payement de l'huissier pour informer les 3 vendeurs du resultat du verdict du tribunal de la premiere instance</t>
  </si>
  <si>
    <t>Honoraire de l'avocat pour nous presenter aupres du cours d'appel
* Pas encore paye l'attesttion des honoraires est sauvegardee sous -- C:\Users\e1079458\work\father\affaire maison Bizerte</t>
  </si>
  <si>
    <t>Trax to dig the septic tank (Fausse septique)</t>
  </si>
  <si>
    <t>Fausse septique externe</t>
  </si>
  <si>
    <t>Mehrez</t>
  </si>
  <si>
    <t>Buying material for the septic tank</t>
  </si>
  <si>
    <t>* Payed by check</t>
  </si>
  <si>
    <t>Wages for the labour workers (builders)</t>
  </si>
  <si>
    <t>Transporting the door from Borj Cedria</t>
  </si>
  <si>
    <t>Backyard door</t>
  </si>
  <si>
    <t>Transfer wiring from Post office</t>
  </si>
  <si>
    <t>* Digged the whole, which lasted about 4h
* 4 x 50 = 200 TND
* Transfer wiring from Post office</t>
  </si>
  <si>
    <t>* Payed Mehrez 600 TND cash (140 for transportation of the door from Borj Cedria, and the remaining 460 to labours for transfprming the window into a door + emptying the backyard …)
  * Two labours for about 5 days</t>
  </si>
  <si>
    <t>Plomberie</t>
  </si>
  <si>
    <t>Plomerie externe (Compteur d'eau, douche, robinet) / Main d'œuvre plombier</t>
  </si>
  <si>
    <t>Plomerie externe (Compteur d'eau, douche, robinet) / materiel</t>
  </si>
  <si>
    <t>Anis</t>
  </si>
  <si>
    <t>Plomberie externe + compteur d'eau
* Date 31/07/2023 --&gt; payed 100 acompte pour Anis le plombier</t>
  </si>
  <si>
    <t>Plomberie externe + compteur d'eau
* Date 29/07/2023 --&gt; achat du compteur + accessoires Mzoughi (Ezzahra)
* Date 31/07/2023 --&gt; achat raccordement + autres accessoires (Cherif dar allouche)</t>
  </si>
  <si>
    <t>Electricite / Electricien</t>
  </si>
  <si>
    <t>* Date 31/07/2023 - Pyed 100 D acompte pour Mongi l'electricien</t>
  </si>
  <si>
    <t>Electricite / Accessoires</t>
  </si>
  <si>
    <t>Electricite</t>
  </si>
  <si>
    <t>Maconnerie (Kitchinette, Douche &amp; toilette, terrasse) / Builder</t>
  </si>
  <si>
    <t>Maconnerie (Kitchinette, Douche &amp; toilette, terrasse) / accessoires &amp; outils</t>
  </si>
  <si>
    <t>Building the studio</t>
  </si>
  <si>
    <t>*Date 14/08 --&gt; Bought ciment + bricks (bou 12) + some pvc + sicka</t>
  </si>
  <si>
    <t>Maconnerie (Kitchinette, Douche &amp; toilette, terrasse) / Builder / Fond de roulement</t>
  </si>
  <si>
    <r>
      <t xml:space="preserve">* Date 09/08 --&gt; Payed </t>
    </r>
    <r>
      <rPr>
        <sz val="11"/>
        <color rgb="FFFF0000"/>
        <rFont val="Calibri"/>
        <family val="2"/>
        <scheme val="minor"/>
      </rPr>
      <t>200 D acompte pour Mourad</t>
    </r>
    <r>
      <rPr>
        <sz val="11"/>
        <color theme="1"/>
        <rFont val="Calibri"/>
        <family val="2"/>
        <scheme val="minor"/>
      </rPr>
      <t xml:space="preserve"> le macon</t>
    </r>
  </si>
  <si>
    <r>
      <t xml:space="preserve">* Date 19/08 --&gt; Payed </t>
    </r>
    <r>
      <rPr>
        <sz val="11"/>
        <color rgb="FFFF0000"/>
        <rFont val="Calibri"/>
        <family val="2"/>
        <scheme val="minor"/>
      </rPr>
      <t>900 D acompte pour Mourad</t>
    </r>
    <r>
      <rPr>
        <sz val="11"/>
        <color theme="1"/>
        <rFont val="Calibri"/>
        <family val="2"/>
        <scheme val="minor"/>
      </rPr>
      <t xml:space="preserve"> the builder</t>
    </r>
  </si>
  <si>
    <t>* Date 19/08 --&gt; Gave 300 D fond de roulement pour Mourad au cas ou il en aura besoin d'argent</t>
  </si>
  <si>
    <r>
      <t xml:space="preserve">* Date 14/08 --&gt; Gave 250 D fond de roulement pour Mourad au cas ou il en aura besoin d'argent
* Of these 250 D, Mourad bought les caissons and payed Mehrez 20 for transport + some others --&gt; 120 D
Conclusion: Le reste est 250 - 120 = </t>
    </r>
    <r>
      <rPr>
        <sz val="11"/>
        <color rgb="FFFF0000"/>
        <rFont val="Calibri"/>
        <family val="2"/>
        <scheme val="minor"/>
      </rPr>
      <t>130 D acompte pour Mourad</t>
    </r>
  </si>
  <si>
    <r>
      <t xml:space="preserve">* Date 09/08 --&gt; Accessoire (grevet + sable + fer + ciment + bricks)
* Miscellanous: Legumes (25D) + Dejeuner pour builder (10D) + barwita (60 D) + miscellanous accessories ~ 100 D
* </t>
    </r>
    <r>
      <rPr>
        <b/>
        <sz val="11"/>
        <color theme="4"/>
        <rFont val="Calibri"/>
        <family val="2"/>
        <scheme val="minor"/>
      </rPr>
      <t>On Monday 14/08 on our way driving to Dar Allouche, Mourad and I agreeed to get stuff done for 5000 D</t>
    </r>
    <r>
      <rPr>
        <sz val="11"/>
        <color theme="1"/>
        <rFont val="Calibri"/>
        <family val="2"/>
        <scheme val="minor"/>
      </rPr>
      <t xml:space="preserve"> including the following:
  - Fausse sceptique bien finie
  - Salle d'eau bien finie avec faience et tuyoterie excluding plomberie et electricite
  - Terrasse bien finie avec banquettes
  - Jardin avec sable applati (voire gazon etalé)
  - Scratcher ellika du kabwe et la refaire + peinture externe
  - Peinture interne du Kabwe
  - Parterre du kabwe
  - Kitchenette finie et depot du marbre et fixation sans plomberie ni electricite
  - Casser et tarbii la porte de la veranda + fixation caisson
  - Casser la fenetre de la kitchenette + tarbii la fenetre + caisson</t>
    </r>
  </si>
  <si>
    <t>* Date 31/07/2023 - Achat accessoires electricite part-1 Dar Allouche</t>
  </si>
  <si>
    <r>
      <t xml:space="preserve">* Date 09/08 --&gt; </t>
    </r>
    <r>
      <rPr>
        <sz val="11"/>
        <color rgb="FFFF0000"/>
        <rFont val="Calibri"/>
        <family val="2"/>
        <scheme val="minor"/>
      </rPr>
      <t>Payed 60 D acompte pour Mourad</t>
    </r>
    <r>
      <rPr>
        <sz val="11"/>
        <color theme="1"/>
        <rFont val="Calibri"/>
        <family val="2"/>
        <scheme val="minor"/>
      </rPr>
      <t xml:space="preserve"> le macon</t>
    </r>
  </si>
  <si>
    <r>
      <t xml:space="preserve">* Date Friday Sep. 8th --&gt; Payed </t>
    </r>
    <r>
      <rPr>
        <sz val="11"/>
        <color rgb="FFFF0000"/>
        <rFont val="Calibri"/>
        <family val="2"/>
        <scheme val="minor"/>
      </rPr>
      <t>900 D acompte pour Mourad</t>
    </r>
    <r>
      <rPr>
        <sz val="11"/>
        <color theme="1"/>
        <rFont val="Calibri"/>
        <family val="2"/>
        <scheme val="minor"/>
      </rPr>
      <t xml:space="preserve"> le macon</t>
    </r>
  </si>
  <si>
    <t>March 2023</t>
  </si>
  <si>
    <t>Rent situation -- Arrieres de payement de loyer</t>
  </si>
  <si>
    <t>January 30th 2024 (Mourad payed 400 D)</t>
  </si>
  <si>
    <t>June 2023 (Mourad payed 600 D)</t>
  </si>
  <si>
    <t>August 2023 (Mourad payed 1000 D)</t>
  </si>
  <si>
    <t>December 2023 (Mourad payed 800 D)</t>
  </si>
  <si>
    <t>Enregistrement du jugement cours de cassassion (Recette des Finances)</t>
  </si>
  <si>
    <t>* Fils electriques + Multitouches</t>
  </si>
  <si>
    <t>Quincaillerie</t>
  </si>
  <si>
    <t>Quincaillerie / Accessoires</t>
  </si>
  <si>
    <t>* Disq diamant, pelle, Seau macon plastic, Tube gorge, …</t>
  </si>
  <si>
    <t>Materiaux de construction / Accessoires</t>
  </si>
  <si>
    <t>Frais divers</t>
  </si>
  <si>
    <t>Builders groceries / lunch /etc</t>
  </si>
  <si>
    <t>* Buying groceries, lunch, etc for builders</t>
  </si>
  <si>
    <t>* Sable, Ciment, Gravier, Bricks, etc</t>
  </si>
  <si>
    <t>Aluminium</t>
  </si>
  <si>
    <t>Sanitaire</t>
  </si>
  <si>
    <t xml:space="preserve">* Avabo, robinets, melangeurs, toilette, parterre, faillence, faux plafond </t>
  </si>
  <si>
    <t>Jardin et gazon</t>
  </si>
  <si>
    <t>Jardin</t>
  </si>
  <si>
    <t xml:space="preserve">* Acheter le gazon, tuyauterie pour eau, </t>
  </si>
  <si>
    <t>House painting</t>
  </si>
  <si>
    <t>Meubles et accessoires</t>
  </si>
  <si>
    <t>Climatisation et chauffage</t>
  </si>
  <si>
    <t>Securite</t>
  </si>
  <si>
    <t>Internet</t>
  </si>
  <si>
    <t>Building the bathroom</t>
  </si>
  <si>
    <t>Building the storage room</t>
  </si>
  <si>
    <t>* Une chambre pour la machine a laver, le chauffaud, et des placards plutard pour le storage</t>
  </si>
  <si>
    <t>* 4 tubes de 100 et autres</t>
  </si>
  <si>
    <t>Building the parterre, mosaiques, likha …</t>
  </si>
  <si>
    <t>* Colla -- 155 DT
* Charchour 4/8 -- 160 DT</t>
  </si>
  <si>
    <t xml:space="preserve">* Evier pour cuisine, toilette, faillences, parterre douche / cuisine + salon / terrasse avant / terrasse arriere </t>
  </si>
  <si>
    <t xml:space="preserve">* Lavabo, mitigeurs (toilette, douche, cuisine, avabo), </t>
  </si>
  <si>
    <t>Sanitaire et Ceramique</t>
  </si>
  <si>
    <t xml:space="preserve">Lavabo, mitigeurs (toilette, douche, cuisine, avabo), </t>
  </si>
  <si>
    <t>Toilette + faillence et parterre</t>
  </si>
  <si>
    <t>* Multicouche (30m), Collecteur pour les robinets, PVC coudes, et accessoires</t>
  </si>
  <si>
    <t>* Perceuse (Brandt), PVCs, et autres accessoires</t>
  </si>
  <si>
    <t>Fils electriques rouge + bleu</t>
  </si>
  <si>
    <t>* Fils electriques + accessoires</t>
  </si>
  <si>
    <t>Cadres bois pour la cuisine</t>
  </si>
  <si>
    <t>Menuiserie</t>
  </si>
  <si>
    <t>* Lotfi le menuisier a fabrique le cadre pour que Mohamed puisse construire les peliers de la cuisine</t>
  </si>
  <si>
    <t>* Buying psissa Noisette + Thon + Huile d'olive from BY ~ 100 D
* Buying lunch, groceries, for builders …</t>
  </si>
  <si>
    <t>Lampe LED et tube gorge pour fils STEG</t>
  </si>
  <si>
    <t>* Tube Gorge pour remplacer l'existant pour le cable de la STEG</t>
  </si>
  <si>
    <t>* Arriere de 215 D
* Autres accessoires</t>
  </si>
  <si>
    <t>Radiateur seche linge de douche</t>
  </si>
  <si>
    <t>* Quincaillerie de Kelibia</t>
  </si>
  <si>
    <t>Barres chromee pour revetement des niches de la salle d'eau</t>
  </si>
  <si>
    <t>* Barre pour les bordures des niches de la salle d'eau</t>
  </si>
  <si>
    <t>* Buying lunch, groceries, etc for builders …</t>
  </si>
  <si>
    <t>Pause du parterre et faillences</t>
  </si>
  <si>
    <t>* 2 x OM sable
* 1 tonne ciment (CPA)
* 15 kg ciment blanc</t>
  </si>
  <si>
    <t>Marbre et Granite</t>
  </si>
  <si>
    <t xml:space="preserve">* Granite Galaxy noir = 850 * 2.75 = 2337 D --&gt; Cuisine
* Marbre Greece / Italy = 220 * 2 + 200 * 1.36 --&gt; entree des 3 portes + Separation Cuisine et Salla = 2m * 220 D (epaisseur 3 cm). Les trois fenetres 1m36 * 200 D (Epaiseeur 2 cm).
* Total marbre + granite  = 3050 D -- reduit a 2950 D
</t>
  </si>
  <si>
    <t>Quincaillerie / Accessoires / Salle d'eau …</t>
  </si>
  <si>
    <t>Quincaillerie / Accessoires / Joints de serrage</t>
  </si>
  <si>
    <t>Materiaux de construction / Accessoires / Ciment colle</t>
  </si>
  <si>
    <t>Building Parterre</t>
  </si>
  <si>
    <t>* Joints de serrage parterre salon --&gt; payed cash</t>
  </si>
  <si>
    <t>* Acheter Ciment colle avec livraison --&gt; Payed cash
* 310 = 15.5 D * 20 sacs
* Livraison = 10 D</t>
  </si>
  <si>
    <t>Quincaillerie Chrif Dar Allouche: Payed by Check
* Mitigeur de douche (Douz) --&gt; 240 D pour Dar Allouche
* Mitigeur de douche (Douz) --&gt; 240 D pour appart. Printemps II
* Mitigeur de Lavabo (Douz) --&gt; 180 D
* Robinet de toilette + tuyeau (Douz) --&gt; 70 D
* Colonne de douche (Bizerte) avec inverseur --&gt; 430 D
-- les items en hauts ensemble ont coute: 1210 D
* Raccordements de l'eau Bragaterre --&gt; multicouche, robinet pour le backyard, d'autre racordements ... : 130 D</t>
  </si>
  <si>
    <t>Spots et lampes pour eclairage</t>
  </si>
  <si>
    <t>Cherif (Electricite):
* Lampe Spots et lampes pour eclairage de la salle d'eau
* Fils electriques souples 2.5
* Piquet de terre pour la masse electrique +  wires
* Boites etanches 
* Socle etanche
Douilles
…</t>
  </si>
  <si>
    <t>Ribera Gris faillence (Un paquet) pour remplacer la fausse couleur</t>
  </si>
  <si>
    <t>* Called Saif from NATRAC - Kelibia pour achat du paquet. Je me suis deplace a Kelibia.</t>
  </si>
  <si>
    <t>* Carreaux Joint pour parterre (2 seaux)
* Disk pierre
* Taloche macon</t>
  </si>
  <si>
    <t>Platre (Faux plafond pour Salle d'eau)</t>
  </si>
  <si>
    <t>Faux plafond</t>
  </si>
  <si>
    <t>* Payed 230 D to Mohamed macon to hand it over to the jabbess</t>
  </si>
  <si>
    <t>Materiaux de construction / Ciment et sable / Parterre</t>
  </si>
  <si>
    <t>* Acheter Ciment CPA avec livraison --&gt; Payed avec credit
* 277.5 = 18.5 D * 15 sacs
* OM sable = 150 D</t>
  </si>
  <si>
    <t>Fils electriques + appliques + interrupteurs</t>
  </si>
  <si>
    <t>Cherif (Electricite):
* Fils electriques
* 4 appliques pour terrasse externe
* Bouton poussoir pour lestore Aluminium</t>
  </si>
  <si>
    <t>Quincaillerie / Accessoires / Carreau joints Gris (2 seaux)</t>
  </si>
  <si>
    <t>Quincaillerie / Accessoires / Siphon du lavabo et accessoires</t>
  </si>
  <si>
    <t>Quincaillerir / Accessoires / Salle d'eau …</t>
  </si>
  <si>
    <t xml:space="preserve">* Achte Lavabo + meuble + Miroir LED de Time Design Ezzahra
</t>
  </si>
  <si>
    <t>Forgeron / Portes et fenetres</t>
  </si>
  <si>
    <t>Securite des portes et fenetres</t>
  </si>
  <si>
    <t>* Avance de 1500 D pour Said le forgeron pour commencer la preparation des portes et fenetres</t>
  </si>
  <si>
    <t>*  Raccord
* Siphon Lavabo
* Carreau joint</t>
  </si>
  <si>
    <t>Quincaillerie / Accessoires / Siphon et mitigeur de la cuisine et autres accessoires</t>
  </si>
  <si>
    <t>Items include:
* Mitigeur cuisine = 226 D
* Couvercle de sol 50*50 a Siphon pour la ragard = 86 D
* Robinet machine a laver = 13.500
* Siphon pour levier de la cuisine = 18.225</t>
  </si>
  <si>
    <t>Items include:
* Entretoise = 43.095
* Vanne multicouche = 18.308</t>
  </si>
  <si>
    <t>Building parterre terrasse externe</t>
  </si>
  <si>
    <t>* Achat du sable = 150 D
* Achat du CPA * 12 = 222 D
* Achat de briques * 40 = 28 D</t>
  </si>
  <si>
    <t>* Ciment colle Deutch 1000 * 7 = 108.500 D
* 10 D de transport</t>
  </si>
  <si>
    <t>* Internet pour cameras de surveillance
* 1ere mensualite = 69.875 which includes hardware and installation fees</t>
  </si>
  <si>
    <t>Quincaillerie / Accessoires / Surfacaire ..</t>
  </si>
  <si>
    <t>* Achat surfacaire pour l'exterieur (Le Vrai :: compatible avec Graffitis)
* Rouleau pour peinture, papier abrasif, Pinceau plat, enduit , …</t>
  </si>
  <si>
    <t xml:space="preserve">Quincaillerie / </t>
  </si>
  <si>
    <t>* Mehrez helped Mohamed the builder to buy accessories</t>
  </si>
  <si>
    <t>Fils electriques</t>
  </si>
  <si>
    <t>Cherif (Electricite):
* Fils electriques, etc</t>
  </si>
  <si>
    <t>Lampe + detecteur de mouvement</t>
  </si>
  <si>
    <t>Quincaillerie (Amm Ali)</t>
  </si>
  <si>
    <t>* Aluminium black X 5
* Store white X 3
* Moustiquaire X 5</t>
  </si>
  <si>
    <t>Cadres bois pour les 2 portes</t>
  </si>
  <si>
    <t>(Lotfi le menuisier)
* Porte d'entree 1000 DT
* Porte de douche 400 DT
* Peinture = 600 DT</t>
  </si>
  <si>
    <t>* Lotfi le menuisier a fabrique le cadre pour les 2 portes (Porte d'entree + Porte de douche)</t>
  </si>
  <si>
    <t>Quincaillerie / Accessoires / Ciphon (Trop plain pur evier cuisine)</t>
  </si>
  <si>
    <t>*  Ciphon (Trop plain pur evier cuisine)
* Toile isolant</t>
  </si>
  <si>
    <t>Quincaillerie / Accessoires / Interphone</t>
  </si>
  <si>
    <t>Materiel pour interphone:
* Tube gorge
* Fils rigides
* Boite etanche
* Domino</t>
  </si>
  <si>
    <t>* Visit with Adam et Skander</t>
  </si>
  <si>
    <t>Transporter</t>
  </si>
  <si>
    <t>* Payed Mohamed pour synchronizer avec Mehrez to bring Trax + berlet to pick up the "rdam"</t>
  </si>
  <si>
    <t>Materiaux de construction / Barre en fer</t>
  </si>
  <si>
    <t>Building the fence</t>
  </si>
  <si>
    <t>* Bought iron bar from Amm Al Hedi to redesign the "Sour de la porte coulissante"</t>
  </si>
  <si>
    <t>Trax + Berlet to pick up the "rdam"</t>
  </si>
  <si>
    <t>Frais de transport pour Mehrez</t>
  </si>
  <si>
    <t>* 50 DT pour Mehrez pour aider avec des taches de transport …</t>
  </si>
  <si>
    <t>Interphone et applique</t>
  </si>
  <si>
    <t>Cherif (Electricite):
* Applique externe
* Cables interphone
* Tube gorge …</t>
  </si>
  <si>
    <t>Materiaux de construction / porte coulissante externe …</t>
  </si>
  <si>
    <t>* Semi OM rmal
* 6 ciment CPA</t>
  </si>
  <si>
    <t>Quincaillerie / Accessoires / Chauffe bain, Serrure Cisa electrique</t>
  </si>
  <si>
    <t>* Chauffe eau
* Serrure electrique Cisa …</t>
  </si>
  <si>
    <t>Portes / Design, assemble, and paint the doors</t>
  </si>
  <si>
    <t>Portes / Buy accessories</t>
  </si>
  <si>
    <t>(Lotfi le menuisier)
* Bought doors accessories from Kelibia: 580 DT
* Bought paint for test: 14 DT</t>
  </si>
  <si>
    <t>Meubles et accessoires / Gaz plaque</t>
  </si>
  <si>
    <t>* Bought gaz plaque (Marque FOCUS de chez Haroun Electro -- Dar Allouche)
* Bought adaptateur taile 28 entre la bouteille et la plaque ("mounguela") = 14 DT</t>
  </si>
  <si>
    <t>* Transporter le plateriel pour construire les niches des compteurs (STEG + Sonede) qui seront deplacés au niveau de la cloture</t>
  </si>
  <si>
    <t>Materiaux de construction / Achat plateriel pour les niches de compteurs</t>
  </si>
  <si>
    <t>Building the new Steg and sonede containers</t>
  </si>
  <si>
    <t>* Achat plateriel = 40 DT</t>
  </si>
  <si>
    <t>* Buying meat, and others</t>
  </si>
  <si>
    <t>Security / Intrusion / Système d'alarme</t>
  </si>
  <si>
    <t>Security / Surveillance / Cameras de surveillance</t>
  </si>
  <si>
    <t>* Cheque de 1600 DT pour Abdel Krim pour achat de materiel
* Cheque anti-daté (30/10/2024) pour Abdel Krim (1000 DT)</t>
  </si>
  <si>
    <t>* Payed installation and configuration fees de Abdel Krim ~ 400 DT</t>
  </si>
  <si>
    <t>* Avance de 2000 D pour achter les barres d'acier pour la porte du garage
* Avance 1000 DT (Date: 26/09/2024) pour transport deplacement finalization de l'installation, etc 
* Remaining: 1000 DT -- 1300 (Remaining from phase 1 agreement) + 400 (Porte chaudiere) + 300 (Fenetre cuisine) NB: Fenetre salle d'eau gratuit = 2000 DT (1000 DT a ete deja paye le 26/09 comme inqué ci-dessus)</t>
  </si>
  <si>
    <t>Forgeron / Transport</t>
  </si>
  <si>
    <t>* Deuxieme transport des fenetres etc</t>
  </si>
  <si>
    <r>
      <rPr>
        <sz val="11"/>
        <color rgb="FFFF0000"/>
        <rFont val="Calibri"/>
        <family val="2"/>
        <scheme val="minor"/>
      </rPr>
      <t xml:space="preserve">* 05/07 -- Avance de 200 pour Mohamed (Builder, Hamma)
* 19/07 -- Avance d'un autre 200 DT pour Mohamed (Builder, Hamma)
* 19/07 -- Avance de 200 DT pou Si Mohamed (Transfer LaPoste Dar Allouche) pour envoyer argent pour 3alfa (a sa femme a El Hamma) via LaPoste
* 26/07 -- Avance de 200 DT pour Mohamed (Builder, Hamma)
* 31/07 -- Avance de 700 DT (500 pour Med et 200 pour Nizar) LaPoste Taieb Mhiri --&gt; Visite Hamma
* 02/08 -- Avance de 100 DT
* 09/08 -- Avance de 100 DT ( Handed over a Nizar la nuit du 09/08 qui correspond au jour du prblm d'alternateur de la voiture)
* 15/08 -- Avance 550 DT (Achat Smartphone Sumsung de Kelibia)
* 23/08 -- Avance 100 DT (Mohamed disait que Nizar a besoin de 100 D)
* 30/08 -- Avance de 100 DT (Mohamed builder)
* 02/09 -- Avance de 300 DT (Nizar virement au compte LaPoste a sa femme)
* 06/09 -- Acompte de 100 DT (Mohamed macon :: 50 DT pour Mohamed et 50 DT pour Nizar)
* 15/09 -- A compte de 200 DT (100 DT pour Mohamed et 100 DT pour Nizar)
* 18/09 -- Avance de 300 DT pour Nizar (Virement au compte LaPoste a sa femme)
* 20/09 -- Avance de 100 DT pour NIzar (Handed over to amm Mohamed au cas ou Nizar aurait besoin)
* 29/09 -- Payed 1ere parties 5000 DT pour amm Mohamed
* </t>
    </r>
    <r>
      <rPr>
        <b/>
        <sz val="11"/>
        <color rgb="FFFF0000"/>
        <rFont val="Calibri"/>
        <family val="2"/>
        <scheme val="minor"/>
      </rPr>
      <t>30/10 -- To pay the remaining ~ 1500 DT</t>
    </r>
    <r>
      <rPr>
        <sz val="11"/>
        <color rgb="FFFF0000"/>
        <rFont val="Calibri"/>
        <family val="2"/>
        <scheme val="minor"/>
      </rPr>
      <t xml:space="preserve"> around Oct/Nov timeframe</t>
    </r>
    <r>
      <rPr>
        <sz val="11"/>
        <color theme="1"/>
        <rFont val="Calibri"/>
        <family val="2"/>
        <scheme val="minor"/>
      </rPr>
      <t xml:space="preserve">
* J'estime la main d'œuvre pour la kitchenette, living room, toilette et douche, parterre, faillence, Liga, elever la cloture</t>
    </r>
  </si>
  <si>
    <t>House painting (Labour fees)</t>
  </si>
  <si>
    <t>* Fees to buy graffitis in two colors
* Fees to buy surfacaire
* Fees to buy painting for the iron doors
* Fees to buy painting pour eancheté
* Fees to buy derbigom</t>
  </si>
  <si>
    <t>Electromenager (Refrigerateur + Lave linge + Climatiseur)</t>
  </si>
  <si>
    <t>House painting (Paint)</t>
  </si>
  <si>
    <t>Hichem did the painting of the house:
* Painting the house interieur, exterior, et les clotures, le top etanchite du sta7
* fees to paint sta7 amm Hedi
* Fees to paint Wistia amm Mohamed</t>
  </si>
  <si>
    <t>Meubles et accessoires (Salon)</t>
  </si>
  <si>
    <t>HMH -- Salon Soukra en U:
* deux coffrets pour rangement
* un fauteuil extensible en lit</t>
  </si>
  <si>
    <t>* Armoire, Table, Chaises
* Assiettes, Marmite, …
* Refrigerateur, Machine a laver, gaz plaque, bouteille de gaz</t>
  </si>
  <si>
    <t xml:space="preserve">* Acheter et fixer le climatiseur 2600 + 120
</t>
  </si>
  <si>
    <t>Climatiseur - Fixation main d'ouvre</t>
  </si>
  <si>
    <t>Climatiseur - achat + transport</t>
  </si>
  <si>
    <t>Bilel de la part de Mahrane:
* Main d'œuvre = 80 d
* Crochet ~ 40 d</t>
  </si>
  <si>
    <t>* Transport Mhrez depuis Korba = 200 d</t>
  </si>
  <si>
    <t>Gazon transport</t>
  </si>
  <si>
    <t>Gazon - Main d'œuvre to flatten the ground</t>
  </si>
  <si>
    <t>Gazon - Acheter du torba</t>
  </si>
  <si>
    <t>Gazon - Trax pour verser torba du backyard</t>
  </si>
  <si>
    <t>Gazon - Main d'œuvre Mehrez to water it</t>
  </si>
  <si>
    <t>Gazon - Nozzles to water it</t>
  </si>
  <si>
    <t>Gazon - Minuterie</t>
  </si>
  <si>
    <t>Gazon - Tuyau 50m + 2 adapters</t>
  </si>
  <si>
    <t>* Tuyau 16mm, longeur = 50m --&gt; 100 d
* Two adapters pour robinet et nozzles: 4*2 = 8d</t>
  </si>
  <si>
    <t>Gazon - Insecticide</t>
  </si>
  <si>
    <t>Samsung:
* Refrigerateur = 2500 D
* Machine a laver (9kg) = 2100</t>
  </si>
  <si>
    <t>Dressing</t>
  </si>
  <si>
    <t>* Dressing (Najjar Ousema) 900 D
* Frais de transport: 200 D</t>
  </si>
  <si>
    <t>Cuisine (High Gloss)</t>
  </si>
  <si>
    <t>* Cuisine (Najjar Oussema): 1300 D
* Frais de transport: 200 D</t>
  </si>
  <si>
    <t>Cuisine</t>
  </si>
  <si>
    <t>Utensils for kitchen</t>
  </si>
  <si>
    <t>* Ustensils pour la cuisine ~ 800 D</t>
  </si>
  <si>
    <t>Tabourets pour comptoir chez Sotufab x 2</t>
  </si>
  <si>
    <t>Tapis pliables de chez Carrefour x 3</t>
  </si>
  <si>
    <t>* 3 matelas supplementaires on été acheté = 3* 119 ~ 360 D</t>
  </si>
  <si>
    <t>2 Tabourets</t>
  </si>
  <si>
    <t>Chifonniere + Element supplementaire pour cuisine</t>
  </si>
  <si>
    <t>* Oussema a livrer les deux elements</t>
  </si>
  <si>
    <t xml:space="preserve">
* Supplements etageres pour dressing
* Cache DVR, routeur, alimenetation …
* Niche
* tarmet pour le debarrat</t>
  </si>
  <si>
    <t>4 elements ont été fixés:
- 2 etageres supplementaires pour le dressing
- La niche cote cuisine
- Le cache prises, alimentation, DVR …
- 2 etageres pour le debarrat</t>
  </si>
  <si>
    <t>MyTek minuteries d'arrosage estimee a119</t>
  </si>
  <si>
    <t>Deux kits d'arrosage achetés de Facebook</t>
  </si>
  <si>
    <t>Hote pour cuisine</t>
  </si>
  <si>
    <t>Frais de scolarité + garderie</t>
  </si>
  <si>
    <t>Part payed</t>
  </si>
  <si>
    <t>Item to pay</t>
  </si>
  <si>
    <t>Remaining</t>
  </si>
  <si>
    <t>Fourniture</t>
  </si>
  <si>
    <t>Borrowed from Leila</t>
  </si>
  <si>
    <t>Leila payed for items</t>
  </si>
  <si>
    <t xml:space="preserve">
* JBL = 280 D
* Chaises = 273 D
* Barbecue = 90 D
* Base Parasol = 40 D
* Tapis de cuisine = 50 D
* Towels for hand = 4 * 6 = 24 D
* Taies d'oreillers = 2 * 18 = 36 D
* 10 oreillers = 70 D
* Les housses des matelats (Habib) = 170 D</t>
  </si>
  <si>
    <t>Frais de la cagnotte familiale (Septembre)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</si>
</sst>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0.00;[Red]0.00"/>
    <numFmt numFmtId="166" formatCode="[$-F800]dddd\,\ mmmm\ dd\,\ yyyy"/>
    <numFmt numFmtId="167" formatCode="0.0"/>
    <numFmt numFmtId="168" formatCode="ddd\ \-\-\ dd/mmm/yyyy"/>
    <numFmt numFmtId="169" formatCode="[$-40C]d\ mmmm\ yyyy;@"/>
    <numFmt numFmtId="170" formatCode="[$-809]dd\ mmmm\ yyyy;@"/>
  </numFmts>
  <fonts count="8" x14ac:knownFonts="1">
    <font>
      <sz val="11"/>
      <color theme="1"/>
      <name val="Calibri"/>
      <family val="2"/>
      <scheme val="minor"/>
    </font>
    <font>
      <b/>
      <sz val="11"/>
      <color theme="0"/>
      <name val="Calibri"/>
      <family val="2"/>
      <scheme val="minor"/>
    </font>
    <font>
      <b/>
      <sz val="11"/>
      <color theme="1"/>
      <name val="Calibri"/>
      <family val="2"/>
      <scheme val="minor"/>
    </font>
    <font>
      <b/>
      <sz val="11"/>
      <color rgb="FFFF0000"/>
      <name val="Calibri"/>
      <family val="2"/>
      <scheme val="minor"/>
    </font>
    <font>
      <sz val="8"/>
      <name val="Calibri"/>
      <family val="2"/>
      <scheme val="minor"/>
    </font>
    <font>
      <sz val="8"/>
      <color theme="1"/>
      <name val="Calibri"/>
      <family val="2"/>
      <scheme val="minor"/>
    </font>
    <font>
      <sz val="11"/>
      <color rgb="FFFF0000"/>
      <name val="Calibri"/>
      <family val="2"/>
      <scheme val="minor"/>
    </font>
    <font>
      <b/>
      <sz val="11"/>
      <color theme="4"/>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58">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2" fontId="0" fillId="0" borderId="0" xfId="0" applyNumberFormat="1"/>
    <xf numFmtId="0" fontId="0" fillId="2" borderId="0" xfId="0" applyFill="1" applyAlignment="1">
      <alignment horizontal="right"/>
    </xf>
    <xf numFmtId="164" fontId="0" fillId="0" borderId="0" xfId="0" applyNumberFormat="1"/>
    <xf numFmtId="0" fontId="0" fillId="0" borderId="0" xfId="0" applyAlignment="1">
      <alignment horizontal="right"/>
    </xf>
    <xf numFmtId="0" fontId="0" fillId="2" borderId="0" xfId="0" applyFill="1"/>
    <xf numFmtId="2" fontId="1" fillId="3" borderId="0" xfId="0" applyNumberFormat="1" applyFont="1" applyFill="1"/>
    <xf numFmtId="165" fontId="0" fillId="0" borderId="0" xfId="0" applyNumberFormat="1"/>
    <xf numFmtId="0" fontId="1" fillId="3" borderId="0" xfId="0" applyFont="1" applyFill="1" applyAlignment="1">
      <alignment horizontal="right"/>
    </xf>
    <xf numFmtId="0" fontId="2" fillId="0" borderId="0" xfId="0" applyFont="1" applyAlignment="1">
      <alignment horizontal="right"/>
    </xf>
    <xf numFmtId="0" fontId="1" fillId="0" borderId="0" xfId="0" applyFont="1" applyAlignment="1">
      <alignment horizontal="left"/>
    </xf>
    <xf numFmtId="0" fontId="0" fillId="0" borderId="0" xfId="0" applyAlignment="1">
      <alignment vertical="center"/>
    </xf>
    <xf numFmtId="0" fontId="0" fillId="0" borderId="0" xfId="0" applyAlignment="1">
      <alignment vertical="center" wrapText="1"/>
    </xf>
    <xf numFmtId="166" fontId="0" fillId="0" borderId="0" xfId="0" applyNumberFormat="1"/>
    <xf numFmtId="2" fontId="0" fillId="0" borderId="0" xfId="0" applyNumberFormat="1" applyAlignment="1">
      <alignment vertical="center"/>
    </xf>
    <xf numFmtId="0" fontId="0" fillId="2" borderId="0" xfId="0" applyFill="1" applyAlignment="1">
      <alignment wrapText="1"/>
    </xf>
    <xf numFmtId="17" fontId="0" fillId="0" borderId="0" xfId="0" applyNumberFormat="1"/>
    <xf numFmtId="0" fontId="2" fillId="5" borderId="0" xfId="0" applyFont="1" applyFill="1" applyAlignment="1">
      <alignment horizontal="right" wrapText="1"/>
    </xf>
    <xf numFmtId="0" fontId="2" fillId="4" borderId="0" xfId="0" applyFont="1" applyFill="1" applyAlignment="1">
      <alignment horizontal="right" wrapText="1"/>
    </xf>
    <xf numFmtId="167" fontId="0" fillId="0" borderId="0" xfId="0" applyNumberFormat="1"/>
    <xf numFmtId="0" fontId="0" fillId="4" borderId="0" xfId="0" applyFill="1" applyAlignment="1">
      <alignment wrapText="1"/>
    </xf>
    <xf numFmtId="16" fontId="0" fillId="0" borderId="0" xfId="0" applyNumberFormat="1"/>
    <xf numFmtId="16"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0" borderId="0" xfId="0" applyFont="1"/>
    <xf numFmtId="0" fontId="0" fillId="4" borderId="0" xfId="0" applyFill="1" applyAlignment="1">
      <alignment horizontal="right"/>
    </xf>
    <xf numFmtId="0" fontId="2" fillId="4" borderId="0" xfId="0" applyFont="1" applyFill="1"/>
    <xf numFmtId="0" fontId="0" fillId="6" borderId="0" xfId="0" applyFill="1" applyAlignment="1">
      <alignment horizontal="right"/>
    </xf>
    <xf numFmtId="0" fontId="2" fillId="6" borderId="0" xfId="0" applyFont="1" applyFill="1" applyAlignment="1">
      <alignment horizontal="center"/>
    </xf>
    <xf numFmtId="0" fontId="0" fillId="7" borderId="0" xfId="0" applyFill="1" applyAlignment="1">
      <alignment wrapText="1"/>
    </xf>
    <xf numFmtId="168" fontId="0" fillId="0" borderId="0" xfId="0" applyNumberFormat="1"/>
    <xf numFmtId="3" fontId="0" fillId="0" borderId="0" xfId="0" applyNumberFormat="1"/>
    <xf numFmtId="0" fontId="0" fillId="8" borderId="0" xfId="0" applyFill="1" applyAlignment="1">
      <alignment wrapText="1"/>
    </xf>
    <xf numFmtId="0" fontId="0" fillId="8" borderId="0" xfId="0" applyFill="1"/>
    <xf numFmtId="0" fontId="0" fillId="9" borderId="0" xfId="0" applyFill="1" applyAlignment="1">
      <alignment wrapText="1"/>
    </xf>
    <xf numFmtId="0" fontId="0" fillId="9" borderId="0" xfId="0" applyFill="1"/>
    <xf numFmtId="16" fontId="0" fillId="9" borderId="0" xfId="0" applyNumberFormat="1" applyFill="1"/>
    <xf numFmtId="16" fontId="0" fillId="0" borderId="0" xfId="0" applyNumberFormat="1" applyAlignment="1">
      <alignment vertical="center"/>
    </xf>
    <xf numFmtId="0" fontId="0" fillId="9" borderId="0" xfId="0" applyFill="1" applyAlignment="1">
      <alignment vertical="center"/>
    </xf>
    <xf numFmtId="0" fontId="0" fillId="2" borderId="0" xfId="0" applyFill="1" applyAlignment="1">
      <alignment vertical="center"/>
    </xf>
    <xf numFmtId="0" fontId="6" fillId="0" borderId="0" xfId="0" applyFont="1" applyAlignment="1">
      <alignment vertical="center"/>
    </xf>
    <xf numFmtId="14" fontId="0" fillId="0" borderId="0" xfId="0" applyNumberFormat="1"/>
    <xf numFmtId="17" fontId="0" fillId="0" borderId="0" xfId="0" applyNumberFormat="1" applyAlignment="1">
      <alignment vertical="center"/>
    </xf>
    <xf numFmtId="169" fontId="0" fillId="0" borderId="0" xfId="0" applyNumberFormat="1"/>
    <xf numFmtId="170" fontId="0" fillId="0" borderId="0" xfId="0" applyNumberFormat="1"/>
    <xf numFmtId="0" fontId="0" fillId="0" borderId="0" xfId="0" applyAlignment="1">
      <alignment horizontal="right"/>
    </xf>
    <xf numFmtId="0" fontId="0" fillId="2" borderId="0" xfId="0" applyFill="1" applyAlignment="1">
      <alignment horizontal="left" wrapText="1"/>
    </xf>
    <xf numFmtId="0" fontId="0" fillId="2" borderId="0" xfId="0" applyFill="1" applyAlignment="1">
      <alignment horizontal="center" vertical="center" textRotation="45" wrapText="1"/>
    </xf>
    <xf numFmtId="0" fontId="0" fillId="0" borderId="0" xfId="0" applyAlignment="1">
      <alignment horizontal="center"/>
    </xf>
    <xf numFmtId="0" fontId="0" fillId="6" borderId="0" xfId="0" applyFill="1" applyAlignment="1">
      <alignment horizontal="right"/>
    </xf>
    <xf numFmtId="0" fontId="0" fillId="0" borderId="0" xfId="0" applyAlignment="1">
      <alignment horizontal="left" vertical="center"/>
    </xf>
    <xf numFmtId="0" fontId="0" fillId="2" borderId="0" xfId="0" applyFill="1" applyAlignment="1">
      <alignment horizontal="left" vertical="center" wrapText="1"/>
    </xf>
    <xf numFmtId="0" fontId="0" fillId="2" borderId="0" xfId="0" applyFill="1" applyAlignment="1">
      <alignment horizontal="center" wrapText="1"/>
    </xf>
    <xf numFmtId="0" fontId="0" fillId="0" borderId="0" xfId="0" applyAlignment="1">
      <alignment horizontal="center" wrapText="1"/>
    </xf>
  </cellXfs>
  <cellStyles count="1">
    <cellStyle name="Normal" xfId="0" builtinId="0"/>
  </cellStyles>
  <dxfs count="1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numFmt numFmtId="169" formatCode="[$-40C]d\ mmmm\ yyyy;@"/>
    </dxf>
    <dxf>
      <alignment horizontal="general" vertical="bottom" textRotation="0" wrapText="1" indent="0" justifyLastLine="0" shrinkToFit="0" readingOrder="0"/>
    </dxf>
    <dxf>
      <numFmt numFmtId="19" formatCode="dd/mm/yyyy"/>
    </dxf>
    <dxf>
      <alignment horizontal="general" vertical="bottom" textRotation="0" wrapText="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dxf>
    <dxf>
      <numFmt numFmtId="166" formatCode="[$-F800]dddd\,\ mmmm\ dd\,\ yyyy"/>
    </dxf>
    <dxf>
      <alignment horizontal="general" vertical="bottom"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7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numFmt numFmtId="17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7" formatCode="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alignment horizontal="center" vertical="center" textRotation="0" indent="0" justifyLastLine="0" shrinkToFit="0" readingOrder="0"/>
    </dxf>
    <dxf>
      <numFmt numFmtId="2" formatCode="0.00"/>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2" formatCode="0.00"/>
    </dxf>
    <dxf>
      <numFmt numFmtId="2" formatCode="0.00"/>
    </dxf>
    <dxf>
      <numFmt numFmtId="164" formatCode="[$-409]d\-mmm\-yyyy;@"/>
    </dxf>
    <dxf>
      <alignment horizontal="center"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2" formatCode="0.00"/>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center" vertical="center" textRotation="0" indent="0" justifyLastLine="0" shrinkToFit="0" readingOrder="0"/>
    </dxf>
    <dxf>
      <numFmt numFmtId="0" formatCode="General"/>
    </dxf>
    <dxf>
      <numFmt numFmtId="2" formatCode="0.00"/>
    </dxf>
    <dxf>
      <numFmt numFmtId="2" formatCode="0.00"/>
    </dxf>
    <dxf>
      <numFmt numFmtId="164" formatCode="[$-409]d\-mmm\-yyyy;@"/>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6" formatCode="[$-F800]dddd\,\ mmmm\ dd\,\ yyyy"/>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2" formatCode="0.00"/>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center" vertical="center" textRotation="0" indent="0" justifyLastLine="0" shrinkToFit="0" readingOrder="0"/>
    </dxf>
    <dxf>
      <numFmt numFmtId="0" formatCode="General"/>
    </dxf>
    <dxf>
      <numFmt numFmtId="2" formatCode="0.00"/>
    </dxf>
    <dxf>
      <numFmt numFmtId="2" formatCode="0.00"/>
    </dxf>
    <dxf>
      <numFmt numFmtId="164" formatCode="[$-409]d\-mmm\-yyyy;@"/>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6" formatCode="[$-F800]dddd\,\ mmmm\ dd\,\ yyyy"/>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2" formatCode="0.00"/>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center" vertical="center" textRotation="0" indent="0" justifyLastLine="0" shrinkToFit="0" readingOrder="0"/>
    </dxf>
    <dxf>
      <numFmt numFmtId="2" formatCode="0.00"/>
    </dxf>
    <dxf>
      <numFmt numFmtId="164" formatCode="[$-409]d\-mmm\-yyyy;@"/>
    </dxf>
    <dxf>
      <numFmt numFmtId="165" formatCode="0.00;[Red]0.00"/>
    </dxf>
    <dxf>
      <numFmt numFmtId="2" formatCode="0.0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E6:J26" totalsRowShown="0" headerRowDxfId="121">
  <autoFilter ref="E6:J26" xr:uid="{00000000-0009-0000-0100-000001000000}"/>
  <tableColumns count="6">
    <tableColumn id="1" xr3:uid="{00000000-0010-0000-0000-000001000000}" name="Simu"/>
    <tableColumn id="2" xr3:uid="{00000000-0010-0000-0000-000002000000}" name="Expense (TND)" dataDxfId="120"/>
    <tableColumn id="6" xr3:uid="{00000000-0010-0000-0000-000006000000}" name="Monthly Expense (TND)_x000a_(Average)" dataDxfId="119">
      <calculatedColumnFormula xml:space="preserve"> Table1[[#This Row],[Expense (TND)]]/12</calculatedColumnFormula>
    </tableColumn>
    <tableColumn id="3" xr3:uid="{00000000-0010-0000-0000-000003000000}" name="Type"/>
    <tableColumn id="4" xr3:uid="{00000000-0010-0000-0000-000004000000}" name="Payed by"/>
    <tableColumn id="5" xr3:uid="{00000000-0010-0000-0000-000005000000}" name="Comment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CBF412F-A5CE-43A0-88FD-20F2525BADF9}" name="Table1217" displayName="Table1217" ref="G67:K94" totalsRowShown="0">
  <autoFilter ref="G67:K94" xr:uid="{00000000-0009-0000-0100-00000C000000}"/>
  <tableColumns count="5">
    <tableColumn id="1" xr3:uid="{C1BC8952-3AD4-4E2A-98D5-486595EA2D62}" name="Task"/>
    <tableColumn id="2" xr3:uid="{15B07699-A321-4637-90C3-10743CC3E8A8}" name="Date" dataDxfId="70"/>
    <tableColumn id="3" xr3:uid="{F55A38FE-7AD4-4453-BE09-52B23523630C}" name="Fees"/>
    <tableColumn id="4" xr3:uid="{E38D7387-E40C-4D50-8E34-91A076D70665}" name="Status" dataDxfId="69"/>
    <tableColumn id="5" xr3:uid="{E8B2801F-1B6D-499B-B3D3-6FB2AC26FB31}" name="Payement sta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6F48BC4-CF3A-49D9-A397-6AA4F2F841D7}" name="Table1318" displayName="Table1318" ref="B67:E94" totalsRowShown="0">
  <autoFilter ref="B67:E94" xr:uid="{00000000-0009-0000-0100-00000D000000}"/>
  <tableColumns count="4">
    <tableColumn id="1" xr3:uid="{EBBF01A5-765D-493E-85E3-6A0732A92023}" name="Kine session_x000a_Date"/>
    <tableColumn id="2" xr3:uid="{F885AF4A-07FF-4F6D-95EA-9188ABB95F44}" name="Fees (TND)"/>
    <tableColumn id="3" xr3:uid="{E1AEBAD1-86CC-41E8-A5B2-104E644125F2}" name="Status" dataDxfId="68"/>
    <tableColumn id="4" xr3:uid="{3454F54F-93D3-44E0-8411-BB8AB7A63087}" name="Payment statu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BB6F3A9-C399-4FDE-804E-4C8D0D553019}" name="Table2519" displayName="Table2519" ref="D8:H20" totalsRowShown="0" headerRowDxfId="67">
  <autoFilter ref="D8:H20" xr:uid="{00000000-0009-0000-0100-000004000000}"/>
  <tableColumns count="5">
    <tableColumn id="1" xr3:uid="{6AC3DCA5-7A04-4033-AD1E-28DDA0CCD598}" name="Month" dataDxfId="66"/>
    <tableColumn id="2" xr3:uid="{627B7918-8038-481F-A827-ABF1BAF6CC9A}" name="Planned monthly _x000a_saving" dataDxfId="65"/>
    <tableColumn id="5" xr3:uid="{771318F5-9596-43EA-93E1-940AC5BFE043}" name="Bank amount" dataDxfId="64"/>
    <tableColumn id="3" xr3:uid="{B4428D67-EB46-40DD-B359-D913BD8CBC42}" name="Actual  _x000a_2018 saving_x000a_(Aggregated)" dataDxfId="63">
      <calculatedColumnFormula xml:space="preserve"> IF(ISBLANK(Table2519[[#This Row],[Bank amount]]), G8, Table2519[[#This Row],[Bank amount]] - E$6)</calculatedColumnFormula>
    </tableColumn>
    <tableColumn id="4" xr3:uid="{6404AEA4-3231-496E-958D-60814D37AB81}" name="Actual  saving _x000a_(Monthl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D61E179-11FA-488E-A9EC-B5832728EB75}" name="Table141520" displayName="Table141520" ref="E6:L27" totalsRowShown="0" headerRowDxfId="62" dataDxfId="61">
  <autoFilter ref="E6:L27" xr:uid="{00000000-0009-0000-0100-000003000000}"/>
  <tableColumns count="8">
    <tableColumn id="1" xr3:uid="{DD20BE10-7339-4544-8BD0-04C4B36FA520}" name="Simu" dataDxfId="60"/>
    <tableColumn id="2" xr3:uid="{B7B768B5-4BC1-46F1-A001-78443CD4ED4F}" name="Expense (TND)_x000a_- Forecasted -" dataDxfId="59"/>
    <tableColumn id="8" xr3:uid="{EF1A3421-D804-4C27-A059-63D7AE03D25F}" name="Expense (TND)_x000a_- Actual -" dataDxfId="58"/>
    <tableColumn id="6" xr3:uid="{C4D9E02C-4258-4665-89E8-A57B6EDB581E}" name="Monthly Expense (TND)_x000a_(Average)" dataDxfId="57">
      <calculatedColumnFormula>Table141520[[#This Row],[Expense (TND)
- Forecasted -]]/12</calculatedColumnFormula>
    </tableColumn>
    <tableColumn id="3" xr3:uid="{FC07E71F-55BA-4898-8942-6AF69A2ED62E}" name="Type" dataDxfId="56"/>
    <tableColumn id="7" xr3:uid="{4A8D4929-DFE4-426B-A8EB-A5986551DDD3}" name="Context" dataDxfId="55"/>
    <tableColumn id="4" xr3:uid="{D7901A33-7F24-44D9-8582-64E68BC5F1DA}" name="Payed by" dataDxfId="54"/>
    <tableColumn id="5" xr3:uid="{021A4F97-0369-49F8-85D2-BC106D74A19B}" name="Comments" dataDxfId="5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F933A0A-76D5-4722-B267-6091B1926FBB}" name="Table251924" displayName="Table251924" ref="D8:L21" totalsRowShown="0" headerRowDxfId="52">
  <autoFilter ref="D8:L21" xr:uid="{00000000-0009-0000-0100-000004000000}"/>
  <tableColumns count="9">
    <tableColumn id="1" xr3:uid="{CC15C120-C980-40DA-B411-8C5B58647D74}" name="Month" dataDxfId="51"/>
    <tableColumn id="2" xr3:uid="{87A7860D-2007-4DEC-9FE6-A2EEC350BBD8}" name="Planned _x000a_saving TND (Aggregated)" dataDxfId="50"/>
    <tableColumn id="5" xr3:uid="{B3E09914-4498-48D6-AAF6-C3BAA3631CD4}" name="Bank amount" dataDxfId="49"/>
    <tableColumn id="3" xr3:uid="{63863A71-95F3-4F14-A648-7231D722C78F}" name="Actual  _x000a_2020 saving_x000a_(Aggregated)" dataDxfId="48">
      <calculatedColumnFormula xml:space="preserve"> IF(ISBLANK(Table251924[[#This Row],[Bank amount]]), G8, Table251924[[#This Row],[Bank amount]] - E$6)</calculatedColumnFormula>
    </tableColumn>
    <tableColumn id="4" xr3:uid="{ED1CDE58-CADE-459A-BCE9-C04141ABB09F}" name="Actual  saving _x000a_(Monthly)" dataDxfId="47">
      <calculatedColumnFormula>Table251924[[#This Row],[Actual  
2020 saving
(Aggregated)]] - G8 - Table251924[[#This Row],[Money in 
(exceptional in TND)]]</calculatedColumnFormula>
    </tableColumn>
    <tableColumn id="9" xr3:uid="{746BE957-FFB7-463D-AD05-943C9A07D546}" name="Saving_x000a_Including exceptional money in_x000a_(Monthly)" dataDxfId="46">
      <calculatedColumnFormula>Table251924[[#This Row],[Actual  
2020 saving
(Aggregated)]] - G8</calculatedColumnFormula>
    </tableColumn>
    <tableColumn id="6" xr3:uid="{0BAB2E64-1983-498C-927C-6569121BFC20}" name="Money in _x000a_(exceptional in TND)"/>
    <tableColumn id="8" xr3:uid="{04506E08-C6DD-4AA9-B3B2-9831163D11D1}" name="Money out_x000a_(Exceptional in TND)"/>
    <tableColumn id="7" xr3:uid="{118EBEAB-AB89-48D9-BD55-F2CAE2008DB9}" name="Comments"/>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939E44-FC85-43C1-8287-400E8A93A962}" name="Table5" displayName="Table5" ref="D5:F10" totalsRowShown="0">
  <autoFilter ref="D5:F10" xr:uid="{0154187C-BA08-496D-9094-4D680D84528C}"/>
  <tableColumns count="3">
    <tableColumn id="1" xr3:uid="{4CC7EA68-D814-46F5-8EC3-200EC3C18904}" name="Investment" dataDxfId="45"/>
    <tableColumn id="3" xr3:uid="{8AF0F947-CE50-4451-A9DC-D97559573811}" name="NPV"/>
    <tableColumn id="4" xr3:uid="{5BE85989-B500-4A85-86C4-53F75CC7C229}" name="Value in 5 years including original inv." dataDxfId="4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C946165B-F42A-493B-83D0-75C22C1B3ADE}" name="Table525" displayName="Table525" ref="V6:Z13" totalsRowShown="0" headerRowDxfId="43">
  <autoFilter ref="V6:Z13" xr:uid="{00000000-0009-0000-0100-000005000000}"/>
  <tableColumns count="5">
    <tableColumn id="2" xr3:uid="{EA5AA298-56F1-45AB-8A95-06BCCD1EEDA4}" name="Portfolio item"/>
    <tableColumn id="3" xr3:uid="{22476D97-A021-4216-B0DB-706FF6660D95}" name="2018 Amount_x000a_ (Aggregated)"/>
    <tableColumn id="1" xr3:uid="{243DBB33-E835-4D68-91B0-27CA078FC5A5}" name="2019 Forecast Amount_x000a_ (Aggregated)" dataDxfId="42">
      <calculatedColumnFormula>H9</calculatedColumnFormula>
    </tableColumn>
    <tableColumn id="4" xr3:uid="{D462C597-5BD6-4F0B-900C-97DA3950C9F5}" name="2020 Forecast Amount_x000a_ (Aggregated)"/>
    <tableColumn id="5" xr3:uid="{E45308D6-324E-42CB-B9CD-C015C7209BBC}" name="2021 Forecast Amount_x000a_ (Aggregated)"/>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73278D4E-2C06-4255-9751-949D064934FE}" name="SICAV26" displayName="SICAV26" ref="D6:E14" totalsRowShown="0">
  <autoFilter ref="D6:E14" xr:uid="{00000000-0009-0000-0100-000006000000}"/>
  <tableColumns count="2">
    <tableColumn id="1" xr3:uid="{6545C8FB-636E-4E32-8D8C-6CA675D46589}" name="Year end"/>
    <tableColumn id="2" xr3:uid="{0720C2C4-E457-44C8-96AA-F798B114D05A}" name="SICAV"/>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D357DCC-5C5C-455F-B808-0A9F2928916E}" name="Bank27" displayName="Bank27" ref="G6:H14" totalsRowShown="0">
  <autoFilter ref="G6:H14" xr:uid="{00000000-0009-0000-0100-000007000000}"/>
  <tableColumns count="2">
    <tableColumn id="1" xr3:uid="{0C9EDF80-BC8D-4289-A62F-AC7B87F623C3}" name="Year end"/>
    <tableColumn id="2" xr3:uid="{B253E00F-BF4A-46B9-9C85-B58D5F556588}" name="Bank" dataDxfId="4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7B23D1D-172D-4B97-AF37-7186A8F3871A}" name="Bank928" displayName="Bank928" ref="J6:K14" totalsRowShown="0">
  <autoFilter ref="J6:K14" xr:uid="{00000000-0009-0000-0100-000008000000}"/>
  <tableColumns count="2">
    <tableColumn id="1" xr3:uid="{C999F905-DB25-46F4-96C9-FB00B1394C0A}" name="Year end"/>
    <tableColumn id="2" xr3:uid="{0E2725BA-2D98-4866-9837-D69D372E88F0}" name="GAT (FIS grp life insurance)"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D7:G20" totalsRowShown="0">
  <autoFilter ref="D7:G20" xr:uid="{00000000-0009-0000-0100-000002000000}"/>
  <tableColumns count="4">
    <tableColumn id="1" xr3:uid="{00000000-0010-0000-0100-000001000000}" name="Month" dataDxfId="118"/>
    <tableColumn id="2" xr3:uid="{00000000-0010-0000-0100-000002000000}" name="Planned" dataDxfId="117"/>
    <tableColumn id="3" xr3:uid="{00000000-0010-0000-0100-000003000000}" name="Actual"/>
    <tableColumn id="4" xr3:uid="{00000000-0010-0000-0100-000004000000}" name="Actual (Monthly)"/>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76D7D52-E699-4D3B-9DA4-9502001F19A9}" name="Bank91029" displayName="Bank91029" ref="M6:N14" totalsRowShown="0">
  <autoFilter ref="M6:N14" xr:uid="{00000000-0009-0000-0100-000009000000}"/>
  <tableColumns count="2">
    <tableColumn id="1" xr3:uid="{3DB60E59-2D08-44D3-954B-02A8EC0D5C4F}" name="Year end"/>
    <tableColumn id="2" xr3:uid="{E2C5C021-CA31-4726-ADD6-7E3E145E5046}" name="Compte de placement" dataDxfId="39"/>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7A18F21-9731-44DF-8F5F-6B8BFD5A598A}" name="Bank9101130" displayName="Bank9101130" ref="S6:T14" totalsRowShown="0">
  <autoFilter ref="S6:T14" xr:uid="{00000000-0009-0000-0100-00000A000000}"/>
  <tableColumns count="2">
    <tableColumn id="1" xr3:uid="{C4C8CB84-87C9-4C1A-91CF-ED9E112D7A9D}" name="Year end"/>
    <tableColumn id="2" xr3:uid="{94A7DA9F-099F-47AF-A2A1-6E2C12F2DC98}" name="Projet avenir (Skander)" dataDxfId="3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DA2EDF2-E376-4616-AC12-FB079C780C45}" name="Bank9102931" displayName="Bank9102931" ref="P6:Q14" totalsRowShown="0">
  <autoFilter ref="P6:Q14" xr:uid="{47AC43AF-E853-4480-9A00-72B0C8AFEEE4}"/>
  <tableColumns count="2">
    <tableColumn id="1" xr3:uid="{707432E2-764D-4430-9E76-947D09DEFB1B}" name="Year end"/>
    <tableColumn id="2" xr3:uid="{023F5E71-414A-4436-A269-6182981F077A}" name="Estate CE*" dataDxfId="37"/>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421EF5F-4DEF-4912-9A68-A8EC0921C868}" name="Table6" displayName="Table6" ref="C3:F8" totalsRowShown="0" dataDxfId="36">
  <autoFilter ref="C3:F8" xr:uid="{6AC96E2E-D6F4-4D75-BDE6-2110A840B32F}"/>
  <tableColumns count="4">
    <tableColumn id="1" xr3:uid="{2CF4607B-BE99-4F83-B810-E5A6FE233A11}" name="Stallment (TND)" dataDxfId="35"/>
    <tableColumn id="2" xr3:uid="{05C48DFD-FDFE-4691-A3D0-F58E51EDBF57}" name="Date" dataDxfId="34"/>
    <tableColumn id="3" xr3:uid="{D2F807A4-D4E3-465A-8DEA-22DB8C9706AC}" name="Remaing" dataDxfId="33">
      <calculatedColumnFormula xml:space="preserve"> E3 - C4</calculatedColumnFormula>
    </tableColumn>
    <tableColumn id="4" xr3:uid="{6CE09FBF-5F01-4D4F-BCC7-7BA2CFB1D44F}" name="Comments" dataDxfId="3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59819BC-F19B-4A84-B6D8-EE5F2F5A03FB}" name="Table7" displayName="Table7" ref="H3:M7" totalsRowShown="0">
  <autoFilter ref="H3:M7" xr:uid="{C1BA847F-E911-4E6C-890C-AB39A8670671}"/>
  <tableColumns count="6">
    <tableColumn id="1" xr3:uid="{33E0045F-2BDE-4DAB-B5AF-4E261DC7918C}" name="Salary" dataDxfId="31"/>
    <tableColumn id="6" xr3:uid="{FAB81999-F97D-4424-B4A6-21F650EDB667}" name="Leila's" dataDxfId="30"/>
    <tableColumn id="2" xr3:uid="{0663FC09-A594-44B8-9160-13A1BCFBF931}" name="Date" dataDxfId="29"/>
    <tableColumn id="3" xr3:uid="{E6236AE5-9AD1-4B71-90E6-AE3BB0B8FDEB}" name="Spending" dataDxfId="28">
      <calculatedColumnFormula>2500+750+675+105+200+100+1500</calculatedColumnFormula>
    </tableColumn>
    <tableColumn id="4" xr3:uid="{EA65BE8F-F0F9-41FB-A1D1-63C240F85A53}" name="Saving -- aggregated_x000a_(i.e. The actual/expected remaining by end of the month)" dataDxfId="27"/>
    <tableColumn id="5" xr3:uid="{494502CE-F16F-4BC8-B6B3-DBF4C16AD539}" name="Comments" dataDxfId="2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11E0485-D431-4936-ABD0-0018C2565ED7}" name="Table8" displayName="Table8" ref="C4:J137" totalsRowShown="0">
  <autoFilter ref="C4:J137" xr:uid="{C21AA359-1F30-4286-B753-92146C347FA6}"/>
  <sortState xmlns:xlrd2="http://schemas.microsoft.com/office/spreadsheetml/2017/richdata2" ref="C5:J35">
    <sortCondition ref="F4:F35"/>
  </sortState>
  <tableColumns count="8">
    <tableColumn id="1" xr3:uid="{BFD8EC3F-7CB5-4CF5-A795-819AEAD1EB2D}" name="Item or Task"/>
    <tableColumn id="2" xr3:uid="{EE172283-AF1C-4682-8ADB-D4444BB9F770}" name="Operation debiteur"/>
    <tableColumn id="8" xr3:uid="{288244E8-22C5-45E4-BC71-00910E5A2959}" name="Type"/>
    <tableColumn id="3" xr3:uid="{9D544585-1F8D-4056-9EEA-403281963D59}" name="Date"/>
    <tableColumn id="4" xr3:uid="{74F671D3-A1D0-43FC-8695-B92B59EBE73C}" name="Processed by"/>
    <tableColumn id="5" xr3:uid="{13BCA45A-F17E-438B-B800-3DF45C1E852C}" name="Operation crediteur"/>
    <tableColumn id="6" xr3:uid="{090EFBF8-0849-4AC7-8FB3-AF3C86E93B21}" name="Purchased from"/>
    <tableColumn id="7" xr3:uid="{C25E68C1-0AD4-4FB0-9E05-414C3C519617}" name="Comments"/>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AB94DA-1FB6-4E60-9704-899BC9186C77}" name="Table121710" displayName="Table121710" ref="C147:G163" totalsRowShown="0">
  <autoFilter ref="C147:G163" xr:uid="{617580BD-7777-465E-9AEC-04C8E7C77D09}"/>
  <tableColumns count="5">
    <tableColumn id="1" xr3:uid="{46CDAE85-C93C-403B-8A07-74094EC5C5E3}" name="Kine sessions accomplishement"/>
    <tableColumn id="2" xr3:uid="{CCBB55D1-F7A4-4B9A-9706-C751DC31E436}" name="Date" dataDxfId="25"/>
    <tableColumn id="3" xr3:uid="{E22ED50D-4A7B-43C7-A379-8898D127A56C}" name="Fees (Remaining)" dataDxfId="24">
      <calculatedColumnFormula>25-Table121710[[#This Row],[Fees (payed)]]</calculatedColumnFormula>
    </tableColumn>
    <tableColumn id="4" xr3:uid="{DAB8CCAA-B964-46A4-8EE9-5C61E6A15EC0}" name="Fees (payed)"/>
    <tableColumn id="5" xr3:uid="{40096556-7630-482F-9DEE-8C5F896D8BDC}" name="Payement staus"/>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DF2BF5A-7070-4387-A8EF-C2D68AA7C45D}" name="Table10" displayName="Table10" ref="C19:K63" totalsRowShown="0" dataDxfId="23">
  <autoFilter ref="C19:K63" xr:uid="{4635DB74-6B6C-4D8A-8DDA-2A2A1993D0BB}"/>
  <tableColumns count="9">
    <tableColumn id="1" xr3:uid="{A0FBB878-5F46-4F9B-9836-293D6F5364F3}" name="Task" dataDxfId="22"/>
    <tableColumn id="6" xr3:uid="{D1117371-F6A2-4765-B03B-4F278D2554A4}" name="Type" dataDxfId="21"/>
    <tableColumn id="2" xr3:uid="{4EFDFA3C-C04D-41C5-B3B2-536032F64B98}" name="Planned cost (TND)" dataDxfId="20"/>
    <tableColumn id="9" xr3:uid="{573F86BA-E9E1-46CE-A6CE-A76B233A94FA}" name="Actual cost (TND)" dataDxfId="19"/>
    <tableColumn id="3" xr3:uid="{A21D954F-7B4C-4124-9E3E-F00FC0646DF5}" name="Status" dataDxfId="18"/>
    <tableColumn id="4" xr3:uid="{14F0BD4C-548A-4E36-8EF8-05B015630F25}" name="Receiver" dataDxfId="17"/>
    <tableColumn id="7" xr3:uid="{3C9B0672-F32B-419F-B229-40A623A924A8}" name="Date" dataDxfId="16"/>
    <tableColumn id="5" xr3:uid="{85B60801-9CE7-4225-BC12-501565357FD5}" name="Payed by" dataDxfId="15"/>
    <tableColumn id="8" xr3:uid="{873FC620-FCD2-4672-9437-32B1621C9050}" name="Comments" dataDxfId="14"/>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7EF959C-6197-4071-A9A3-3F73F6651595}" name="Table20" displayName="Table20" ref="C4:G14" totalsRowShown="0">
  <autoFilter ref="C4:G14" xr:uid="{97EF959C-6197-4071-A9A3-3F73F6651595}"/>
  <sortState xmlns:xlrd2="http://schemas.microsoft.com/office/spreadsheetml/2017/richdata2" ref="C5:F11">
    <sortCondition ref="F4:F11"/>
  </sortState>
  <tableColumns count="5">
    <tableColumn id="1" xr3:uid="{B7389741-1633-4765-9F90-D26309B12B41}" name="Task" dataDxfId="13"/>
    <tableColumn id="2" xr3:uid="{E56D2BF6-D9F3-4B03-B5FD-FB9D7514D561}" name="Montant"/>
    <tableColumn id="3" xr3:uid="{1481AA4C-23CE-4502-8B54-17C07491CC64}" name="Payed by"/>
    <tableColumn id="4" xr3:uid="{E3D98C61-A8A5-42D6-B119-8AF06BE9AAE2}" name="Date" dataDxfId="12"/>
    <tableColumn id="5" xr3:uid="{79238203-A977-4E5A-A56F-534A2725D49F}" name="Comments"/>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A5E15EC-D32E-4F9C-9657-2311F8F7F6C8}" name="Table21" displayName="Table21" ref="D6:L122" totalsRowShown="0">
  <autoFilter ref="D6:L122" xr:uid="{9A5E15EC-D32E-4F9C-9657-2311F8F7F6C8}"/>
  <tableColumns count="9">
    <tableColumn id="1" xr3:uid="{404BAA31-8153-4192-A5C9-9A9C3318B1AA}" name="Task" dataDxfId="11"/>
    <tableColumn id="2" xr3:uid="{955071B3-D3CB-4D32-AB26-1D0DF5C0D198}" name="Type"/>
    <tableColumn id="3" xr3:uid="{C57B69BC-B44A-4DA4-9A9D-5CDC22F5E588}" name="Planned cost (TND)"/>
    <tableColumn id="4" xr3:uid="{FD42EF24-7AAF-428A-AB50-3D1ADA432F26}" name="Actual cost (TND)"/>
    <tableColumn id="5" xr3:uid="{E804669A-0FFA-4E52-9D9B-BE4CC47862C7}" name="Status"/>
    <tableColumn id="6" xr3:uid="{188CCE4D-002E-4B55-B03F-A127BA100154}" name="Receiver"/>
    <tableColumn id="7" xr3:uid="{AD7697C7-819B-4FB0-AB58-B400C3630778}" name="Date" dataDxfId="10"/>
    <tableColumn id="8" xr3:uid="{E299DCBE-B645-45D1-8BB5-7270B46C9773}" name="Payed by"/>
    <tableColumn id="9" xr3:uid="{4FB89772-E7D2-4680-B097-109F65E13904}"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E6:L30" totalsRowShown="0" headerRowDxfId="116" dataDxfId="115">
  <autoFilter ref="E6:L30" xr:uid="{00000000-0009-0000-0100-000003000000}"/>
  <tableColumns count="8">
    <tableColumn id="1" xr3:uid="{00000000-0010-0000-0200-000001000000}" name="Simu" dataDxfId="114"/>
    <tableColumn id="2" xr3:uid="{00000000-0010-0000-0200-000002000000}" name="Expense (TND)_x000a_- Forecasted -" dataDxfId="113"/>
    <tableColumn id="8" xr3:uid="{00000000-0010-0000-0200-000008000000}" name="Expense (TND)_x000a_- Actual -" dataDxfId="112"/>
    <tableColumn id="6" xr3:uid="{00000000-0010-0000-0200-000006000000}" name="Monthly Expense (TND)_x000a_(Average)" dataDxfId="111">
      <calculatedColumnFormula>Table14[[#This Row],[Expense (TND)
- Forecasted -]]/12</calculatedColumnFormula>
    </tableColumn>
    <tableColumn id="3" xr3:uid="{00000000-0010-0000-0200-000003000000}" name="Type" dataDxfId="110"/>
    <tableColumn id="7" xr3:uid="{00000000-0010-0000-0200-000007000000}" name="Context" dataDxfId="109"/>
    <tableColumn id="4" xr3:uid="{00000000-0010-0000-0200-000004000000}" name="Payed by" dataDxfId="108"/>
    <tableColumn id="5" xr3:uid="{00000000-0010-0000-0200-000005000000}" name="Comments" dataDxfId="1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56D69E9-DF0E-4272-B6B5-4F5FB703E42F}" name="Table22" displayName="Table22" ref="C6:G11" totalsRowShown="0">
  <autoFilter ref="C6:G11" xr:uid="{E56D69E9-DF0E-4272-B6B5-4F5FB703E42F}"/>
  <tableColumns count="5">
    <tableColumn id="1" xr3:uid="{93B57FD9-69EE-4814-AD02-5C8A7C0637F7}" name="Item to pay"/>
    <tableColumn id="2" xr3:uid="{2D57A6A9-91B4-470B-8907-2A12031B4F22}" name="Part payed"/>
    <tableColumn id="3" xr3:uid="{E2637670-10D2-429D-B461-0C362C781523}" name="Remaining"/>
    <tableColumn id="4" xr3:uid="{4181EFE2-ABA6-4806-85F9-F5047E4B6D75}" name="Date"/>
    <tableColumn id="5" xr3:uid="{13A5C1DF-6586-4713-9619-F23DFD22E8FA}" name="Comment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3000000}" name="Table11" displayName="Table11" ref="E35:K60" totalsRowShown="0" headerRowDxfId="106" dataDxfId="105">
  <autoFilter ref="E35:K60" xr:uid="{00000000-0009-0000-0100-00000B000000}"/>
  <tableColumns count="7">
    <tableColumn id="1" xr3:uid="{00000000-0010-0000-0300-000001000000}" name="Item" dataDxfId="104"/>
    <tableColumn id="2" xr3:uid="{00000000-0010-0000-0300-000002000000}" name="Staus" dataDxfId="103"/>
    <tableColumn id="3" xr3:uid="{00000000-0010-0000-0300-000003000000}" name="To reamburse (Possibly)" dataDxfId="102"/>
    <tableColumn id="4" xr3:uid="{00000000-0010-0000-0300-000004000000}" name="Context" dataDxfId="101"/>
    <tableColumn id="5" xr3:uid="{00000000-0010-0000-0300-000005000000}" name="Fees (TND)_x000a_- Forescasted -" dataDxfId="100"/>
    <tableColumn id="6" xr3:uid="{00000000-0010-0000-0300-000006000000}" name="Fees (TND)_x000a_- Actual -" dataDxfId="99"/>
    <tableColumn id="7" xr3:uid="{00000000-0010-0000-0300-000007000000}" name="Comments" dataDxfId="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4000000}" name="Table12" displayName="Table12" ref="G67:K94" totalsRowShown="0">
  <autoFilter ref="G67:K94" xr:uid="{00000000-0009-0000-0100-00000C000000}"/>
  <tableColumns count="5">
    <tableColumn id="1" xr3:uid="{00000000-0010-0000-0400-000001000000}" name="Task"/>
    <tableColumn id="2" xr3:uid="{00000000-0010-0000-0400-000002000000}" name="Date" dataDxfId="97"/>
    <tableColumn id="3" xr3:uid="{00000000-0010-0000-0400-000003000000}" name="Fees"/>
    <tableColumn id="4" xr3:uid="{00000000-0010-0000-0400-000004000000}" name="Status" dataDxfId="96"/>
    <tableColumn id="5" xr3:uid="{00000000-0010-0000-0400-000005000000}" name="Payement sta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13" displayName="Table13" ref="B67:E94" totalsRowShown="0">
  <autoFilter ref="B67:E94" xr:uid="{00000000-0009-0000-0100-00000D000000}"/>
  <tableColumns count="4">
    <tableColumn id="1" xr3:uid="{00000000-0010-0000-0500-000001000000}" name="Kine session_x000a_Date"/>
    <tableColumn id="2" xr3:uid="{00000000-0010-0000-0500-000002000000}" name="Fees (TND)"/>
    <tableColumn id="3" xr3:uid="{00000000-0010-0000-0500-000003000000}" name="Status" dataDxfId="95"/>
    <tableColumn id="4" xr3:uid="{00000000-0010-0000-0500-000004000000}" name="Payment statu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e25" displayName="Table25" ref="D8:H21" totalsRowShown="0" headerRowDxfId="94">
  <autoFilter ref="D8:H21" xr:uid="{00000000-0009-0000-0100-000004000000}"/>
  <tableColumns count="5">
    <tableColumn id="1" xr3:uid="{00000000-0010-0000-0600-000001000000}" name="Month" dataDxfId="93"/>
    <tableColumn id="2" xr3:uid="{00000000-0010-0000-0600-000002000000}" name="Planned monthly _x000a_saving" dataDxfId="92"/>
    <tableColumn id="5" xr3:uid="{00000000-0010-0000-0600-000005000000}" name="Bank amount" dataDxfId="91"/>
    <tableColumn id="3" xr3:uid="{00000000-0010-0000-0600-000003000000}" name="Actual  _x000a_2018 saving_x000a_(Aggregated)" dataDxfId="90">
      <calculatedColumnFormula xml:space="preserve"> IF(ISBLANK(Table25[[#This Row],[Bank amount]]), G8, Table25[[#This Row],[Bank amount]] - E$6)</calculatedColumnFormula>
    </tableColumn>
    <tableColumn id="4" xr3:uid="{00000000-0010-0000-0600-000004000000}" name="Actual  saving _x000a_(Monthl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B79BE60-9E62-4A56-ACF1-1C271036744B}" name="Table1415" displayName="Table1415" ref="E6:L30" totalsRowShown="0" headerRowDxfId="89" dataDxfId="88">
  <autoFilter ref="E6:L30" xr:uid="{00000000-0009-0000-0100-000003000000}"/>
  <tableColumns count="8">
    <tableColumn id="1" xr3:uid="{FF9332AE-3375-4CFB-A692-A250AAD20604}" name="Simu" dataDxfId="87"/>
    <tableColumn id="2" xr3:uid="{AA9FDF0D-7DF8-4240-A78D-B3655D6B7A2F}" name="Expense (TND)_x000a_- Forecasted -" dataDxfId="86"/>
    <tableColumn id="8" xr3:uid="{6E889196-B034-407F-AE68-ECDA68FE80CE}" name="Expense (TND)_x000a_- Actual -" dataDxfId="85"/>
    <tableColumn id="6" xr3:uid="{9B4762CC-3858-4CD8-9E6B-53D990D4946A}" name="Monthly Expense (TND)_x000a_(Average)" dataDxfId="84">
      <calculatedColumnFormula>Table1415[[#This Row],[Expense (TND)
- Forecasted -]]/12</calculatedColumnFormula>
    </tableColumn>
    <tableColumn id="3" xr3:uid="{0D6CADB2-5263-4D11-8E6C-B2C56DDDC50A}" name="Type" dataDxfId="83"/>
    <tableColumn id="7" xr3:uid="{7389FD02-4352-41CB-9AFF-20A9485E33F2}" name="Context" dataDxfId="82"/>
    <tableColumn id="4" xr3:uid="{811C7F05-8A33-401A-846C-F490DFCF59E8}" name="Payed by" dataDxfId="81"/>
    <tableColumn id="5" xr3:uid="{D38E8482-BA28-4317-B85A-6C6FDFCBC594}" name="Comments" dataDxfId="8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30F066E-453C-4327-99D5-9EE948D05527}" name="Table1116" displayName="Table1116" ref="E35:K60" totalsRowShown="0" headerRowDxfId="79" dataDxfId="78">
  <autoFilter ref="E35:K60" xr:uid="{00000000-0009-0000-0100-00000B000000}"/>
  <tableColumns count="7">
    <tableColumn id="1" xr3:uid="{C48B5A3B-76B0-47BE-AF35-07F8039E3A91}" name="Item" dataDxfId="77"/>
    <tableColumn id="2" xr3:uid="{6F265AF7-4A24-41C1-9CD3-090F0FBDFE79}" name="Staus" dataDxfId="76"/>
    <tableColumn id="3" xr3:uid="{371F7A3E-6D59-4F4F-BF7B-6153399DB753}" name="To reamburse (Possibly)" dataDxfId="75"/>
    <tableColumn id="4" xr3:uid="{979132A8-D0A4-43F3-A08B-D5315909F4E7}" name="Context" dataDxfId="74"/>
    <tableColumn id="5" xr3:uid="{B6081521-6D06-4FBC-B78A-DF9C918F04DA}" name="Fees (TND)_x000a_- Forescasted -" dataDxfId="73"/>
    <tableColumn id="6" xr3:uid="{78615AD1-E966-4DE0-908C-AF2F9C6D547C}" name="Fees (TND)_x000a_- Actual -" dataDxfId="72"/>
    <tableColumn id="7" xr3:uid="{03BEC8BD-23C1-434C-AFF5-E932DBD7853C}" name="Comments" dataDxfId="7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22.xml"/><Relationship Id="rId3" Type="http://schemas.openxmlformats.org/officeDocument/2006/relationships/table" Target="../tables/table17.xml"/><Relationship Id="rId7" Type="http://schemas.openxmlformats.org/officeDocument/2006/relationships/table" Target="../tables/table21.xml"/><Relationship Id="rId2" Type="http://schemas.openxmlformats.org/officeDocument/2006/relationships/table" Target="../tables/table16.xml"/><Relationship Id="rId1" Type="http://schemas.openxmlformats.org/officeDocument/2006/relationships/printerSettings" Target="../printerSettings/printerSettings10.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E3:J26"/>
  <sheetViews>
    <sheetView zoomScale="85" zoomScaleNormal="85" workbookViewId="0">
      <selection activeCell="G26" sqref="G26"/>
    </sheetView>
  </sheetViews>
  <sheetFormatPr defaultRowHeight="14.4" x14ac:dyDescent="0.3"/>
  <cols>
    <col min="5" max="5" width="33.5546875" customWidth="1"/>
    <col min="6" max="6" width="16.109375" customWidth="1"/>
    <col min="7" max="7" width="21.109375" customWidth="1"/>
    <col min="8" max="8" width="11" customWidth="1"/>
    <col min="9" max="9" width="18.5546875" customWidth="1"/>
    <col min="10" max="10" width="71.109375" customWidth="1"/>
  </cols>
  <sheetData>
    <row r="3" spans="5:10" x14ac:dyDescent="0.3">
      <c r="E3" s="5" t="s">
        <v>21</v>
      </c>
      <c r="F3">
        <f xml:space="preserve"> SUM(Table1[Expense (TND)])</f>
        <v>43502</v>
      </c>
    </row>
    <row r="4" spans="5:10" x14ac:dyDescent="0.3">
      <c r="E4" s="5" t="s">
        <v>22</v>
      </c>
      <c r="F4" s="4">
        <f xml:space="preserve"> F3/12</f>
        <v>3625.1666666666665</v>
      </c>
    </row>
    <row r="6" spans="5:10" ht="28.8" x14ac:dyDescent="0.3">
      <c r="E6" s="2" t="s">
        <v>49</v>
      </c>
      <c r="F6" s="2" t="s">
        <v>0</v>
      </c>
      <c r="G6" s="3" t="s">
        <v>16</v>
      </c>
      <c r="H6" s="2" t="s">
        <v>5</v>
      </c>
      <c r="I6" s="2" t="s">
        <v>2</v>
      </c>
      <c r="J6" s="2" t="s">
        <v>1</v>
      </c>
    </row>
    <row r="7" spans="5:10" ht="28.8" x14ac:dyDescent="0.3">
      <c r="E7" t="s">
        <v>4</v>
      </c>
      <c r="F7" s="4">
        <v>1000</v>
      </c>
      <c r="G7" s="10">
        <f xml:space="preserve"> Table1[[#This Row],[Expense (TND)]]/12</f>
        <v>83.333333333333329</v>
      </c>
      <c r="H7" t="s">
        <v>6</v>
      </c>
      <c r="I7" t="s">
        <v>3</v>
      </c>
      <c r="J7" s="1" t="s">
        <v>41</v>
      </c>
    </row>
    <row r="8" spans="5:10" x14ac:dyDescent="0.3">
      <c r="E8" t="s">
        <v>17</v>
      </c>
      <c r="F8" s="4">
        <f xml:space="preserve"> 250 + 650 + 412</f>
        <v>1312</v>
      </c>
      <c r="G8" s="10">
        <f xml:space="preserve"> Table1[[#This Row],[Expense (TND)]]/12</f>
        <v>109.33333333333333</v>
      </c>
      <c r="H8" t="s">
        <v>6</v>
      </c>
      <c r="I8" t="s">
        <v>3</v>
      </c>
      <c r="J8" t="s">
        <v>18</v>
      </c>
    </row>
    <row r="9" spans="5:10" x14ac:dyDescent="0.3">
      <c r="E9" t="s">
        <v>19</v>
      </c>
      <c r="F9" s="4">
        <f xml:space="preserve"> 60 + 60 +60</f>
        <v>180</v>
      </c>
      <c r="G9" s="10">
        <f xml:space="preserve"> Table1[[#This Row],[Expense (TND)]]/12</f>
        <v>15</v>
      </c>
      <c r="H9" t="s">
        <v>6</v>
      </c>
      <c r="I9" t="s">
        <v>3</v>
      </c>
      <c r="J9" t="s">
        <v>25</v>
      </c>
    </row>
    <row r="10" spans="5:10" ht="43.2" x14ac:dyDescent="0.3">
      <c r="E10" t="s">
        <v>7</v>
      </c>
      <c r="F10" s="4">
        <f xml:space="preserve"> (300 *4)*12</f>
        <v>14400</v>
      </c>
      <c r="G10" s="10">
        <f xml:space="preserve"> Table1[[#This Row],[Expense (TND)]]/12</f>
        <v>1200</v>
      </c>
      <c r="H10" t="s">
        <v>6</v>
      </c>
      <c r="I10" t="s">
        <v>3</v>
      </c>
      <c r="J10" s="1" t="s">
        <v>40</v>
      </c>
    </row>
    <row r="11" spans="5:10" ht="72" x14ac:dyDescent="0.3">
      <c r="E11" t="s">
        <v>55</v>
      </c>
      <c r="F11" s="4">
        <v>3000</v>
      </c>
      <c r="G11" s="10">
        <f xml:space="preserve"> Table1[[#This Row],[Expense (TND)]]/12</f>
        <v>250</v>
      </c>
      <c r="H11" t="s">
        <v>6</v>
      </c>
      <c r="I11" t="s">
        <v>3</v>
      </c>
      <c r="J11" s="1" t="s">
        <v>60</v>
      </c>
    </row>
    <row r="12" spans="5:10" ht="43.2" x14ac:dyDescent="0.3">
      <c r="E12" t="s">
        <v>34</v>
      </c>
      <c r="F12" s="4">
        <v>1000</v>
      </c>
      <c r="G12" s="10">
        <f xml:space="preserve"> Table1[[#This Row],[Expense (TND)]]/12</f>
        <v>83.333333333333329</v>
      </c>
      <c r="H12" t="s">
        <v>6</v>
      </c>
      <c r="I12" t="s">
        <v>3</v>
      </c>
      <c r="J12" s="1" t="s">
        <v>44</v>
      </c>
    </row>
    <row r="13" spans="5:10" ht="28.8" x14ac:dyDescent="0.3">
      <c r="E13" t="s">
        <v>10</v>
      </c>
      <c r="F13" s="4">
        <f xml:space="preserve"> 200 * 12</f>
        <v>2400</v>
      </c>
      <c r="G13" s="10">
        <f xml:space="preserve"> Table1[[#This Row],[Expense (TND)]]/12</f>
        <v>200</v>
      </c>
      <c r="H13" t="s">
        <v>8</v>
      </c>
      <c r="I13" t="s">
        <v>3</v>
      </c>
      <c r="J13" s="1" t="s">
        <v>9</v>
      </c>
    </row>
    <row r="14" spans="5:10" ht="28.8" x14ac:dyDescent="0.3">
      <c r="E14" t="s">
        <v>24</v>
      </c>
      <c r="F14" s="4">
        <f>1100*12</f>
        <v>13200</v>
      </c>
      <c r="G14" s="10">
        <f xml:space="preserve"> Table1[[#This Row],[Expense (TND)]]/12</f>
        <v>1100</v>
      </c>
      <c r="H14" t="s">
        <v>6</v>
      </c>
      <c r="I14" t="s">
        <v>3</v>
      </c>
      <c r="J14" s="1" t="s">
        <v>35</v>
      </c>
    </row>
    <row r="15" spans="5:10" x14ac:dyDescent="0.3">
      <c r="E15" t="s">
        <v>11</v>
      </c>
      <c r="F15" s="4">
        <v>500</v>
      </c>
      <c r="G15" s="10">
        <f xml:space="preserve"> Table1[[#This Row],[Expense (TND)]]/12</f>
        <v>41.666666666666664</v>
      </c>
      <c r="H15" t="s">
        <v>8</v>
      </c>
      <c r="I15" t="s">
        <v>3</v>
      </c>
      <c r="J15" t="s">
        <v>12</v>
      </c>
    </row>
    <row r="16" spans="5:10" x14ac:dyDescent="0.3">
      <c r="E16" t="s">
        <v>13</v>
      </c>
      <c r="F16" s="4">
        <f>30*4*12</f>
        <v>1440</v>
      </c>
      <c r="G16" s="10">
        <f xml:space="preserve"> Table1[[#This Row],[Expense (TND)]]/12</f>
        <v>120</v>
      </c>
      <c r="H16" t="s">
        <v>8</v>
      </c>
      <c r="I16" t="s">
        <v>3</v>
      </c>
      <c r="J16" t="s">
        <v>14</v>
      </c>
    </row>
    <row r="17" spans="5:10" x14ac:dyDescent="0.3">
      <c r="E17" t="s">
        <v>15</v>
      </c>
      <c r="F17" s="4">
        <v>310</v>
      </c>
      <c r="G17" s="10">
        <f xml:space="preserve"> Table1[[#This Row],[Expense (TND)]]/12</f>
        <v>25.833333333333332</v>
      </c>
      <c r="H17" t="s">
        <v>8</v>
      </c>
      <c r="I17" t="s">
        <v>3</v>
      </c>
    </row>
    <row r="18" spans="5:10" x14ac:dyDescent="0.3">
      <c r="E18" t="s">
        <v>33</v>
      </c>
      <c r="F18" s="4">
        <v>1100</v>
      </c>
      <c r="G18" s="10">
        <f xml:space="preserve"> Table1[[#This Row],[Expense (TND)]]/12</f>
        <v>91.666666666666671</v>
      </c>
      <c r="H18" t="s">
        <v>8</v>
      </c>
      <c r="I18" t="s">
        <v>3</v>
      </c>
    </row>
    <row r="19" spans="5:10" ht="28.8" x14ac:dyDescent="0.3">
      <c r="E19" t="s">
        <v>23</v>
      </c>
      <c r="F19" s="4">
        <f xml:space="preserve"> 35 *12</f>
        <v>420</v>
      </c>
      <c r="G19" s="10">
        <f xml:space="preserve"> Table1[[#This Row],[Expense (TND)]]/12</f>
        <v>35</v>
      </c>
      <c r="H19" t="s">
        <v>6</v>
      </c>
      <c r="I19" t="s">
        <v>3</v>
      </c>
      <c r="J19" s="1" t="s">
        <v>20</v>
      </c>
    </row>
    <row r="20" spans="5:10" ht="28.8" x14ac:dyDescent="0.3">
      <c r="E20" t="s">
        <v>26</v>
      </c>
      <c r="F20" s="4">
        <v>500</v>
      </c>
      <c r="G20" s="10">
        <f xml:space="preserve"> Table1[[#This Row],[Expense (TND)]]/12</f>
        <v>41.666666666666664</v>
      </c>
      <c r="H20" t="s">
        <v>8</v>
      </c>
      <c r="I20" t="s">
        <v>3</v>
      </c>
      <c r="J20" s="1" t="s">
        <v>36</v>
      </c>
    </row>
    <row r="21" spans="5:10" ht="57.6" x14ac:dyDescent="0.3">
      <c r="E21" t="s">
        <v>30</v>
      </c>
      <c r="F21" s="4">
        <f xml:space="preserve"> 150 + 150</f>
        <v>300</v>
      </c>
      <c r="G21" s="10">
        <f xml:space="preserve"> Table1[[#This Row],[Expense (TND)]]/12</f>
        <v>25</v>
      </c>
      <c r="H21" t="s">
        <v>6</v>
      </c>
      <c r="I21" t="s">
        <v>3</v>
      </c>
      <c r="J21" s="1" t="s">
        <v>42</v>
      </c>
    </row>
    <row r="22" spans="5:10" ht="28.8" x14ac:dyDescent="0.3">
      <c r="E22" t="s">
        <v>27</v>
      </c>
      <c r="F22" s="4">
        <f xml:space="preserve"> 30 * 6</f>
        <v>180</v>
      </c>
      <c r="G22" s="10">
        <f xml:space="preserve"> Table1[[#This Row],[Expense (TND)]]/12</f>
        <v>15</v>
      </c>
      <c r="H22" t="s">
        <v>6</v>
      </c>
      <c r="I22" t="s">
        <v>3</v>
      </c>
      <c r="J22" s="1" t="s">
        <v>37</v>
      </c>
    </row>
    <row r="23" spans="5:10" ht="57.6" x14ac:dyDescent="0.3">
      <c r="E23" t="s">
        <v>28</v>
      </c>
      <c r="F23" s="4">
        <f xml:space="preserve"> 1900 - 1500 + (25*12)</f>
        <v>700</v>
      </c>
      <c r="G23" s="10">
        <f xml:space="preserve"> Table1[[#This Row],[Expense (TND)]]/12</f>
        <v>58.333333333333336</v>
      </c>
      <c r="H23" t="s">
        <v>6</v>
      </c>
      <c r="I23" t="s">
        <v>3</v>
      </c>
      <c r="J23" s="1" t="s">
        <v>38</v>
      </c>
    </row>
    <row r="24" spans="5:10" x14ac:dyDescent="0.3">
      <c r="E24" t="s">
        <v>29</v>
      </c>
      <c r="F24" s="4">
        <v>1300</v>
      </c>
      <c r="G24" s="10">
        <f xml:space="preserve"> Table1[[#This Row],[Expense (TND)]]/12</f>
        <v>108.33333333333333</v>
      </c>
      <c r="H24" t="s">
        <v>6</v>
      </c>
      <c r="I24" t="s">
        <v>3</v>
      </c>
      <c r="J24" t="s">
        <v>39</v>
      </c>
    </row>
    <row r="25" spans="5:10" x14ac:dyDescent="0.3">
      <c r="E25" t="s">
        <v>31</v>
      </c>
      <c r="F25" s="4">
        <v>160</v>
      </c>
      <c r="G25" s="10">
        <f xml:space="preserve"> Table1[[#This Row],[Expense (TND)]]/12</f>
        <v>13.333333333333334</v>
      </c>
      <c r="H25" t="s">
        <v>6</v>
      </c>
      <c r="I25" t="s">
        <v>3</v>
      </c>
    </row>
    <row r="26" spans="5:10" x14ac:dyDescent="0.3">
      <c r="E26" t="s">
        <v>32</v>
      </c>
      <c r="F26" s="4">
        <v>100</v>
      </c>
      <c r="G26" s="10">
        <f xml:space="preserve"> Table1[[#This Row],[Expense (TND)]]/12</f>
        <v>8.3333333333333339</v>
      </c>
      <c r="H26" t="s">
        <v>6</v>
      </c>
      <c r="I26" t="s">
        <v>3</v>
      </c>
      <c r="J26" t="s">
        <v>43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71C91-2C10-41D7-B825-6AC6C64E2097}">
  <dimension ref="C3:Z16"/>
  <sheetViews>
    <sheetView topLeftCell="O6" zoomScale="85" zoomScaleNormal="85" workbookViewId="0">
      <selection activeCell="W10" sqref="W10"/>
    </sheetView>
  </sheetViews>
  <sheetFormatPr defaultRowHeight="14.4" x14ac:dyDescent="0.3"/>
  <cols>
    <col min="4" max="4" width="19.109375" customWidth="1"/>
    <col min="5" max="6" width="10.33203125" customWidth="1"/>
    <col min="7" max="7" width="14.5546875" bestFit="1" customWidth="1"/>
    <col min="8" max="9" width="10.33203125" customWidth="1"/>
    <col min="10" max="10" width="15.33203125" customWidth="1"/>
    <col min="11" max="11" width="14.6640625" customWidth="1"/>
    <col min="12" max="12" width="10.33203125" customWidth="1"/>
    <col min="13" max="13" width="18.5546875" bestFit="1" customWidth="1"/>
    <col min="14" max="14" width="22.5546875" customWidth="1"/>
    <col min="15" max="15" width="10.88671875" customWidth="1"/>
    <col min="16" max="17" width="22.5546875" customWidth="1"/>
    <col min="19" max="19" width="16.88671875" customWidth="1"/>
    <col min="20" max="20" width="22.5546875" customWidth="1"/>
    <col min="22" max="22" width="30.109375" customWidth="1"/>
    <col min="23" max="23" width="18.33203125" customWidth="1"/>
    <col min="24" max="24" width="17.6640625" bestFit="1" customWidth="1"/>
    <col min="25" max="25" width="17.44140625" customWidth="1"/>
    <col min="26" max="26" width="15.44140625" customWidth="1"/>
  </cols>
  <sheetData>
    <row r="3" spans="3:26" ht="92.25" customHeight="1" x14ac:dyDescent="0.3">
      <c r="D3" s="12"/>
      <c r="E3" s="13"/>
      <c r="V3" s="50" t="s">
        <v>91</v>
      </c>
      <c r="W3" s="50"/>
      <c r="X3" s="50"/>
    </row>
    <row r="6" spans="3:26" ht="51" customHeight="1" x14ac:dyDescent="0.3">
      <c r="D6" t="s">
        <v>72</v>
      </c>
      <c r="E6" t="s">
        <v>70</v>
      </c>
      <c r="G6" t="s">
        <v>72</v>
      </c>
      <c r="H6" t="s">
        <v>75</v>
      </c>
      <c r="J6" t="s">
        <v>72</v>
      </c>
      <c r="K6" t="s">
        <v>76</v>
      </c>
      <c r="M6" t="s">
        <v>72</v>
      </c>
      <c r="N6" t="s">
        <v>78</v>
      </c>
      <c r="P6" t="s">
        <v>72</v>
      </c>
      <c r="Q6" t="s">
        <v>211</v>
      </c>
      <c r="S6" t="s">
        <v>72</v>
      </c>
      <c r="T6" t="s">
        <v>84</v>
      </c>
      <c r="V6" s="2" t="s">
        <v>69</v>
      </c>
      <c r="W6" s="3" t="s">
        <v>74</v>
      </c>
      <c r="X6" s="3" t="s">
        <v>89</v>
      </c>
      <c r="Y6" s="3" t="s">
        <v>90</v>
      </c>
      <c r="Z6" s="3" t="s">
        <v>195</v>
      </c>
    </row>
    <row r="7" spans="3:26" x14ac:dyDescent="0.3">
      <c r="D7">
        <v>2017</v>
      </c>
      <c r="E7">
        <v>38000</v>
      </c>
      <c r="G7">
        <v>2017</v>
      </c>
      <c r="H7">
        <v>5000</v>
      </c>
      <c r="J7">
        <v>2017</v>
      </c>
      <c r="K7" s="4">
        <v>0</v>
      </c>
      <c r="M7">
        <v>2017</v>
      </c>
      <c r="N7" t="s">
        <v>79</v>
      </c>
      <c r="P7">
        <v>2017</v>
      </c>
      <c r="Q7" s="22" t="s">
        <v>79</v>
      </c>
      <c r="S7">
        <v>2017</v>
      </c>
      <c r="T7">
        <v>1220</v>
      </c>
      <c r="V7" t="s">
        <v>71</v>
      </c>
      <c r="W7">
        <f>H8</f>
        <v>4500</v>
      </c>
      <c r="X7">
        <f>H9</f>
        <v>0</v>
      </c>
      <c r="Y7">
        <f>H10</f>
        <v>10000</v>
      </c>
      <c r="Z7">
        <f>H11</f>
        <v>25000</v>
      </c>
    </row>
    <row r="8" spans="3:26" x14ac:dyDescent="0.3">
      <c r="D8">
        <v>2018</v>
      </c>
      <c r="E8">
        <v>40000</v>
      </c>
      <c r="G8">
        <v>2018</v>
      </c>
      <c r="H8">
        <v>4500</v>
      </c>
      <c r="J8">
        <v>2018</v>
      </c>
      <c r="K8" s="4">
        <v>15000</v>
      </c>
      <c r="M8">
        <v>2018</v>
      </c>
      <c r="N8">
        <v>20000</v>
      </c>
      <c r="P8">
        <v>2018</v>
      </c>
      <c r="Q8" s="22" t="s">
        <v>79</v>
      </c>
      <c r="S8">
        <v>2018</v>
      </c>
      <c r="T8">
        <v>2440</v>
      </c>
      <c r="V8" t="s">
        <v>211</v>
      </c>
      <c r="X8">
        <f>Q9</f>
        <v>100000</v>
      </c>
      <c r="Y8" s="22">
        <f>Q10</f>
        <v>105000</v>
      </c>
      <c r="Z8" s="22">
        <f>Q11</f>
        <v>110250</v>
      </c>
    </row>
    <row r="9" spans="3:26" x14ac:dyDescent="0.3">
      <c r="C9" s="51" t="s">
        <v>81</v>
      </c>
      <c r="D9">
        <v>2019</v>
      </c>
      <c r="G9">
        <v>2019</v>
      </c>
      <c r="J9">
        <v>2019</v>
      </c>
      <c r="K9" s="4">
        <f>K8 * (1 + 0.05) + 13800</f>
        <v>29550</v>
      </c>
      <c r="M9" s="19">
        <v>43800</v>
      </c>
      <c r="N9">
        <v>20000</v>
      </c>
      <c r="P9">
        <v>2019</v>
      </c>
      <c r="Q9" s="22">
        <v>100000</v>
      </c>
      <c r="S9">
        <v>2019</v>
      </c>
      <c r="T9">
        <v>3660</v>
      </c>
      <c r="V9" t="s">
        <v>70</v>
      </c>
      <c r="W9">
        <f>E8</f>
        <v>40000</v>
      </c>
      <c r="X9">
        <f>E9</f>
        <v>0</v>
      </c>
      <c r="Y9">
        <f>E10</f>
        <v>0</v>
      </c>
      <c r="Z9">
        <f>E11</f>
        <v>0</v>
      </c>
    </row>
    <row r="10" spans="3:26" x14ac:dyDescent="0.3">
      <c r="C10" s="51"/>
      <c r="D10">
        <v>2020</v>
      </c>
      <c r="E10">
        <v>0</v>
      </c>
      <c r="G10">
        <v>2020</v>
      </c>
      <c r="H10">
        <f xml:space="preserve"> H9 + 10000</f>
        <v>10000</v>
      </c>
      <c r="J10">
        <v>2020</v>
      </c>
      <c r="K10" s="4">
        <f>K9 * (1 + 0.05) +5000</f>
        <v>36027.5</v>
      </c>
      <c r="M10" s="19">
        <v>44166</v>
      </c>
      <c r="N10">
        <f>N9 * (1+0.07) + 20000</f>
        <v>41400</v>
      </c>
      <c r="P10">
        <v>2020</v>
      </c>
      <c r="Q10" s="22">
        <f xml:space="preserve"> Q9 * (1+0.05)</f>
        <v>105000</v>
      </c>
      <c r="S10">
        <v>2020</v>
      </c>
      <c r="T10">
        <v>4880</v>
      </c>
      <c r="V10" t="s">
        <v>77</v>
      </c>
      <c r="W10">
        <f>K8</f>
        <v>15000</v>
      </c>
      <c r="X10">
        <f>K9</f>
        <v>29550</v>
      </c>
      <c r="Y10">
        <f>K10</f>
        <v>36027.5</v>
      </c>
      <c r="Z10">
        <f>K11</f>
        <v>42828.875</v>
      </c>
    </row>
    <row r="11" spans="3:26" x14ac:dyDescent="0.3">
      <c r="C11" s="51"/>
      <c r="D11">
        <v>2021</v>
      </c>
      <c r="E11">
        <v>0</v>
      </c>
      <c r="G11">
        <v>2021</v>
      </c>
      <c r="H11">
        <f xml:space="preserve"> H10 + 10000 + 5000</f>
        <v>25000</v>
      </c>
      <c r="J11">
        <v>2021</v>
      </c>
      <c r="K11" s="4">
        <f>K10 * (1 + 0.05) +5000</f>
        <v>42828.875</v>
      </c>
      <c r="M11" s="19">
        <v>44531</v>
      </c>
      <c r="N11">
        <f>N10 * (1+0.07) + 20000</f>
        <v>64298</v>
      </c>
      <c r="P11">
        <v>2021</v>
      </c>
      <c r="Q11" s="22">
        <f t="shared" ref="Q11:Q14" si="0" xml:space="preserve"> Q10 * (1+0.05)</f>
        <v>110250</v>
      </c>
      <c r="S11">
        <v>2021</v>
      </c>
      <c r="T11">
        <v>6100</v>
      </c>
      <c r="V11" t="s">
        <v>80</v>
      </c>
      <c r="W11">
        <f>N8</f>
        <v>20000</v>
      </c>
      <c r="X11">
        <f>N9</f>
        <v>20000</v>
      </c>
      <c r="Y11">
        <f>N10</f>
        <v>41400</v>
      </c>
      <c r="Z11">
        <f>N11</f>
        <v>64298</v>
      </c>
    </row>
    <row r="12" spans="3:26" x14ac:dyDescent="0.3">
      <c r="C12" s="51"/>
      <c r="D12">
        <v>2022</v>
      </c>
      <c r="E12">
        <v>0</v>
      </c>
      <c r="G12">
        <v>2022</v>
      </c>
      <c r="H12">
        <f xml:space="preserve"> H11 + 10000</f>
        <v>35000</v>
      </c>
      <c r="J12">
        <v>2022</v>
      </c>
      <c r="K12" s="4">
        <f t="shared" ref="K12:K14" si="1">K11 * (1 + 0.05) +5000</f>
        <v>49970.318749999999</v>
      </c>
      <c r="M12" s="19">
        <v>44896</v>
      </c>
      <c r="N12">
        <f>N11 * (1+0.07) + 20000</f>
        <v>88798.86</v>
      </c>
      <c r="P12">
        <v>2022</v>
      </c>
      <c r="Q12" s="22">
        <f t="shared" si="0"/>
        <v>115762.5</v>
      </c>
      <c r="S12">
        <v>2022</v>
      </c>
      <c r="T12">
        <v>7320</v>
      </c>
      <c r="V12" t="s">
        <v>85</v>
      </c>
      <c r="W12">
        <f>T8</f>
        <v>2440</v>
      </c>
      <c r="X12">
        <f>T9</f>
        <v>3660</v>
      </c>
      <c r="Y12">
        <f>T10</f>
        <v>4880</v>
      </c>
      <c r="Z12">
        <f>T11</f>
        <v>6100</v>
      </c>
    </row>
    <row r="13" spans="3:26" ht="100.8" x14ac:dyDescent="0.3">
      <c r="C13" s="51"/>
      <c r="D13">
        <v>2023</v>
      </c>
      <c r="E13">
        <v>0</v>
      </c>
      <c r="G13">
        <v>2023</v>
      </c>
      <c r="H13">
        <f t="shared" ref="H13:H14" si="2" xml:space="preserve"> H12 + 10000</f>
        <v>45000</v>
      </c>
      <c r="J13">
        <v>2023</v>
      </c>
      <c r="K13" s="4">
        <f t="shared" si="1"/>
        <v>57468.834687499999</v>
      </c>
      <c r="M13" s="19">
        <v>45261</v>
      </c>
      <c r="N13">
        <f>N12 * (1+0.07) + 20000</f>
        <v>115014.78020000001</v>
      </c>
      <c r="P13">
        <v>2023</v>
      </c>
      <c r="Q13" s="22">
        <f t="shared" si="0"/>
        <v>121550.625</v>
      </c>
      <c r="S13">
        <v>2023</v>
      </c>
      <c r="T13">
        <v>8540</v>
      </c>
      <c r="V13" s="1" t="s">
        <v>197</v>
      </c>
      <c r="X13" s="8" t="s">
        <v>199</v>
      </c>
      <c r="Y13" s="18" t="s">
        <v>210</v>
      </c>
      <c r="Z13" s="1" t="s">
        <v>200</v>
      </c>
    </row>
    <row r="14" spans="3:26" x14ac:dyDescent="0.3">
      <c r="C14" s="51"/>
      <c r="D14">
        <v>2024</v>
      </c>
      <c r="E14">
        <v>0</v>
      </c>
      <c r="G14">
        <v>2024</v>
      </c>
      <c r="H14">
        <f t="shared" si="2"/>
        <v>55000</v>
      </c>
      <c r="J14">
        <v>2024</v>
      </c>
      <c r="K14" s="4">
        <f t="shared" si="1"/>
        <v>65342.276421875002</v>
      </c>
      <c r="M14" s="19">
        <v>45627</v>
      </c>
      <c r="N14">
        <f>N13 * (1+0.07) + 20000</f>
        <v>143065.81481400001</v>
      </c>
      <c r="P14">
        <v>2024</v>
      </c>
      <c r="Q14" s="22">
        <f t="shared" si="0"/>
        <v>127628.15625</v>
      </c>
      <c r="S14">
        <v>2024</v>
      </c>
      <c r="T14">
        <v>9760</v>
      </c>
    </row>
    <row r="15" spans="3:26" ht="43.2" x14ac:dyDescent="0.3">
      <c r="V15" s="21" t="s">
        <v>213</v>
      </c>
      <c r="W15" s="11">
        <f>SUM(W7:W11)</f>
        <v>79500</v>
      </c>
      <c r="X15" s="11">
        <f>SUM(X7:X11)</f>
        <v>149550</v>
      </c>
      <c r="Y15" s="11">
        <f>SUM(Y7:Y11)</f>
        <v>192427.5</v>
      </c>
      <c r="Z15" s="11">
        <f>SUM(Z7:Z11)</f>
        <v>242376.875</v>
      </c>
    </row>
    <row r="16" spans="3:26" x14ac:dyDescent="0.3">
      <c r="V16" s="20" t="s">
        <v>212</v>
      </c>
      <c r="W16">
        <f>SUM(W7,W9,W11)</f>
        <v>64500</v>
      </c>
      <c r="X16">
        <f>SUM(X7,X9,X11)</f>
        <v>20000</v>
      </c>
      <c r="Y16">
        <f>SUM(Y7,Y9,Y11)</f>
        <v>51400</v>
      </c>
      <c r="Z16">
        <f>SUM(Z7,Z9,Z11)</f>
        <v>89298</v>
      </c>
    </row>
  </sheetData>
  <mergeCells count="2">
    <mergeCell ref="V3:X3"/>
    <mergeCell ref="C9:C14"/>
  </mergeCell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E6A3-B6BA-42A9-B023-C74A2868DECC}">
  <dimension ref="C2:M24"/>
  <sheetViews>
    <sheetView topLeftCell="A3" zoomScaleNormal="100" workbookViewId="0">
      <selection activeCell="L7" sqref="L7"/>
    </sheetView>
  </sheetViews>
  <sheetFormatPr defaultRowHeight="14.4" x14ac:dyDescent="0.3"/>
  <cols>
    <col min="3" max="3" width="21.88671875" customWidth="1"/>
    <col min="4" max="4" width="10.6640625" customWidth="1"/>
    <col min="5" max="5" width="13.109375" customWidth="1"/>
    <col min="6" max="6" width="26.88671875" customWidth="1"/>
    <col min="8" max="8" width="15.33203125" customWidth="1"/>
    <col min="9" max="9" width="21" customWidth="1"/>
    <col min="10" max="10" width="15.33203125" customWidth="1"/>
    <col min="11" max="11" width="13.5546875" customWidth="1"/>
    <col min="12" max="12" width="27.88671875" customWidth="1"/>
    <col min="13" max="13" width="91.5546875" customWidth="1"/>
  </cols>
  <sheetData>
    <row r="2" spans="3:13" ht="144" x14ac:dyDescent="0.3">
      <c r="C2" s="18" t="s">
        <v>251</v>
      </c>
      <c r="D2">
        <f xml:space="preserve"> 13000+300+2900</f>
        <v>16200</v>
      </c>
    </row>
    <row r="3" spans="3:13" ht="43.2" x14ac:dyDescent="0.3">
      <c r="C3" t="s">
        <v>233</v>
      </c>
      <c r="D3" t="s">
        <v>131</v>
      </c>
      <c r="E3" t="s">
        <v>234</v>
      </c>
      <c r="F3" t="s">
        <v>1</v>
      </c>
      <c r="H3" t="s">
        <v>236</v>
      </c>
      <c r="I3" t="s">
        <v>242</v>
      </c>
      <c r="J3" t="s">
        <v>131</v>
      </c>
      <c r="K3" t="s">
        <v>235</v>
      </c>
      <c r="L3" s="1" t="s">
        <v>241</v>
      </c>
      <c r="M3" t="s">
        <v>1</v>
      </c>
    </row>
    <row r="4" spans="3:13" ht="159.75" customHeight="1" x14ac:dyDescent="0.3">
      <c r="C4" s="2">
        <v>2500</v>
      </c>
      <c r="D4" s="25">
        <v>44103</v>
      </c>
      <c r="E4" s="2">
        <f xml:space="preserve"> 13000 + 2900 + 300 - C4</f>
        <v>13700</v>
      </c>
      <c r="F4" s="27" t="s">
        <v>237</v>
      </c>
      <c r="H4" s="2">
        <v>7018</v>
      </c>
      <c r="I4" s="2">
        <v>2500</v>
      </c>
      <c r="J4" s="25">
        <v>44103</v>
      </c>
      <c r="K4" s="2">
        <f>2500+750+675+240+60+80+200+100+1500</f>
        <v>6105</v>
      </c>
      <c r="L4" s="2">
        <v>400</v>
      </c>
      <c r="M4" s="1" t="s">
        <v>240</v>
      </c>
    </row>
    <row r="5" spans="3:13" ht="102.75" customHeight="1" x14ac:dyDescent="0.3">
      <c r="C5" s="2">
        <v>4000</v>
      </c>
      <c r="D5" s="25">
        <v>44133</v>
      </c>
      <c r="E5" s="2">
        <f xml:space="preserve"> E4 - C5</f>
        <v>9700</v>
      </c>
      <c r="F5" s="26" t="s">
        <v>252</v>
      </c>
      <c r="H5" s="2">
        <v>6950</v>
      </c>
      <c r="I5" s="2">
        <v>4000</v>
      </c>
      <c r="J5" s="25">
        <v>44133</v>
      </c>
      <c r="K5" s="2">
        <f>4000+105+200+75+100+1500</f>
        <v>5980</v>
      </c>
      <c r="L5" s="2">
        <f>400+500</f>
        <v>900</v>
      </c>
      <c r="M5" s="1" t="s">
        <v>238</v>
      </c>
    </row>
    <row r="6" spans="3:13" ht="100.8" x14ac:dyDescent="0.3">
      <c r="C6" s="2">
        <v>4000</v>
      </c>
      <c r="D6" s="25">
        <v>44164</v>
      </c>
      <c r="E6" s="2">
        <f xml:space="preserve"> E5 - C6</f>
        <v>5700</v>
      </c>
      <c r="F6" s="26" t="s">
        <v>252</v>
      </c>
      <c r="H6" s="2">
        <v>6950</v>
      </c>
      <c r="I6" s="2">
        <v>4000</v>
      </c>
      <c r="J6" s="25">
        <v>44166</v>
      </c>
      <c r="K6" s="2">
        <f>4000 + 540 + 200 + 100 + 1500</f>
        <v>6340</v>
      </c>
      <c r="L6" s="2">
        <f xml:space="preserve"> 400 + 500 + 0</f>
        <v>900</v>
      </c>
      <c r="M6" s="1" t="s">
        <v>239</v>
      </c>
    </row>
    <row r="7" spans="3:13" x14ac:dyDescent="0.3">
      <c r="C7" s="2">
        <v>1000</v>
      </c>
      <c r="D7" s="25">
        <v>44194</v>
      </c>
      <c r="E7" s="2">
        <f xml:space="preserve"> E6 - C7</f>
        <v>4700</v>
      </c>
      <c r="F7" s="26"/>
      <c r="H7" s="2">
        <v>6950</v>
      </c>
      <c r="I7" s="2">
        <v>1000</v>
      </c>
      <c r="J7" s="25"/>
      <c r="K7" s="2">
        <f>2500+750+675+105+200+100+1500</f>
        <v>5830</v>
      </c>
      <c r="L7" s="2"/>
      <c r="M7" s="1"/>
    </row>
    <row r="8" spans="3:13" x14ac:dyDescent="0.3">
      <c r="C8" s="2"/>
      <c r="D8" s="25">
        <v>44225</v>
      </c>
      <c r="E8" s="2">
        <f xml:space="preserve"> E7 - C8</f>
        <v>4700</v>
      </c>
      <c r="F8" s="26"/>
      <c r="H8" s="2"/>
    </row>
    <row r="9" spans="3:13" x14ac:dyDescent="0.3">
      <c r="H9" s="2"/>
    </row>
    <row r="16" spans="3:13" x14ac:dyDescent="0.3">
      <c r="I16" s="52" t="s">
        <v>250</v>
      </c>
      <c r="J16" s="52"/>
    </row>
    <row r="17" spans="9:10" x14ac:dyDescent="0.3">
      <c r="I17" t="s">
        <v>243</v>
      </c>
      <c r="J17">
        <v>2000</v>
      </c>
    </row>
    <row r="18" spans="9:10" x14ac:dyDescent="0.3">
      <c r="I18" t="s">
        <v>244</v>
      </c>
      <c r="J18">
        <v>4000</v>
      </c>
    </row>
    <row r="19" spans="9:10" x14ac:dyDescent="0.3">
      <c r="I19" t="s">
        <v>245</v>
      </c>
      <c r="J19">
        <v>4000</v>
      </c>
    </row>
    <row r="20" spans="9:10" x14ac:dyDescent="0.3">
      <c r="I20" t="s">
        <v>246</v>
      </c>
      <c r="J20">
        <v>4000</v>
      </c>
    </row>
    <row r="21" spans="9:10" x14ac:dyDescent="0.3">
      <c r="I21" t="s">
        <v>247</v>
      </c>
      <c r="J21">
        <v>4000</v>
      </c>
    </row>
    <row r="22" spans="9:10" x14ac:dyDescent="0.3">
      <c r="I22" t="s">
        <v>249</v>
      </c>
      <c r="J22">
        <v>4000</v>
      </c>
    </row>
    <row r="24" spans="9:10" x14ac:dyDescent="0.3">
      <c r="I24" s="7" t="s">
        <v>248</v>
      </c>
      <c r="J24" s="28">
        <f xml:space="preserve"> SUM(J17:J22)</f>
        <v>22000</v>
      </c>
    </row>
  </sheetData>
  <mergeCells count="1">
    <mergeCell ref="I16:J16"/>
  </mergeCells>
  <phoneticPr fontId="4" type="noConversion"/>
  <pageMargins left="0.7" right="0.7" top="0.75" bottom="0.75" header="0.3" footer="0.3"/>
  <pageSetup paperSize="9" orientation="portrait"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B30F4-99D6-44E7-A1A0-C8F107786046}">
  <dimension ref="A2:J174"/>
  <sheetViews>
    <sheetView topLeftCell="A98" zoomScale="85" zoomScaleNormal="85" workbookViewId="0">
      <selection activeCell="E107" sqref="E107"/>
    </sheetView>
  </sheetViews>
  <sheetFormatPr defaultRowHeight="14.4" x14ac:dyDescent="0.3"/>
  <cols>
    <col min="3" max="3" width="36.109375" customWidth="1"/>
    <col min="4" max="4" width="26.33203125" customWidth="1"/>
    <col min="5" max="5" width="27" customWidth="1"/>
    <col min="6" max="6" width="22.44140625" customWidth="1"/>
    <col min="7" max="7" width="20.5546875" customWidth="1"/>
    <col min="8" max="8" width="19.44140625" customWidth="1"/>
    <col min="9" max="9" width="23.109375" customWidth="1"/>
    <col min="10" max="10" width="46.88671875" customWidth="1"/>
  </cols>
  <sheetData>
    <row r="2" spans="3:10" x14ac:dyDescent="0.3">
      <c r="C2" s="29" t="s">
        <v>256</v>
      </c>
      <c r="D2" s="30">
        <v>3000</v>
      </c>
      <c r="E2" s="30"/>
    </row>
    <row r="4" spans="3:10" x14ac:dyDescent="0.3">
      <c r="C4" t="s">
        <v>253</v>
      </c>
      <c r="D4" t="s">
        <v>264</v>
      </c>
      <c r="E4" t="s">
        <v>5</v>
      </c>
      <c r="F4" t="s">
        <v>131</v>
      </c>
      <c r="G4" t="s">
        <v>254</v>
      </c>
      <c r="H4" t="s">
        <v>263</v>
      </c>
      <c r="I4" t="s">
        <v>259</v>
      </c>
      <c r="J4" t="s">
        <v>1</v>
      </c>
    </row>
    <row r="5" spans="3:10" x14ac:dyDescent="0.3">
      <c r="C5" s="1" t="s">
        <v>283</v>
      </c>
      <c r="D5">
        <v>750</v>
      </c>
      <c r="E5" t="s">
        <v>282</v>
      </c>
      <c r="F5" s="24">
        <v>44190</v>
      </c>
      <c r="G5" t="s">
        <v>255</v>
      </c>
      <c r="I5" s="1" t="s">
        <v>273</v>
      </c>
      <c r="J5" s="1"/>
    </row>
    <row r="6" spans="3:10" ht="28.8" x14ac:dyDescent="0.3">
      <c r="C6" s="1" t="s">
        <v>274</v>
      </c>
      <c r="D6">
        <v>5200</v>
      </c>
      <c r="E6" t="s">
        <v>280</v>
      </c>
      <c r="F6" s="24">
        <v>44190</v>
      </c>
      <c r="G6" t="s">
        <v>255</v>
      </c>
      <c r="I6" s="1"/>
      <c r="J6" s="1"/>
    </row>
    <row r="7" spans="3:10" ht="28.8" x14ac:dyDescent="0.3">
      <c r="C7" t="s">
        <v>268</v>
      </c>
      <c r="D7">
        <v>125</v>
      </c>
      <c r="E7" t="s">
        <v>281</v>
      </c>
      <c r="F7" s="24">
        <v>44193</v>
      </c>
      <c r="G7" t="s">
        <v>255</v>
      </c>
      <c r="I7" s="1" t="s">
        <v>269</v>
      </c>
      <c r="J7" s="1"/>
    </row>
    <row r="8" spans="3:10" ht="43.2" x14ac:dyDescent="0.3">
      <c r="C8" t="s">
        <v>272</v>
      </c>
      <c r="D8">
        <v>200</v>
      </c>
      <c r="E8" t="s">
        <v>279</v>
      </c>
      <c r="F8" s="24">
        <v>44197</v>
      </c>
      <c r="G8" t="s">
        <v>255</v>
      </c>
      <c r="I8" s="1" t="s">
        <v>261</v>
      </c>
      <c r="J8" s="1" t="s">
        <v>284</v>
      </c>
    </row>
    <row r="9" spans="3:10" ht="57.6" x14ac:dyDescent="0.3">
      <c r="C9" t="s">
        <v>265</v>
      </c>
      <c r="E9" t="s">
        <v>278</v>
      </c>
      <c r="F9" s="24">
        <v>44200</v>
      </c>
      <c r="G9" t="s">
        <v>266</v>
      </c>
      <c r="H9">
        <v>6000</v>
      </c>
      <c r="J9" s="1" t="s">
        <v>270</v>
      </c>
    </row>
    <row r="10" spans="3:10" ht="28.8" x14ac:dyDescent="0.3">
      <c r="C10" t="s">
        <v>267</v>
      </c>
      <c r="D10">
        <v>120</v>
      </c>
      <c r="E10" t="s">
        <v>281</v>
      </c>
      <c r="F10" s="24">
        <v>44202</v>
      </c>
      <c r="G10" t="s">
        <v>255</v>
      </c>
      <c r="I10" s="1" t="s">
        <v>269</v>
      </c>
      <c r="J10" s="1"/>
    </row>
    <row r="11" spans="3:10" ht="28.8" x14ac:dyDescent="0.3">
      <c r="C11" s="1" t="s">
        <v>275</v>
      </c>
      <c r="E11" s="1" t="s">
        <v>271</v>
      </c>
      <c r="F11" s="24">
        <v>44208</v>
      </c>
      <c r="G11" t="s">
        <v>255</v>
      </c>
      <c r="H11">
        <v>1674.415</v>
      </c>
      <c r="I11" s="1"/>
      <c r="J11" s="1"/>
    </row>
    <row r="12" spans="3:10" x14ac:dyDescent="0.3">
      <c r="C12" t="s">
        <v>258</v>
      </c>
      <c r="D12">
        <v>18.510000000000002</v>
      </c>
      <c r="E12" t="s">
        <v>279</v>
      </c>
      <c r="F12" s="24">
        <v>44215</v>
      </c>
      <c r="G12" t="s">
        <v>255</v>
      </c>
      <c r="I12" t="s">
        <v>261</v>
      </c>
    </row>
    <row r="13" spans="3:10" ht="100.8" x14ac:dyDescent="0.3">
      <c r="C13" t="s">
        <v>257</v>
      </c>
      <c r="D13">
        <v>3.7</v>
      </c>
      <c r="E13" t="s">
        <v>279</v>
      </c>
      <c r="F13" s="24">
        <v>44219</v>
      </c>
      <c r="G13" t="s">
        <v>255</v>
      </c>
      <c r="I13" t="s">
        <v>260</v>
      </c>
      <c r="J13" s="1" t="s">
        <v>287</v>
      </c>
    </row>
    <row r="14" spans="3:10" x14ac:dyDescent="0.3">
      <c r="C14" t="s">
        <v>258</v>
      </c>
      <c r="D14">
        <v>18.510000000000002</v>
      </c>
      <c r="E14" t="s">
        <v>279</v>
      </c>
      <c r="F14" s="24">
        <v>44219</v>
      </c>
      <c r="G14" t="s">
        <v>255</v>
      </c>
      <c r="I14" t="s">
        <v>261</v>
      </c>
    </row>
    <row r="15" spans="3:10" x14ac:dyDescent="0.3">
      <c r="C15" t="s">
        <v>265</v>
      </c>
      <c r="E15" t="s">
        <v>278</v>
      </c>
      <c r="F15" s="24">
        <v>44221</v>
      </c>
      <c r="G15" t="s">
        <v>266</v>
      </c>
      <c r="H15">
        <v>3000</v>
      </c>
      <c r="J15" t="s">
        <v>424</v>
      </c>
    </row>
    <row r="16" spans="3:10" ht="43.2" x14ac:dyDescent="0.3">
      <c r="C16" s="1" t="s">
        <v>285</v>
      </c>
      <c r="D16">
        <f xml:space="preserve"> 65 * 12</f>
        <v>780</v>
      </c>
      <c r="E16" s="1" t="s">
        <v>277</v>
      </c>
      <c r="F16" s="24">
        <v>44221</v>
      </c>
      <c r="G16" t="s">
        <v>255</v>
      </c>
    </row>
    <row r="17" spans="3:10" x14ac:dyDescent="0.3">
      <c r="C17" s="1" t="s">
        <v>258</v>
      </c>
      <c r="D17">
        <v>14</v>
      </c>
      <c r="E17" t="s">
        <v>279</v>
      </c>
      <c r="F17" s="24">
        <v>44225</v>
      </c>
      <c r="G17" t="s">
        <v>255</v>
      </c>
    </row>
    <row r="18" spans="3:10" ht="28.8" x14ac:dyDescent="0.3">
      <c r="C18" s="1" t="s">
        <v>292</v>
      </c>
      <c r="D18">
        <v>11.5</v>
      </c>
      <c r="E18" t="s">
        <v>279</v>
      </c>
      <c r="F18" s="24">
        <v>44224</v>
      </c>
      <c r="G18" t="s">
        <v>255</v>
      </c>
      <c r="J18" s="1" t="s">
        <v>293</v>
      </c>
    </row>
    <row r="19" spans="3:10" ht="28.8" x14ac:dyDescent="0.3">
      <c r="C19" s="1" t="s">
        <v>294</v>
      </c>
      <c r="D19">
        <v>400</v>
      </c>
      <c r="E19" t="s">
        <v>296</v>
      </c>
      <c r="F19" s="24">
        <v>44227</v>
      </c>
      <c r="G19" t="s">
        <v>255</v>
      </c>
      <c r="J19" s="1" t="s">
        <v>299</v>
      </c>
    </row>
    <row r="20" spans="3:10" ht="28.8" x14ac:dyDescent="0.3">
      <c r="C20" s="1" t="s">
        <v>295</v>
      </c>
      <c r="D20">
        <v>400</v>
      </c>
      <c r="E20" t="s">
        <v>296</v>
      </c>
      <c r="F20" s="24">
        <v>44227</v>
      </c>
      <c r="G20" t="s">
        <v>255</v>
      </c>
      <c r="J20" s="1"/>
    </row>
    <row r="21" spans="3:10" ht="28.8" x14ac:dyDescent="0.3">
      <c r="C21" s="1" t="s">
        <v>297</v>
      </c>
      <c r="D21">
        <v>100</v>
      </c>
      <c r="E21" t="s">
        <v>296</v>
      </c>
      <c r="F21" s="24">
        <v>44227</v>
      </c>
      <c r="G21" t="s">
        <v>255</v>
      </c>
      <c r="J21" s="1" t="s">
        <v>300</v>
      </c>
    </row>
    <row r="22" spans="3:10" x14ac:dyDescent="0.3">
      <c r="C22" s="1" t="s">
        <v>298</v>
      </c>
      <c r="D22">
        <v>100</v>
      </c>
      <c r="E22" t="s">
        <v>296</v>
      </c>
      <c r="F22" s="24">
        <v>44227</v>
      </c>
      <c r="G22" t="s">
        <v>255</v>
      </c>
      <c r="J22" s="1" t="s">
        <v>301</v>
      </c>
    </row>
    <row r="23" spans="3:10" x14ac:dyDescent="0.3">
      <c r="C23" s="1" t="s">
        <v>305</v>
      </c>
      <c r="D23">
        <v>200</v>
      </c>
      <c r="E23" t="s">
        <v>296</v>
      </c>
      <c r="F23" s="24">
        <v>44227</v>
      </c>
      <c r="G23" t="s">
        <v>255</v>
      </c>
      <c r="J23" s="1" t="s">
        <v>306</v>
      </c>
    </row>
    <row r="24" spans="3:10" ht="57.6" x14ac:dyDescent="0.3">
      <c r="C24" s="1" t="s">
        <v>302</v>
      </c>
      <c r="D24">
        <v>130</v>
      </c>
      <c r="E24" t="s">
        <v>303</v>
      </c>
      <c r="F24" s="24">
        <v>44227</v>
      </c>
      <c r="G24" t="s">
        <v>255</v>
      </c>
      <c r="J24" s="1" t="s">
        <v>304</v>
      </c>
    </row>
    <row r="25" spans="3:10" ht="43.2" x14ac:dyDescent="0.3">
      <c r="C25" s="1" t="s">
        <v>291</v>
      </c>
      <c r="D25">
        <v>100</v>
      </c>
      <c r="E25" t="s">
        <v>26</v>
      </c>
      <c r="F25" s="24">
        <v>44227</v>
      </c>
      <c r="G25" t="s">
        <v>255</v>
      </c>
      <c r="J25" s="1" t="s">
        <v>276</v>
      </c>
    </row>
    <row r="26" spans="3:10" ht="54.75" customHeight="1" x14ac:dyDescent="0.3">
      <c r="C26" s="1" t="s">
        <v>318</v>
      </c>
      <c r="D26">
        <v>250</v>
      </c>
      <c r="E26" t="s">
        <v>316</v>
      </c>
      <c r="F26" s="24">
        <v>44232</v>
      </c>
      <c r="G26" t="s">
        <v>255</v>
      </c>
      <c r="J26" s="1" t="s">
        <v>317</v>
      </c>
    </row>
    <row r="27" spans="3:10" ht="73.5" customHeight="1" x14ac:dyDescent="0.3">
      <c r="C27" s="36" t="s">
        <v>312</v>
      </c>
      <c r="D27">
        <v>50</v>
      </c>
      <c r="E27" t="s">
        <v>288</v>
      </c>
      <c r="F27" s="24">
        <v>44234</v>
      </c>
      <c r="G27" t="s">
        <v>255</v>
      </c>
      <c r="H27" s="37">
        <v>323.096</v>
      </c>
      <c r="J27" s="1" t="s">
        <v>310</v>
      </c>
    </row>
    <row r="28" spans="3:10" ht="37.5" customHeight="1" x14ac:dyDescent="0.3">
      <c r="C28" s="36" t="s">
        <v>314</v>
      </c>
      <c r="D28">
        <v>14</v>
      </c>
      <c r="E28" t="s">
        <v>282</v>
      </c>
      <c r="F28" s="24">
        <v>44234</v>
      </c>
      <c r="G28" t="s">
        <v>255</v>
      </c>
      <c r="J28" s="1" t="s">
        <v>315</v>
      </c>
    </row>
    <row r="29" spans="3:10" ht="52.5" customHeight="1" x14ac:dyDescent="0.3">
      <c r="C29" s="36" t="s">
        <v>313</v>
      </c>
      <c r="D29">
        <v>140</v>
      </c>
      <c r="E29" t="s">
        <v>308</v>
      </c>
      <c r="F29" s="24">
        <v>44234</v>
      </c>
      <c r="G29" t="s">
        <v>255</v>
      </c>
      <c r="J29" s="1" t="s">
        <v>309</v>
      </c>
    </row>
    <row r="30" spans="3:10" ht="30" customHeight="1" x14ac:dyDescent="0.3">
      <c r="C30" s="1" t="s">
        <v>286</v>
      </c>
      <c r="D30">
        <v>250</v>
      </c>
      <c r="E30" t="s">
        <v>286</v>
      </c>
      <c r="F30" s="24">
        <v>44234</v>
      </c>
      <c r="G30" t="s">
        <v>307</v>
      </c>
      <c r="I30" s="1" t="s">
        <v>319</v>
      </c>
      <c r="J30" s="1" t="s">
        <v>311</v>
      </c>
    </row>
    <row r="31" spans="3:10" ht="30" customHeight="1" x14ac:dyDescent="0.3">
      <c r="C31" s="36" t="s">
        <v>320</v>
      </c>
      <c r="D31">
        <v>205</v>
      </c>
      <c r="E31" t="s">
        <v>308</v>
      </c>
      <c r="F31" s="24">
        <v>44235</v>
      </c>
      <c r="G31" t="s">
        <v>255</v>
      </c>
      <c r="I31" s="1"/>
      <c r="J31" s="1" t="s">
        <v>321</v>
      </c>
    </row>
    <row r="32" spans="3:10" ht="123" customHeight="1" x14ac:dyDescent="0.3">
      <c r="C32" s="33" t="s">
        <v>322</v>
      </c>
      <c r="D32">
        <f xml:space="preserve"> 50 + 73</f>
        <v>123</v>
      </c>
      <c r="E32" t="s">
        <v>288</v>
      </c>
      <c r="F32" s="24">
        <v>44237</v>
      </c>
      <c r="G32" t="s">
        <v>255</v>
      </c>
      <c r="H32">
        <f>45 + 62.916</f>
        <v>107.916</v>
      </c>
      <c r="J32" s="1" t="s">
        <v>331</v>
      </c>
    </row>
    <row r="33" spans="3:10" ht="43.2" x14ac:dyDescent="0.3">
      <c r="C33" s="18" t="s">
        <v>290</v>
      </c>
      <c r="E33" t="s">
        <v>289</v>
      </c>
    </row>
    <row r="34" spans="3:10" ht="172.8" x14ac:dyDescent="0.3">
      <c r="C34" s="1" t="s">
        <v>352</v>
      </c>
      <c r="D34">
        <f xml:space="preserve"> 60 + 140 + 142.16 + 105</f>
        <v>447.15999999999997</v>
      </c>
      <c r="E34" t="s">
        <v>288</v>
      </c>
      <c r="F34" s="24">
        <v>44247</v>
      </c>
      <c r="G34" t="s">
        <v>255</v>
      </c>
      <c r="H34">
        <v>313.79399999999998</v>
      </c>
      <c r="J34" s="1" t="s">
        <v>353</v>
      </c>
    </row>
    <row r="35" spans="3:10" ht="28.8" x14ac:dyDescent="0.3">
      <c r="C35" s="1" t="s">
        <v>318</v>
      </c>
      <c r="D35">
        <v>250</v>
      </c>
      <c r="E35" t="s">
        <v>316</v>
      </c>
      <c r="F35" s="24">
        <v>44247</v>
      </c>
      <c r="G35" t="s">
        <v>255</v>
      </c>
      <c r="J35" s="1" t="s">
        <v>317</v>
      </c>
    </row>
    <row r="36" spans="3:10" ht="28.8" x14ac:dyDescent="0.3">
      <c r="C36" s="1" t="s">
        <v>318</v>
      </c>
      <c r="D36">
        <v>200</v>
      </c>
      <c r="E36" t="s">
        <v>316</v>
      </c>
      <c r="F36" s="24">
        <v>44262</v>
      </c>
      <c r="G36" t="s">
        <v>255</v>
      </c>
      <c r="J36" s="1"/>
    </row>
    <row r="37" spans="3:10" ht="115.5" customHeight="1" x14ac:dyDescent="0.3">
      <c r="C37" s="1" t="s">
        <v>329</v>
      </c>
      <c r="D37">
        <v>268.26499999999999</v>
      </c>
      <c r="E37" t="s">
        <v>288</v>
      </c>
      <c r="F37" s="24">
        <v>44264</v>
      </c>
      <c r="G37" t="s">
        <v>255</v>
      </c>
      <c r="H37">
        <v>152.108</v>
      </c>
      <c r="J37" s="1" t="s">
        <v>336</v>
      </c>
    </row>
    <row r="38" spans="3:10" ht="60.75" customHeight="1" x14ac:dyDescent="0.3">
      <c r="C38" s="1" t="s">
        <v>332</v>
      </c>
      <c r="E38" t="s">
        <v>271</v>
      </c>
      <c r="F38" s="24">
        <v>44266</v>
      </c>
      <c r="G38" t="s">
        <v>255</v>
      </c>
      <c r="H38" s="35">
        <v>448.89100000000002</v>
      </c>
      <c r="J38" s="1" t="s">
        <v>328</v>
      </c>
    </row>
    <row r="39" spans="3:10" ht="78" customHeight="1" x14ac:dyDescent="0.3">
      <c r="C39" s="1" t="s">
        <v>330</v>
      </c>
      <c r="D39">
        <v>250</v>
      </c>
      <c r="E39" t="s">
        <v>355</v>
      </c>
      <c r="F39" s="24">
        <v>44266</v>
      </c>
      <c r="G39" t="s">
        <v>255</v>
      </c>
      <c r="H39" s="35">
        <v>225</v>
      </c>
      <c r="J39" s="1" t="s">
        <v>333</v>
      </c>
    </row>
    <row r="40" spans="3:10" ht="59.25" customHeight="1" x14ac:dyDescent="0.3">
      <c r="C40" s="1" t="s">
        <v>334</v>
      </c>
      <c r="D40">
        <v>240</v>
      </c>
      <c r="E40" t="s">
        <v>281</v>
      </c>
      <c r="F40" s="24">
        <v>44267</v>
      </c>
      <c r="G40" t="s">
        <v>255</v>
      </c>
      <c r="H40" s="35"/>
      <c r="I40" s="1" t="s">
        <v>269</v>
      </c>
      <c r="J40" s="1" t="s">
        <v>335</v>
      </c>
    </row>
    <row r="41" spans="3:10" ht="72" x14ac:dyDescent="0.3">
      <c r="C41" s="1" t="s">
        <v>337</v>
      </c>
      <c r="D41">
        <v>100</v>
      </c>
      <c r="E41" t="s">
        <v>338</v>
      </c>
      <c r="F41" s="24">
        <v>44270</v>
      </c>
      <c r="G41" t="s">
        <v>255</v>
      </c>
      <c r="H41" s="35"/>
      <c r="J41" s="1" t="s">
        <v>339</v>
      </c>
    </row>
    <row r="42" spans="3:10" ht="110.25" customHeight="1" x14ac:dyDescent="0.3">
      <c r="C42" s="1" t="s">
        <v>365</v>
      </c>
      <c r="D42">
        <f xml:space="preserve"> 60 + 180 + 186.095</f>
        <v>426.09500000000003</v>
      </c>
      <c r="E42" t="s">
        <v>288</v>
      </c>
      <c r="F42" s="24">
        <v>44277</v>
      </c>
      <c r="G42" t="s">
        <v>255</v>
      </c>
      <c r="H42" s="35">
        <v>327.98500000000001</v>
      </c>
      <c r="J42" s="1" t="s">
        <v>364</v>
      </c>
    </row>
    <row r="43" spans="3:10" ht="84.75" customHeight="1" x14ac:dyDescent="0.3">
      <c r="C43" s="1" t="s">
        <v>366</v>
      </c>
      <c r="D43">
        <f xml:space="preserve"> 60 + 120 + 48.34</f>
        <v>228.34</v>
      </c>
      <c r="E43" t="s">
        <v>288</v>
      </c>
      <c r="F43" s="24">
        <v>44278</v>
      </c>
      <c r="G43" t="s">
        <v>255</v>
      </c>
      <c r="H43" s="35">
        <v>153</v>
      </c>
      <c r="J43" s="1" t="s">
        <v>367</v>
      </c>
    </row>
    <row r="44" spans="3:10" ht="78.75" customHeight="1" x14ac:dyDescent="0.3">
      <c r="C44" s="1" t="s">
        <v>340</v>
      </c>
      <c r="D44">
        <f xml:space="preserve"> 33 + 8 + 10</f>
        <v>51</v>
      </c>
      <c r="E44" t="s">
        <v>279</v>
      </c>
      <c r="F44" s="24">
        <v>44282</v>
      </c>
      <c r="G44" t="s">
        <v>255</v>
      </c>
      <c r="H44" s="35"/>
      <c r="J44" s="1" t="s">
        <v>341</v>
      </c>
    </row>
    <row r="45" spans="3:10" ht="36.75" customHeight="1" x14ac:dyDescent="0.3">
      <c r="C45" t="s">
        <v>265</v>
      </c>
      <c r="E45" t="s">
        <v>350</v>
      </c>
      <c r="F45" s="24">
        <v>44285</v>
      </c>
      <c r="G45" t="s">
        <v>266</v>
      </c>
      <c r="H45" s="35">
        <v>4000</v>
      </c>
    </row>
    <row r="46" spans="3:10" ht="35.25" customHeight="1" x14ac:dyDescent="0.3">
      <c r="C46" s="1" t="s">
        <v>343</v>
      </c>
      <c r="D46">
        <v>180</v>
      </c>
      <c r="E46" t="s">
        <v>342</v>
      </c>
      <c r="F46" s="24">
        <v>44288</v>
      </c>
      <c r="G46" t="s">
        <v>255</v>
      </c>
      <c r="H46" s="35"/>
      <c r="J46" s="1"/>
    </row>
    <row r="47" spans="3:10" ht="28.8" x14ac:dyDescent="0.3">
      <c r="C47" s="1" t="s">
        <v>318</v>
      </c>
      <c r="D47">
        <v>220</v>
      </c>
      <c r="E47" t="s">
        <v>316</v>
      </c>
      <c r="F47" s="24">
        <v>44288</v>
      </c>
      <c r="G47" t="s">
        <v>255</v>
      </c>
      <c r="J47" s="1" t="s">
        <v>348</v>
      </c>
    </row>
    <row r="48" spans="3:10" x14ac:dyDescent="0.3">
      <c r="C48" s="1" t="s">
        <v>344</v>
      </c>
      <c r="D48">
        <v>35</v>
      </c>
      <c r="E48" t="s">
        <v>316</v>
      </c>
      <c r="F48" s="24">
        <v>44288</v>
      </c>
      <c r="G48" t="s">
        <v>255</v>
      </c>
      <c r="J48" t="s">
        <v>345</v>
      </c>
    </row>
    <row r="49" spans="3:10" ht="28.8" x14ac:dyDescent="0.3">
      <c r="C49" s="1" t="s">
        <v>318</v>
      </c>
      <c r="D49">
        <v>200</v>
      </c>
      <c r="E49" t="s">
        <v>316</v>
      </c>
      <c r="F49" s="24">
        <v>44296</v>
      </c>
      <c r="G49" t="s">
        <v>255</v>
      </c>
    </row>
    <row r="50" spans="3:10" x14ac:dyDescent="0.3">
      <c r="C50" s="1" t="s">
        <v>346</v>
      </c>
      <c r="D50">
        <f xml:space="preserve"> 25 + 16.5 +  9 + 15</f>
        <v>65.5</v>
      </c>
      <c r="E50" t="s">
        <v>316</v>
      </c>
      <c r="F50" s="24">
        <v>44297</v>
      </c>
      <c r="G50" t="s">
        <v>255</v>
      </c>
      <c r="J50" t="s">
        <v>347</v>
      </c>
    </row>
    <row r="51" spans="3:10" ht="72" x14ac:dyDescent="0.3">
      <c r="C51" s="38" t="s">
        <v>354</v>
      </c>
      <c r="D51" s="39">
        <v>400</v>
      </c>
      <c r="E51" s="39" t="s">
        <v>355</v>
      </c>
      <c r="F51" s="40">
        <v>44299</v>
      </c>
      <c r="G51" s="39"/>
      <c r="H51" s="39"/>
      <c r="I51" s="39"/>
      <c r="J51" s="38" t="s">
        <v>370</v>
      </c>
    </row>
    <row r="52" spans="3:10" ht="28.8" x14ac:dyDescent="0.3">
      <c r="C52" s="1" t="s">
        <v>349</v>
      </c>
      <c r="E52" t="s">
        <v>357</v>
      </c>
      <c r="F52" s="24">
        <v>44301</v>
      </c>
      <c r="G52" t="s">
        <v>255</v>
      </c>
      <c r="H52">
        <v>100</v>
      </c>
      <c r="J52" s="1" t="s">
        <v>351</v>
      </c>
    </row>
    <row r="53" spans="3:10" ht="43.2" x14ac:dyDescent="0.3">
      <c r="C53" s="1" t="s">
        <v>356</v>
      </c>
      <c r="E53" t="s">
        <v>357</v>
      </c>
      <c r="F53" s="24">
        <v>44309</v>
      </c>
      <c r="G53" t="s">
        <v>255</v>
      </c>
      <c r="H53">
        <v>300</v>
      </c>
      <c r="J53" s="1" t="s">
        <v>358</v>
      </c>
    </row>
    <row r="54" spans="3:10" ht="43.2" x14ac:dyDescent="0.3">
      <c r="C54" s="1" t="s">
        <v>340</v>
      </c>
      <c r="D54">
        <v>60</v>
      </c>
      <c r="E54" t="s">
        <v>316</v>
      </c>
      <c r="F54" s="24">
        <v>44310</v>
      </c>
      <c r="G54" t="s">
        <v>255</v>
      </c>
      <c r="H54" s="35"/>
      <c r="J54" s="1" t="s">
        <v>359</v>
      </c>
    </row>
    <row r="55" spans="3:10" x14ac:dyDescent="0.3">
      <c r="C55" s="1" t="s">
        <v>360</v>
      </c>
      <c r="E55" t="s">
        <v>357</v>
      </c>
      <c r="F55" s="24">
        <v>44318</v>
      </c>
      <c r="G55" t="s">
        <v>255</v>
      </c>
      <c r="H55" s="35">
        <v>200</v>
      </c>
      <c r="J55" s="1"/>
    </row>
    <row r="56" spans="3:10" ht="43.2" x14ac:dyDescent="0.3">
      <c r="C56" s="1" t="s">
        <v>369</v>
      </c>
      <c r="D56">
        <v>400</v>
      </c>
      <c r="E56" t="s">
        <v>342</v>
      </c>
      <c r="F56" s="24">
        <v>44318</v>
      </c>
      <c r="G56" t="s">
        <v>255</v>
      </c>
      <c r="J56" s="1" t="s">
        <v>368</v>
      </c>
    </row>
    <row r="57" spans="3:10" x14ac:dyDescent="0.3">
      <c r="C57" s="1" t="s">
        <v>361</v>
      </c>
      <c r="F57" s="24">
        <v>44319</v>
      </c>
      <c r="G57" t="s">
        <v>255</v>
      </c>
      <c r="H57" s="35">
        <v>100</v>
      </c>
      <c r="J57" s="1"/>
    </row>
    <row r="58" spans="3:10" x14ac:dyDescent="0.3">
      <c r="C58" s="1" t="s">
        <v>362</v>
      </c>
      <c r="D58">
        <f xml:space="preserve"> 16.5 + 20 + 6.5</f>
        <v>43</v>
      </c>
      <c r="E58" t="s">
        <v>316</v>
      </c>
      <c r="F58" s="24">
        <v>44319</v>
      </c>
      <c r="G58" t="s">
        <v>255</v>
      </c>
      <c r="H58" s="35"/>
      <c r="J58" s="1"/>
    </row>
    <row r="59" spans="3:10" ht="28.8" x14ac:dyDescent="0.3">
      <c r="C59" s="1" t="s">
        <v>318</v>
      </c>
      <c r="D59">
        <v>57</v>
      </c>
      <c r="E59" t="s">
        <v>316</v>
      </c>
      <c r="F59" s="24">
        <v>44320</v>
      </c>
      <c r="G59" t="s">
        <v>255</v>
      </c>
      <c r="H59" s="35"/>
      <c r="J59" s="1" t="s">
        <v>363</v>
      </c>
    </row>
    <row r="60" spans="3:10" x14ac:dyDescent="0.3">
      <c r="C60" s="1" t="s">
        <v>360</v>
      </c>
      <c r="E60" t="s">
        <v>357</v>
      </c>
      <c r="F60" s="24"/>
      <c r="G60" t="s">
        <v>255</v>
      </c>
      <c r="H60" s="35">
        <v>300</v>
      </c>
      <c r="J60" s="1"/>
    </row>
    <row r="61" spans="3:10" ht="28.8" x14ac:dyDescent="0.3">
      <c r="C61" s="1" t="s">
        <v>371</v>
      </c>
      <c r="D61">
        <v>93</v>
      </c>
      <c r="E61" t="s">
        <v>372</v>
      </c>
      <c r="F61" s="24">
        <v>44335</v>
      </c>
      <c r="G61" t="s">
        <v>255</v>
      </c>
      <c r="H61" s="35"/>
      <c r="J61" s="1" t="s">
        <v>373</v>
      </c>
    </row>
    <row r="62" spans="3:10" ht="36.75" customHeight="1" x14ac:dyDescent="0.3">
      <c r="C62" s="1" t="s">
        <v>374</v>
      </c>
      <c r="D62">
        <v>50</v>
      </c>
      <c r="E62" t="s">
        <v>316</v>
      </c>
      <c r="F62" s="24">
        <v>44336</v>
      </c>
      <c r="G62" t="s">
        <v>255</v>
      </c>
      <c r="H62" s="35"/>
      <c r="I62" t="s">
        <v>375</v>
      </c>
      <c r="J62" s="1" t="s">
        <v>376</v>
      </c>
    </row>
    <row r="63" spans="3:10" x14ac:dyDescent="0.3">
      <c r="C63" s="1" t="s">
        <v>377</v>
      </c>
      <c r="D63">
        <v>7</v>
      </c>
      <c r="E63" t="s">
        <v>316</v>
      </c>
      <c r="F63" s="24">
        <v>44337</v>
      </c>
      <c r="G63" t="s">
        <v>255</v>
      </c>
      <c r="H63" s="35"/>
      <c r="J63" s="1"/>
    </row>
    <row r="64" spans="3:10" ht="57.6" x14ac:dyDescent="0.3">
      <c r="C64" s="1" t="s">
        <v>488</v>
      </c>
      <c r="D64">
        <v>447.125</v>
      </c>
      <c r="E64" t="s">
        <v>288</v>
      </c>
      <c r="F64" s="24">
        <v>44369</v>
      </c>
      <c r="G64" t="s">
        <v>255</v>
      </c>
      <c r="H64" s="35"/>
      <c r="J64" s="1" t="s">
        <v>489</v>
      </c>
    </row>
    <row r="65" spans="1:10" ht="29.25" customHeight="1" x14ac:dyDescent="0.3">
      <c r="C65" s="1" t="s">
        <v>378</v>
      </c>
      <c r="D65">
        <f xml:space="preserve"> 42 + 38</f>
        <v>80</v>
      </c>
      <c r="F65" s="24">
        <v>44377</v>
      </c>
      <c r="G65" t="s">
        <v>255</v>
      </c>
      <c r="H65" s="35"/>
      <c r="I65" t="s">
        <v>380</v>
      </c>
      <c r="J65" s="1" t="s">
        <v>381</v>
      </c>
    </row>
    <row r="66" spans="1:10" ht="28.8" x14ac:dyDescent="0.3">
      <c r="C66" s="1" t="s">
        <v>379</v>
      </c>
      <c r="D66">
        <v>100</v>
      </c>
      <c r="F66" s="24">
        <v>44377</v>
      </c>
      <c r="G66" t="s">
        <v>255</v>
      </c>
      <c r="H66" s="35"/>
      <c r="J66" s="1" t="s">
        <v>382</v>
      </c>
    </row>
    <row r="67" spans="1:10" ht="57.6" x14ac:dyDescent="0.3">
      <c r="C67" s="1" t="s">
        <v>385</v>
      </c>
      <c r="D67">
        <f>400 * 2</f>
        <v>800</v>
      </c>
      <c r="E67" t="s">
        <v>487</v>
      </c>
      <c r="F67" s="24">
        <v>44383</v>
      </c>
      <c r="G67" t="s">
        <v>255</v>
      </c>
      <c r="H67" s="35"/>
      <c r="I67" t="s">
        <v>383</v>
      </c>
      <c r="J67" s="1" t="s">
        <v>384</v>
      </c>
    </row>
    <row r="68" spans="1:10" ht="57.6" x14ac:dyDescent="0.3">
      <c r="C68" s="1" t="s">
        <v>403</v>
      </c>
      <c r="D68">
        <v>370</v>
      </c>
      <c r="E68" t="s">
        <v>487</v>
      </c>
      <c r="F68" s="24">
        <v>44383</v>
      </c>
      <c r="G68" t="s">
        <v>255</v>
      </c>
      <c r="H68" s="35"/>
      <c r="I68" t="s">
        <v>405</v>
      </c>
      <c r="J68" s="1" t="s">
        <v>404</v>
      </c>
    </row>
    <row r="69" spans="1:10" ht="129.6" x14ac:dyDescent="0.3">
      <c r="C69" s="1" t="s">
        <v>386</v>
      </c>
      <c r="D69">
        <f xml:space="preserve"> 380 * 2</f>
        <v>760</v>
      </c>
      <c r="E69" t="s">
        <v>487</v>
      </c>
      <c r="F69" s="24">
        <v>44383</v>
      </c>
      <c r="G69" t="s">
        <v>255</v>
      </c>
      <c r="H69" s="35"/>
      <c r="I69" t="s">
        <v>388</v>
      </c>
      <c r="J69" s="1" t="s">
        <v>387</v>
      </c>
    </row>
    <row r="70" spans="1:10" ht="57.6" x14ac:dyDescent="0.3">
      <c r="C70" s="1" t="s">
        <v>389</v>
      </c>
      <c r="D70">
        <v>180</v>
      </c>
      <c r="E70" t="s">
        <v>487</v>
      </c>
      <c r="F70" s="24">
        <v>44383</v>
      </c>
      <c r="G70" t="s">
        <v>255</v>
      </c>
      <c r="H70" s="35"/>
      <c r="I70" t="s">
        <v>383</v>
      </c>
      <c r="J70" s="1" t="s">
        <v>390</v>
      </c>
    </row>
    <row r="71" spans="1:10" ht="33" customHeight="1" x14ac:dyDescent="0.3">
      <c r="C71" s="1" t="s">
        <v>397</v>
      </c>
      <c r="D71">
        <v>600</v>
      </c>
      <c r="E71" t="s">
        <v>487</v>
      </c>
      <c r="F71" s="24">
        <v>44384</v>
      </c>
      <c r="G71" t="s">
        <v>255</v>
      </c>
      <c r="H71" s="35"/>
      <c r="J71" s="1" t="s">
        <v>393</v>
      </c>
    </row>
    <row r="72" spans="1:10" ht="28.8" x14ac:dyDescent="0.3">
      <c r="C72" s="1" t="s">
        <v>391</v>
      </c>
      <c r="D72">
        <v>1000</v>
      </c>
      <c r="E72" t="s">
        <v>487</v>
      </c>
      <c r="F72" s="24">
        <v>44394</v>
      </c>
      <c r="G72" t="s">
        <v>255</v>
      </c>
      <c r="H72" s="35"/>
      <c r="I72" t="s">
        <v>273</v>
      </c>
      <c r="J72" s="1" t="s">
        <v>392</v>
      </c>
    </row>
    <row r="73" spans="1:10" ht="66" customHeight="1" x14ac:dyDescent="0.3">
      <c r="C73" s="1" t="s">
        <v>395</v>
      </c>
      <c r="D73">
        <v>50</v>
      </c>
      <c r="E73" t="s">
        <v>487</v>
      </c>
      <c r="F73" s="24">
        <v>44396</v>
      </c>
      <c r="G73" t="s">
        <v>255</v>
      </c>
      <c r="H73" s="35"/>
      <c r="J73" s="1" t="s">
        <v>394</v>
      </c>
    </row>
    <row r="74" spans="1:10" ht="63.75" customHeight="1" x14ac:dyDescent="0.3">
      <c r="C74" s="1" t="s">
        <v>396</v>
      </c>
      <c r="D74">
        <f xml:space="preserve"> 60 + 110</f>
        <v>170</v>
      </c>
      <c r="E74" t="s">
        <v>487</v>
      </c>
      <c r="F74" s="24">
        <v>44403</v>
      </c>
      <c r="G74" t="s">
        <v>255</v>
      </c>
      <c r="H74" s="35"/>
      <c r="J74" s="1" t="s">
        <v>491</v>
      </c>
    </row>
    <row r="75" spans="1:10" ht="140.25" customHeight="1" x14ac:dyDescent="0.3">
      <c r="C75" s="1" t="s">
        <v>398</v>
      </c>
      <c r="D75">
        <v>252.45</v>
      </c>
      <c r="E75" t="s">
        <v>487</v>
      </c>
      <c r="F75" s="24">
        <v>44407</v>
      </c>
      <c r="G75" t="s">
        <v>255</v>
      </c>
      <c r="H75" s="35"/>
      <c r="J75" s="1" t="s">
        <v>490</v>
      </c>
    </row>
    <row r="76" spans="1:10" ht="66" customHeight="1" x14ac:dyDescent="0.3">
      <c r="C76" s="1" t="s">
        <v>402</v>
      </c>
      <c r="D76">
        <v>120</v>
      </c>
      <c r="E76" t="s">
        <v>342</v>
      </c>
      <c r="F76" s="24">
        <v>44407</v>
      </c>
      <c r="G76" t="s">
        <v>255</v>
      </c>
      <c r="H76" s="35"/>
      <c r="J76" s="1" t="s">
        <v>400</v>
      </c>
    </row>
    <row r="77" spans="1:10" ht="61.5" customHeight="1" x14ac:dyDescent="0.3">
      <c r="C77" s="1" t="s">
        <v>399</v>
      </c>
      <c r="D77">
        <v>300</v>
      </c>
      <c r="E77" t="s">
        <v>342</v>
      </c>
      <c r="F77" s="24">
        <v>44408</v>
      </c>
      <c r="G77" t="s">
        <v>255</v>
      </c>
      <c r="H77" s="35"/>
      <c r="J77" s="1" t="s">
        <v>401</v>
      </c>
    </row>
    <row r="78" spans="1:10" ht="59.25" customHeight="1" x14ac:dyDescent="0.3">
      <c r="C78" s="1" t="s">
        <v>420</v>
      </c>
      <c r="D78" t="s">
        <v>422</v>
      </c>
      <c r="E78" t="s">
        <v>342</v>
      </c>
      <c r="F78" s="24">
        <v>44439</v>
      </c>
      <c r="G78" t="s">
        <v>421</v>
      </c>
      <c r="H78" s="35"/>
      <c r="J78" s="1" t="s">
        <v>423</v>
      </c>
    </row>
    <row r="79" spans="1:10" ht="137.25" customHeight="1" x14ac:dyDescent="0.3">
      <c r="A79" s="56" t="s">
        <v>429</v>
      </c>
      <c r="B79" s="56"/>
      <c r="C79" s="1" t="s">
        <v>265</v>
      </c>
      <c r="F79" s="24">
        <v>44446</v>
      </c>
      <c r="G79" t="s">
        <v>266</v>
      </c>
      <c r="H79" s="35">
        <v>3500</v>
      </c>
      <c r="J79" s="1" t="s">
        <v>431</v>
      </c>
    </row>
    <row r="80" spans="1:10" ht="62.25" customHeight="1" x14ac:dyDescent="0.3">
      <c r="C80" s="1" t="s">
        <v>425</v>
      </c>
      <c r="D80">
        <v>2200</v>
      </c>
      <c r="F80" s="24">
        <v>44446</v>
      </c>
      <c r="G80" t="s">
        <v>255</v>
      </c>
      <c r="H80" s="35"/>
      <c r="J80" s="1" t="s">
        <v>428</v>
      </c>
    </row>
    <row r="81" spans="3:10" ht="28.8" x14ac:dyDescent="0.3">
      <c r="C81" s="1" t="s">
        <v>426</v>
      </c>
      <c r="D81">
        <v>2000</v>
      </c>
      <c r="F81" s="24">
        <v>44446</v>
      </c>
      <c r="G81" t="s">
        <v>255</v>
      </c>
      <c r="H81" s="35"/>
      <c r="J81" s="1" t="s">
        <v>427</v>
      </c>
    </row>
    <row r="82" spans="3:10" ht="43.2" x14ac:dyDescent="0.3">
      <c r="C82" s="1" t="s">
        <v>432</v>
      </c>
      <c r="E82" t="s">
        <v>357</v>
      </c>
      <c r="F82" s="24">
        <v>44447</v>
      </c>
      <c r="G82" t="s">
        <v>307</v>
      </c>
      <c r="H82" s="35">
        <v>300</v>
      </c>
      <c r="J82" s="1" t="s">
        <v>433</v>
      </c>
    </row>
    <row r="83" spans="3:10" ht="28.8" x14ac:dyDescent="0.3">
      <c r="C83" s="1" t="s">
        <v>430</v>
      </c>
      <c r="D83">
        <v>260</v>
      </c>
      <c r="F83" s="24">
        <v>44447</v>
      </c>
      <c r="G83" t="s">
        <v>255</v>
      </c>
      <c r="H83" s="35"/>
      <c r="J83" s="1" t="s">
        <v>434</v>
      </c>
    </row>
    <row r="84" spans="3:10" ht="43.2" x14ac:dyDescent="0.3">
      <c r="C84" s="1" t="s">
        <v>469</v>
      </c>
      <c r="E84" t="s">
        <v>357</v>
      </c>
      <c r="F84" s="24">
        <v>44450</v>
      </c>
      <c r="G84" t="s">
        <v>307</v>
      </c>
      <c r="H84" s="35">
        <v>300</v>
      </c>
      <c r="J84" s="1" t="s">
        <v>438</v>
      </c>
    </row>
    <row r="85" spans="3:10" ht="158.4" x14ac:dyDescent="0.3">
      <c r="C85" s="1" t="s">
        <v>441</v>
      </c>
      <c r="D85">
        <f xml:space="preserve"> 113 + 20 + 15.5 + 23 + 50</f>
        <v>221.5</v>
      </c>
      <c r="E85" t="s">
        <v>316</v>
      </c>
      <c r="F85" s="24">
        <v>44450</v>
      </c>
      <c r="G85" t="s">
        <v>255</v>
      </c>
      <c r="H85" s="35"/>
      <c r="J85" s="1" t="s">
        <v>439</v>
      </c>
    </row>
    <row r="86" spans="3:10" ht="43.2" x14ac:dyDescent="0.3">
      <c r="C86" s="1" t="s">
        <v>469</v>
      </c>
      <c r="E86" t="s">
        <v>357</v>
      </c>
      <c r="F86" s="24">
        <v>44457</v>
      </c>
      <c r="G86" t="s">
        <v>307</v>
      </c>
      <c r="H86" s="35">
        <v>300</v>
      </c>
      <c r="J86" s="1" t="s">
        <v>440</v>
      </c>
    </row>
    <row r="87" spans="3:10" ht="57.6" x14ac:dyDescent="0.3">
      <c r="C87" s="1" t="s">
        <v>441</v>
      </c>
      <c r="D87">
        <f xml:space="preserve"> 47 + 15.5 + 11</f>
        <v>73.5</v>
      </c>
      <c r="E87" t="s">
        <v>316</v>
      </c>
      <c r="F87" s="24">
        <v>44457</v>
      </c>
      <c r="H87" s="35"/>
      <c r="J87" s="1" t="s">
        <v>442</v>
      </c>
    </row>
    <row r="88" spans="3:10" ht="24" customHeight="1" x14ac:dyDescent="0.3">
      <c r="C88" s="1" t="s">
        <v>469</v>
      </c>
      <c r="E88" t="s">
        <v>357</v>
      </c>
      <c r="F88" s="24">
        <v>44464</v>
      </c>
      <c r="H88" s="35">
        <v>300</v>
      </c>
    </row>
    <row r="89" spans="3:10" ht="43.2" x14ac:dyDescent="0.3">
      <c r="C89" s="1" t="s">
        <v>441</v>
      </c>
      <c r="D89">
        <f xml:space="preserve"> 15 + 43 + 12</f>
        <v>70</v>
      </c>
      <c r="E89" t="s">
        <v>316</v>
      </c>
      <c r="F89" s="24">
        <v>44465</v>
      </c>
      <c r="H89" s="35"/>
      <c r="J89" s="1" t="s">
        <v>470</v>
      </c>
    </row>
    <row r="90" spans="3:10" ht="28.8" x14ac:dyDescent="0.3">
      <c r="C90" s="1" t="s">
        <v>471</v>
      </c>
      <c r="D90">
        <v>200</v>
      </c>
      <c r="E90" t="s">
        <v>342</v>
      </c>
      <c r="F90" s="24">
        <v>44465</v>
      </c>
      <c r="H90" s="35"/>
      <c r="J90" s="1" t="s">
        <v>483</v>
      </c>
    </row>
    <row r="91" spans="3:10" ht="54.75" customHeight="1" x14ac:dyDescent="0.3">
      <c r="C91" s="1" t="s">
        <v>486</v>
      </c>
      <c r="D91">
        <v>574.70500000000004</v>
      </c>
      <c r="E91" t="s">
        <v>288</v>
      </c>
      <c r="F91" s="24">
        <v>44499</v>
      </c>
      <c r="H91" s="35"/>
      <c r="J91" s="1" t="s">
        <v>489</v>
      </c>
    </row>
    <row r="92" spans="3:10" x14ac:dyDescent="0.3">
      <c r="C92" s="1" t="s">
        <v>469</v>
      </c>
      <c r="E92" t="s">
        <v>357</v>
      </c>
      <c r="F92" s="24">
        <v>44471</v>
      </c>
      <c r="H92" s="35">
        <v>300</v>
      </c>
      <c r="J92" s="1"/>
    </row>
    <row r="93" spans="3:10" ht="28.8" x14ac:dyDescent="0.3">
      <c r="C93" s="1" t="s">
        <v>482</v>
      </c>
      <c r="D93">
        <v>500</v>
      </c>
      <c r="E93" t="s">
        <v>342</v>
      </c>
      <c r="F93" s="24">
        <v>44471</v>
      </c>
      <c r="H93" s="35"/>
      <c r="J93" s="1" t="s">
        <v>484</v>
      </c>
    </row>
    <row r="94" spans="3:10" ht="43.2" x14ac:dyDescent="0.3">
      <c r="C94" s="1" t="s">
        <v>441</v>
      </c>
      <c r="D94">
        <f xml:space="preserve"> 56 + 15.5 + 20</f>
        <v>91.5</v>
      </c>
      <c r="E94" t="s">
        <v>316</v>
      </c>
      <c r="F94" s="24">
        <v>44471</v>
      </c>
      <c r="H94" s="35"/>
      <c r="J94" s="1" t="s">
        <v>485</v>
      </c>
    </row>
    <row r="95" spans="3:10" ht="28.8" x14ac:dyDescent="0.3">
      <c r="C95" s="1" t="s">
        <v>496</v>
      </c>
      <c r="D95">
        <v>200</v>
      </c>
      <c r="E95" t="s">
        <v>495</v>
      </c>
      <c r="F95" s="24">
        <v>44488</v>
      </c>
      <c r="H95" s="35"/>
      <c r="J95" s="1" t="s">
        <v>497</v>
      </c>
    </row>
    <row r="96" spans="3:10" ht="28.8" x14ac:dyDescent="0.3">
      <c r="C96" s="1" t="s">
        <v>506</v>
      </c>
      <c r="E96" t="s">
        <v>357</v>
      </c>
      <c r="F96" s="24">
        <v>44507</v>
      </c>
      <c r="H96" s="35">
        <v>300</v>
      </c>
      <c r="J96" s="1" t="s">
        <v>502</v>
      </c>
    </row>
    <row r="97" spans="3:10" ht="28.8" x14ac:dyDescent="0.3">
      <c r="C97" s="1" t="s">
        <v>441</v>
      </c>
      <c r="D97">
        <v>125</v>
      </c>
      <c r="E97" t="s">
        <v>316</v>
      </c>
      <c r="F97" s="24">
        <v>44507</v>
      </c>
      <c r="H97" s="35"/>
      <c r="J97" s="1" t="s">
        <v>505</v>
      </c>
    </row>
    <row r="98" spans="3:10" ht="28.8" x14ac:dyDescent="0.3">
      <c r="C98" s="1" t="s">
        <v>506</v>
      </c>
      <c r="E98" t="s">
        <v>357</v>
      </c>
      <c r="F98" s="24">
        <v>44514</v>
      </c>
      <c r="H98" s="35">
        <v>300</v>
      </c>
      <c r="J98" s="1" t="s">
        <v>502</v>
      </c>
    </row>
    <row r="99" spans="3:10" ht="28.8" x14ac:dyDescent="0.3">
      <c r="C99" s="1" t="s">
        <v>441</v>
      </c>
      <c r="D99">
        <v>125</v>
      </c>
      <c r="E99" t="s">
        <v>316</v>
      </c>
      <c r="F99" s="24">
        <v>44507</v>
      </c>
      <c r="H99" s="35"/>
      <c r="J99" s="1" t="s">
        <v>505</v>
      </c>
    </row>
    <row r="100" spans="3:10" ht="28.8" x14ac:dyDescent="0.3">
      <c r="C100" s="1" t="s">
        <v>506</v>
      </c>
      <c r="E100" t="s">
        <v>357</v>
      </c>
      <c r="F100" s="24">
        <v>44521</v>
      </c>
      <c r="H100" s="35">
        <v>300</v>
      </c>
      <c r="J100" s="1" t="s">
        <v>502</v>
      </c>
    </row>
    <row r="101" spans="3:10" ht="28.8" x14ac:dyDescent="0.3">
      <c r="C101" s="1" t="s">
        <v>441</v>
      </c>
      <c r="D101">
        <v>125</v>
      </c>
      <c r="E101" t="s">
        <v>316</v>
      </c>
      <c r="F101" s="24">
        <v>44521</v>
      </c>
      <c r="H101" s="35"/>
      <c r="J101" s="1" t="s">
        <v>505</v>
      </c>
    </row>
    <row r="102" spans="3:10" ht="28.8" x14ac:dyDescent="0.3">
      <c r="C102" s="1" t="s">
        <v>506</v>
      </c>
      <c r="E102" t="s">
        <v>357</v>
      </c>
      <c r="F102" s="24">
        <v>44529</v>
      </c>
      <c r="H102" s="35">
        <v>300</v>
      </c>
      <c r="J102" s="1" t="s">
        <v>502</v>
      </c>
    </row>
    <row r="103" spans="3:10" ht="28.8" x14ac:dyDescent="0.3">
      <c r="C103" s="1" t="s">
        <v>441</v>
      </c>
      <c r="D103">
        <v>125</v>
      </c>
      <c r="E103" t="s">
        <v>316</v>
      </c>
      <c r="F103" s="24">
        <v>44529</v>
      </c>
      <c r="H103" s="35"/>
      <c r="J103" s="1" t="s">
        <v>505</v>
      </c>
    </row>
    <row r="104" spans="3:10" ht="28.8" x14ac:dyDescent="0.3">
      <c r="C104" s="1" t="s">
        <v>501</v>
      </c>
      <c r="D104">
        <v>700</v>
      </c>
      <c r="F104" s="24">
        <v>44529</v>
      </c>
      <c r="H104" s="35"/>
      <c r="J104" s="1" t="s">
        <v>504</v>
      </c>
    </row>
    <row r="105" spans="3:10" ht="72" x14ac:dyDescent="0.3">
      <c r="C105" s="1" t="s">
        <v>469</v>
      </c>
      <c r="E105" t="s">
        <v>357</v>
      </c>
      <c r="F105" s="24">
        <v>44532</v>
      </c>
      <c r="H105" s="35">
        <v>400</v>
      </c>
      <c r="J105" s="1" t="s">
        <v>500</v>
      </c>
    </row>
    <row r="106" spans="3:10" ht="28.8" x14ac:dyDescent="0.3">
      <c r="C106" s="1" t="s">
        <v>511</v>
      </c>
      <c r="D106">
        <v>893.14400000000001</v>
      </c>
      <c r="E106" t="s">
        <v>288</v>
      </c>
      <c r="F106" s="24">
        <v>44531</v>
      </c>
      <c r="H106" s="35"/>
      <c r="J106" s="1" t="s">
        <v>494</v>
      </c>
    </row>
    <row r="107" spans="3:10" ht="43.2" x14ac:dyDescent="0.3">
      <c r="C107" s="1" t="s">
        <v>498</v>
      </c>
      <c r="D107">
        <v>420</v>
      </c>
      <c r="E107" t="s">
        <v>495</v>
      </c>
      <c r="F107" s="24">
        <v>44536</v>
      </c>
      <c r="H107" s="35"/>
      <c r="J107" s="1" t="s">
        <v>499</v>
      </c>
    </row>
    <row r="108" spans="3:10" ht="28.8" x14ac:dyDescent="0.3">
      <c r="C108" s="1" t="s">
        <v>506</v>
      </c>
      <c r="E108" t="s">
        <v>357</v>
      </c>
      <c r="F108" s="24">
        <v>44537</v>
      </c>
      <c r="H108" s="35">
        <v>300</v>
      </c>
      <c r="J108" s="1" t="s">
        <v>502</v>
      </c>
    </row>
    <row r="109" spans="3:10" ht="28.8" x14ac:dyDescent="0.3">
      <c r="C109" s="1" t="s">
        <v>441</v>
      </c>
      <c r="D109">
        <v>125</v>
      </c>
      <c r="E109" t="s">
        <v>316</v>
      </c>
      <c r="F109" s="24">
        <v>44537</v>
      </c>
      <c r="H109" s="35"/>
      <c r="J109" s="1" t="s">
        <v>505</v>
      </c>
    </row>
    <row r="110" spans="3:10" ht="28.8" x14ac:dyDescent="0.3">
      <c r="C110" s="1" t="s">
        <v>506</v>
      </c>
      <c r="E110" t="s">
        <v>357</v>
      </c>
      <c r="F110" s="24">
        <v>44544</v>
      </c>
      <c r="H110" s="35">
        <v>300</v>
      </c>
      <c r="J110" s="1" t="s">
        <v>502</v>
      </c>
    </row>
    <row r="111" spans="3:10" ht="28.8" x14ac:dyDescent="0.3">
      <c r="C111" s="1" t="s">
        <v>441</v>
      </c>
      <c r="D111">
        <v>125</v>
      </c>
      <c r="E111" t="s">
        <v>316</v>
      </c>
      <c r="F111" s="24">
        <v>44544</v>
      </c>
      <c r="H111" s="35"/>
      <c r="J111" s="1" t="s">
        <v>505</v>
      </c>
    </row>
    <row r="112" spans="3:10" ht="28.8" x14ac:dyDescent="0.3">
      <c r="C112" s="1" t="s">
        <v>507</v>
      </c>
      <c r="D112">
        <f xml:space="preserve"> 324.201 + 70 + 144</f>
        <v>538.20100000000002</v>
      </c>
      <c r="E112" t="s">
        <v>288</v>
      </c>
      <c r="F112" s="24">
        <v>44550</v>
      </c>
      <c r="H112" s="35"/>
      <c r="J112" s="1" t="s">
        <v>509</v>
      </c>
    </row>
    <row r="113" spans="3:10" ht="80.25" customHeight="1" x14ac:dyDescent="0.3">
      <c r="C113" s="1" t="s">
        <v>508</v>
      </c>
      <c r="D113">
        <f xml:space="preserve"> 50 + 294.465</f>
        <v>344.46499999999997</v>
      </c>
      <c r="E113" t="s">
        <v>288</v>
      </c>
      <c r="F113" s="24">
        <v>44542</v>
      </c>
      <c r="H113" s="35"/>
      <c r="J113" s="1" t="s">
        <v>510</v>
      </c>
    </row>
    <row r="114" spans="3:10" ht="135" customHeight="1" x14ac:dyDescent="0.3">
      <c r="C114" s="1" t="s">
        <v>512</v>
      </c>
      <c r="D114">
        <f xml:space="preserve"> 450</f>
        <v>450</v>
      </c>
      <c r="E114" t="s">
        <v>288</v>
      </c>
      <c r="F114" s="24">
        <v>44554</v>
      </c>
      <c r="H114" s="35"/>
      <c r="J114" s="1" t="s">
        <v>513</v>
      </c>
    </row>
    <row r="115" spans="3:10" ht="28.8" x14ac:dyDescent="0.3">
      <c r="C115" s="1" t="s">
        <v>506</v>
      </c>
      <c r="E115" t="s">
        <v>357</v>
      </c>
      <c r="F115" s="24">
        <v>44551</v>
      </c>
      <c r="H115" s="35">
        <v>300</v>
      </c>
      <c r="J115" s="1" t="s">
        <v>502</v>
      </c>
    </row>
    <row r="116" spans="3:10" ht="28.8" x14ac:dyDescent="0.3">
      <c r="C116" s="1" t="s">
        <v>441</v>
      </c>
      <c r="D116">
        <v>125</v>
      </c>
      <c r="E116" t="s">
        <v>316</v>
      </c>
      <c r="F116" s="24">
        <v>44551</v>
      </c>
      <c r="H116" s="35"/>
      <c r="J116" s="1" t="s">
        <v>505</v>
      </c>
    </row>
    <row r="117" spans="3:10" ht="28.8" x14ac:dyDescent="0.3">
      <c r="C117" s="1" t="s">
        <v>506</v>
      </c>
      <c r="E117" t="s">
        <v>357</v>
      </c>
      <c r="F117" s="24">
        <v>44559</v>
      </c>
      <c r="H117" s="35">
        <v>300</v>
      </c>
      <c r="J117" s="1" t="s">
        <v>502</v>
      </c>
    </row>
    <row r="118" spans="3:10" ht="28.8" x14ac:dyDescent="0.3">
      <c r="C118" s="1" t="s">
        <v>441</v>
      </c>
      <c r="D118">
        <v>125</v>
      </c>
      <c r="E118" t="s">
        <v>316</v>
      </c>
      <c r="F118" s="24">
        <v>44559</v>
      </c>
      <c r="H118" s="35"/>
      <c r="J118" s="1" t="s">
        <v>505</v>
      </c>
    </row>
    <row r="119" spans="3:10" ht="28.8" x14ac:dyDescent="0.3">
      <c r="C119" s="1" t="s">
        <v>514</v>
      </c>
      <c r="D119">
        <v>700</v>
      </c>
      <c r="F119" s="24">
        <v>44559</v>
      </c>
      <c r="H119" s="35"/>
      <c r="J119" s="1" t="s">
        <v>503</v>
      </c>
    </row>
    <row r="120" spans="3:10" x14ac:dyDescent="0.3">
      <c r="C120" s="1" t="s">
        <v>515</v>
      </c>
      <c r="E120" t="s">
        <v>357</v>
      </c>
      <c r="F120" s="24">
        <v>44569</v>
      </c>
      <c r="H120" s="35">
        <v>200</v>
      </c>
      <c r="J120" s="1"/>
    </row>
    <row r="121" spans="3:10" ht="100.8" x14ac:dyDescent="0.3">
      <c r="C121" s="1" t="s">
        <v>441</v>
      </c>
      <c r="D121">
        <v>106.45</v>
      </c>
      <c r="E121" t="s">
        <v>316</v>
      </c>
      <c r="F121" s="24">
        <v>44569</v>
      </c>
      <c r="H121" s="35"/>
      <c r="J121" s="1" t="s">
        <v>516</v>
      </c>
    </row>
    <row r="122" spans="3:10" x14ac:dyDescent="0.3">
      <c r="C122" s="1" t="s">
        <v>515</v>
      </c>
      <c r="E122" t="s">
        <v>357</v>
      </c>
      <c r="F122" s="24">
        <v>44576</v>
      </c>
      <c r="H122" s="35">
        <v>400</v>
      </c>
      <c r="J122" s="1"/>
    </row>
    <row r="123" spans="3:10" x14ac:dyDescent="0.3">
      <c r="C123" s="1" t="s">
        <v>441</v>
      </c>
      <c r="D123">
        <v>130</v>
      </c>
      <c r="F123" s="24">
        <v>44576</v>
      </c>
      <c r="H123" s="35"/>
      <c r="J123" s="1" t="s">
        <v>517</v>
      </c>
    </row>
    <row r="124" spans="3:10" x14ac:dyDescent="0.3">
      <c r="C124" s="1" t="s">
        <v>515</v>
      </c>
      <c r="E124" t="s">
        <v>357</v>
      </c>
      <c r="F124" s="24">
        <v>44583</v>
      </c>
      <c r="H124" s="35">
        <v>500</v>
      </c>
      <c r="J124" s="1"/>
    </row>
    <row r="125" spans="3:10" ht="28.8" x14ac:dyDescent="0.3">
      <c r="C125" s="1" t="s">
        <v>518</v>
      </c>
      <c r="D125">
        <v>375</v>
      </c>
      <c r="E125" t="s">
        <v>444</v>
      </c>
      <c r="F125" s="24"/>
      <c r="H125" s="35"/>
      <c r="J125" s="1"/>
    </row>
    <row r="126" spans="3:10" x14ac:dyDescent="0.3">
      <c r="C126" s="1" t="s">
        <v>441</v>
      </c>
      <c r="D126">
        <v>130</v>
      </c>
      <c r="F126" s="24">
        <v>44583</v>
      </c>
      <c r="H126" s="35"/>
      <c r="J126" s="1" t="s">
        <v>517</v>
      </c>
    </row>
    <row r="127" spans="3:10" x14ac:dyDescent="0.3">
      <c r="C127" s="1" t="s">
        <v>515</v>
      </c>
      <c r="E127" t="s">
        <v>357</v>
      </c>
      <c r="F127" s="24">
        <v>44583</v>
      </c>
      <c r="H127" s="35">
        <v>400</v>
      </c>
      <c r="J127" s="1"/>
    </row>
    <row r="128" spans="3:10" x14ac:dyDescent="0.3">
      <c r="C128" s="1" t="s">
        <v>441</v>
      </c>
      <c r="D128">
        <v>130</v>
      </c>
      <c r="F128" s="24">
        <v>44583</v>
      </c>
      <c r="H128" s="35"/>
      <c r="J128" s="1" t="s">
        <v>517</v>
      </c>
    </row>
    <row r="129" spans="3:10" ht="28.8" x14ac:dyDescent="0.3">
      <c r="C129" s="1" t="s">
        <v>520</v>
      </c>
      <c r="D129">
        <v>700</v>
      </c>
      <c r="F129" s="24"/>
      <c r="H129" s="35"/>
      <c r="J129" s="1" t="s">
        <v>519</v>
      </c>
    </row>
    <row r="130" spans="3:10" ht="57.6" x14ac:dyDescent="0.3">
      <c r="C130" s="1" t="s">
        <v>523</v>
      </c>
      <c r="F130" s="24"/>
      <c r="H130" s="35">
        <v>1250</v>
      </c>
      <c r="J130" s="1"/>
    </row>
    <row r="131" spans="3:10" ht="28.8" x14ac:dyDescent="0.3">
      <c r="C131" s="1" t="s">
        <v>521</v>
      </c>
      <c r="D131">
        <v>700</v>
      </c>
      <c r="F131" s="24">
        <v>44592</v>
      </c>
      <c r="H131" s="35"/>
      <c r="J131" s="1"/>
    </row>
    <row r="132" spans="3:10" ht="28.8" x14ac:dyDescent="0.3">
      <c r="C132" s="1" t="s">
        <v>522</v>
      </c>
      <c r="D132">
        <v>550</v>
      </c>
      <c r="F132" s="24">
        <v>44620</v>
      </c>
      <c r="H132" s="35"/>
      <c r="J132" s="1"/>
    </row>
    <row r="133" spans="3:10" ht="57.6" x14ac:dyDescent="0.3">
      <c r="C133" s="1" t="s">
        <v>524</v>
      </c>
      <c r="F133" s="24">
        <v>44620</v>
      </c>
      <c r="H133" s="35">
        <v>1250</v>
      </c>
      <c r="J133" s="1"/>
    </row>
    <row r="134" spans="3:10" ht="28.8" x14ac:dyDescent="0.3">
      <c r="C134" s="1" t="s">
        <v>525</v>
      </c>
      <c r="D134">
        <v>700</v>
      </c>
      <c r="F134" s="24">
        <v>44651</v>
      </c>
      <c r="H134" s="35"/>
      <c r="J134" s="1"/>
    </row>
    <row r="135" spans="3:10" ht="28.8" x14ac:dyDescent="0.3">
      <c r="C135" s="1" t="s">
        <v>526</v>
      </c>
      <c r="D135">
        <v>550</v>
      </c>
      <c r="F135" s="24">
        <v>44651</v>
      </c>
      <c r="H135" s="35"/>
      <c r="J135" s="1"/>
    </row>
    <row r="136" spans="3:10" ht="28.8" x14ac:dyDescent="0.3">
      <c r="C136" s="1" t="s">
        <v>507</v>
      </c>
      <c r="D136">
        <v>618.27</v>
      </c>
      <c r="F136" s="24">
        <v>44648</v>
      </c>
      <c r="H136" s="35"/>
      <c r="J136" s="1"/>
    </row>
    <row r="137" spans="3:10" ht="43.2" x14ac:dyDescent="0.3">
      <c r="C137" s="1" t="s">
        <v>527</v>
      </c>
      <c r="D137">
        <f>60+35.447</f>
        <v>95.447000000000003</v>
      </c>
      <c r="F137" s="24"/>
      <c r="H137" s="35"/>
      <c r="J137" s="1" t="s">
        <v>528</v>
      </c>
    </row>
    <row r="138" spans="3:10" x14ac:dyDescent="0.3">
      <c r="C138" s="1"/>
      <c r="F138" s="24"/>
      <c r="H138" s="35"/>
      <c r="J138" s="1"/>
    </row>
    <row r="141" spans="3:10" x14ac:dyDescent="0.3">
      <c r="C141" s="53" t="s">
        <v>262</v>
      </c>
      <c r="D141" s="53"/>
      <c r="E141" s="31"/>
      <c r="F141" s="32">
        <f xml:space="preserve"> SUM(Table8[Operation crediteur]) - SUM(Table8[Operation debiteur])</f>
        <v>-5900.1320000000051</v>
      </c>
    </row>
    <row r="142" spans="3:10" x14ac:dyDescent="0.3">
      <c r="C142" s="31"/>
      <c r="D142" s="31"/>
      <c r="E142" s="31"/>
      <c r="F142" s="32"/>
    </row>
    <row r="143" spans="3:10" x14ac:dyDescent="0.3">
      <c r="C143" s="31"/>
      <c r="D143" s="31"/>
      <c r="E143" s="31"/>
      <c r="F143" s="32"/>
    </row>
    <row r="145" spans="2:7" ht="15" customHeight="1" x14ac:dyDescent="0.3">
      <c r="B145" s="55" t="s">
        <v>326</v>
      </c>
      <c r="C145" s="55"/>
      <c r="D145" s="54">
        <f>SUM(Table121710[Fees (payed)])</f>
        <v>94.5</v>
      </c>
    </row>
    <row r="146" spans="2:7" ht="41.25" customHeight="1" x14ac:dyDescent="0.3">
      <c r="B146" s="55"/>
      <c r="C146" s="55"/>
      <c r="D146" s="54"/>
    </row>
    <row r="147" spans="2:7" x14ac:dyDescent="0.3">
      <c r="C147" t="s">
        <v>323</v>
      </c>
      <c r="D147" t="s">
        <v>131</v>
      </c>
      <c r="E147" t="s">
        <v>325</v>
      </c>
      <c r="F147" t="s">
        <v>324</v>
      </c>
      <c r="G147" t="s">
        <v>144</v>
      </c>
    </row>
    <row r="148" spans="2:7" x14ac:dyDescent="0.3">
      <c r="C148" s="3" t="s">
        <v>142</v>
      </c>
      <c r="D148" s="34">
        <v>44249</v>
      </c>
      <c r="E148">
        <f>25-Table121710[[#This Row],[Fees (payed)]]</f>
        <v>11.5</v>
      </c>
      <c r="F148">
        <v>13.5</v>
      </c>
      <c r="G148" s="3" t="s">
        <v>142</v>
      </c>
    </row>
    <row r="149" spans="2:7" x14ac:dyDescent="0.3">
      <c r="C149" s="3" t="s">
        <v>142</v>
      </c>
      <c r="D149" s="34">
        <f>D148 + 2</f>
        <v>44251</v>
      </c>
      <c r="E149">
        <f>25-Table121710[[#This Row],[Fees (payed)]]</f>
        <v>11.5</v>
      </c>
      <c r="F149">
        <v>13.5</v>
      </c>
      <c r="G149" s="3" t="s">
        <v>142</v>
      </c>
    </row>
    <row r="150" spans="2:7" x14ac:dyDescent="0.3">
      <c r="C150" s="3" t="s">
        <v>142</v>
      </c>
      <c r="D150" s="34">
        <f>D149 + 2</f>
        <v>44253</v>
      </c>
      <c r="E150">
        <f>25-Table121710[[#This Row],[Fees (payed)]]</f>
        <v>11.5</v>
      </c>
      <c r="F150">
        <v>13.5</v>
      </c>
      <c r="G150" s="3" t="s">
        <v>142</v>
      </c>
    </row>
    <row r="151" spans="2:7" x14ac:dyDescent="0.3">
      <c r="C151" s="3" t="s">
        <v>142</v>
      </c>
      <c r="D151" s="34">
        <f>D150 + 4</f>
        <v>44257</v>
      </c>
      <c r="E151">
        <f>25-Table121710[[#This Row],[Fees (payed)]]</f>
        <v>11.5</v>
      </c>
      <c r="F151">
        <v>13.5</v>
      </c>
      <c r="G151" s="3" t="s">
        <v>142</v>
      </c>
    </row>
    <row r="152" spans="2:7" x14ac:dyDescent="0.3">
      <c r="C152" s="3" t="s">
        <v>142</v>
      </c>
      <c r="D152" s="34">
        <f>D151 + 2</f>
        <v>44259</v>
      </c>
      <c r="E152">
        <f>25-Table121710[[#This Row],[Fees (payed)]]</f>
        <v>11.5</v>
      </c>
      <c r="F152">
        <v>13.5</v>
      </c>
      <c r="G152" s="3" t="s">
        <v>142</v>
      </c>
    </row>
    <row r="153" spans="2:7" x14ac:dyDescent="0.3">
      <c r="C153" s="3" t="s">
        <v>142</v>
      </c>
      <c r="D153" s="34">
        <f>D152 + 2</f>
        <v>44261</v>
      </c>
      <c r="E153">
        <f>25-Table121710[[#This Row],[Fees (payed)]]</f>
        <v>11.5</v>
      </c>
      <c r="F153">
        <v>13.5</v>
      </c>
      <c r="G153" s="3" t="s">
        <v>142</v>
      </c>
    </row>
    <row r="154" spans="2:7" x14ac:dyDescent="0.3">
      <c r="C154" s="3" t="s">
        <v>142</v>
      </c>
      <c r="D154" s="34">
        <f>D153 + 3</f>
        <v>44264</v>
      </c>
      <c r="E154">
        <f>25-Table121710[[#This Row],[Fees (payed)]]</f>
        <v>11.5</v>
      </c>
      <c r="F154">
        <v>13.5</v>
      </c>
      <c r="G154" s="3" t="s">
        <v>142</v>
      </c>
    </row>
    <row r="155" spans="2:7" x14ac:dyDescent="0.3">
      <c r="C155" s="3" t="s">
        <v>327</v>
      </c>
      <c r="D155" s="34">
        <f>D154 + 2</f>
        <v>44266</v>
      </c>
      <c r="E155">
        <f>25-Table121710[[#This Row],[Fees (payed)]]</f>
        <v>25</v>
      </c>
      <c r="G155" s="3" t="s">
        <v>79</v>
      </c>
    </row>
    <row r="156" spans="2:7" x14ac:dyDescent="0.3">
      <c r="C156" s="3" t="s">
        <v>327</v>
      </c>
      <c r="D156" s="34">
        <f>D155 + 2</f>
        <v>44268</v>
      </c>
      <c r="E156">
        <f>25-Table121710[[#This Row],[Fees (payed)]]</f>
        <v>25</v>
      </c>
      <c r="G156" s="3" t="s">
        <v>79</v>
      </c>
    </row>
    <row r="157" spans="2:7" x14ac:dyDescent="0.3">
      <c r="D157" s="34"/>
      <c r="E157">
        <f>25-Table121710[[#This Row],[Fees (payed)]]</f>
        <v>25</v>
      </c>
    </row>
    <row r="158" spans="2:7" x14ac:dyDescent="0.3">
      <c r="D158" s="34"/>
      <c r="E158">
        <f>25-Table121710[[#This Row],[Fees (payed)]]</f>
        <v>25</v>
      </c>
    </row>
    <row r="159" spans="2:7" x14ac:dyDescent="0.3">
      <c r="D159" s="34"/>
      <c r="E159">
        <f>25-Table121710[[#This Row],[Fees (payed)]]</f>
        <v>25</v>
      </c>
    </row>
    <row r="160" spans="2:7" x14ac:dyDescent="0.3">
      <c r="D160" s="34"/>
      <c r="E160">
        <f>25-Table121710[[#This Row],[Fees (payed)]]</f>
        <v>25</v>
      </c>
    </row>
    <row r="161" spans="4:5" x14ac:dyDescent="0.3">
      <c r="D161" s="34"/>
      <c r="E161">
        <f>25-Table121710[[#This Row],[Fees (payed)]]</f>
        <v>25</v>
      </c>
    </row>
    <row r="162" spans="4:5" x14ac:dyDescent="0.3">
      <c r="D162" s="34"/>
      <c r="E162">
        <f>25-Table121710[[#This Row],[Fees (payed)]]</f>
        <v>25</v>
      </c>
    </row>
    <row r="163" spans="4:5" x14ac:dyDescent="0.3">
      <c r="D163" s="34"/>
      <c r="E163">
        <f>25-Table121710[[#This Row],[Fees (payed)]]</f>
        <v>25</v>
      </c>
    </row>
    <row r="164" spans="4:5" x14ac:dyDescent="0.3">
      <c r="D164" s="16"/>
    </row>
    <row r="165" spans="4:5" x14ac:dyDescent="0.3">
      <c r="D165" s="16"/>
    </row>
    <row r="166" spans="4:5" x14ac:dyDescent="0.3">
      <c r="D166" s="16"/>
    </row>
    <row r="167" spans="4:5" x14ac:dyDescent="0.3">
      <c r="D167" s="16"/>
    </row>
    <row r="168" spans="4:5" x14ac:dyDescent="0.3">
      <c r="D168" s="16"/>
    </row>
    <row r="169" spans="4:5" x14ac:dyDescent="0.3">
      <c r="D169" s="16"/>
    </row>
    <row r="170" spans="4:5" x14ac:dyDescent="0.3">
      <c r="D170" s="16"/>
    </row>
    <row r="171" spans="4:5" x14ac:dyDescent="0.3">
      <c r="D171" s="16"/>
    </row>
    <row r="172" spans="4:5" x14ac:dyDescent="0.3">
      <c r="D172" s="16"/>
    </row>
    <row r="173" spans="4:5" x14ac:dyDescent="0.3">
      <c r="D173" s="16"/>
    </row>
    <row r="174" spans="4:5" x14ac:dyDescent="0.3">
      <c r="D174" s="16"/>
    </row>
  </sheetData>
  <mergeCells count="4">
    <mergeCell ref="C141:D141"/>
    <mergeCell ref="D145:D146"/>
    <mergeCell ref="B145:C146"/>
    <mergeCell ref="A79:B79"/>
  </mergeCells>
  <conditionalFormatting sqref="C148:C163">
    <cfRule type="cellIs" dxfId="3" priority="7" operator="equal">
      <formula>"Done"</formula>
    </cfRule>
    <cfRule type="cellIs" dxfId="2" priority="8" operator="equal">
      <formula>"Pending"</formula>
    </cfRule>
  </conditionalFormatting>
  <conditionalFormatting sqref="G148:G156">
    <cfRule type="cellIs" dxfId="1" priority="1" operator="equal">
      <formula>"Done"</formula>
    </cfRule>
    <cfRule type="cellIs" dxfId="0" priority="2" operator="equal">
      <formula>"Pending"</formula>
    </cfRule>
  </conditionalFormatting>
  <pageMargins left="0.7" right="0.7" top="0.75" bottom="0.75" header="0.3" footer="0.3"/>
  <pageSetup paperSize="9"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37356-9D75-450B-8810-0D6FB4E5508C}">
  <dimension ref="C19:K63"/>
  <sheetViews>
    <sheetView topLeftCell="D17" zoomScale="85" zoomScaleNormal="85" workbookViewId="0">
      <selection activeCell="G31" sqref="G31"/>
    </sheetView>
  </sheetViews>
  <sheetFormatPr defaultRowHeight="14.4" x14ac:dyDescent="0.3"/>
  <cols>
    <col min="3" max="3" width="36.33203125" customWidth="1"/>
    <col min="4" max="4" width="28.6640625" customWidth="1"/>
    <col min="5" max="5" width="20.44140625" bestFit="1" customWidth="1"/>
    <col min="6" max="6" width="18.6640625" customWidth="1"/>
    <col min="7" max="7" width="23.88671875" customWidth="1"/>
    <col min="8" max="8" width="18.44140625" customWidth="1"/>
    <col min="9" max="9" width="20.44140625" customWidth="1"/>
    <col min="10" max="10" width="11.33203125" customWidth="1"/>
    <col min="11" max="11" width="71.44140625" customWidth="1"/>
  </cols>
  <sheetData>
    <row r="19" spans="3:11" x14ac:dyDescent="0.3">
      <c r="C19" t="s">
        <v>132</v>
      </c>
      <c r="D19" t="s">
        <v>5</v>
      </c>
      <c r="E19" t="s">
        <v>477</v>
      </c>
      <c r="F19" t="s">
        <v>478</v>
      </c>
      <c r="G19" t="s">
        <v>140</v>
      </c>
      <c r="H19" t="s">
        <v>406</v>
      </c>
      <c r="I19" t="s">
        <v>131</v>
      </c>
      <c r="J19" t="s">
        <v>2</v>
      </c>
      <c r="K19" t="s">
        <v>1</v>
      </c>
    </row>
    <row r="20" spans="3:11" ht="28.8" x14ac:dyDescent="0.3">
      <c r="C20" s="15" t="s">
        <v>408</v>
      </c>
      <c r="D20" s="14" t="s">
        <v>407</v>
      </c>
      <c r="E20" s="14">
        <v>800</v>
      </c>
      <c r="F20" s="14">
        <v>800</v>
      </c>
      <c r="G20" s="42" t="s">
        <v>109</v>
      </c>
      <c r="H20" s="14" t="s">
        <v>409</v>
      </c>
      <c r="I20" s="41">
        <v>44373</v>
      </c>
      <c r="J20" s="14" t="s">
        <v>255</v>
      </c>
      <c r="K20" s="15" t="s">
        <v>416</v>
      </c>
    </row>
    <row r="21" spans="3:11" ht="28.8" x14ac:dyDescent="0.3">
      <c r="C21" s="15" t="s">
        <v>419</v>
      </c>
      <c r="D21" s="14" t="s">
        <v>453</v>
      </c>
      <c r="E21" s="14">
        <v>400</v>
      </c>
      <c r="F21" s="14">
        <v>400</v>
      </c>
      <c r="G21" s="42" t="s">
        <v>109</v>
      </c>
      <c r="H21" s="14" t="s">
        <v>410</v>
      </c>
      <c r="I21" s="41">
        <v>44373</v>
      </c>
      <c r="J21" s="14" t="s">
        <v>255</v>
      </c>
      <c r="K21" s="15" t="s">
        <v>414</v>
      </c>
    </row>
    <row r="22" spans="3:11" ht="78.75" customHeight="1" x14ac:dyDescent="0.3">
      <c r="C22" s="15" t="s">
        <v>411</v>
      </c>
      <c r="D22" s="14" t="s">
        <v>412</v>
      </c>
      <c r="E22" s="14">
        <v>200</v>
      </c>
      <c r="F22" s="14">
        <v>200</v>
      </c>
      <c r="G22" s="42" t="s">
        <v>109</v>
      </c>
      <c r="H22" s="14" t="s">
        <v>410</v>
      </c>
      <c r="I22" s="41">
        <v>44373</v>
      </c>
      <c r="J22" s="14" t="s">
        <v>255</v>
      </c>
      <c r="K22" s="15" t="s">
        <v>413</v>
      </c>
    </row>
    <row r="23" spans="3:11" ht="29.25" customHeight="1" x14ac:dyDescent="0.3">
      <c r="C23" s="15" t="s">
        <v>418</v>
      </c>
      <c r="D23" s="14" t="s">
        <v>453</v>
      </c>
      <c r="E23" s="14">
        <v>500</v>
      </c>
      <c r="F23" s="14">
        <v>500</v>
      </c>
      <c r="G23" s="42" t="s">
        <v>109</v>
      </c>
      <c r="H23" s="14" t="s">
        <v>410</v>
      </c>
      <c r="I23" s="41">
        <v>44453</v>
      </c>
      <c r="J23" s="14" t="s">
        <v>255</v>
      </c>
      <c r="K23" s="15" t="s">
        <v>435</v>
      </c>
    </row>
    <row r="24" spans="3:11" ht="28.8" x14ac:dyDescent="0.3">
      <c r="C24" s="15" t="s">
        <v>415</v>
      </c>
      <c r="D24" s="14" t="s">
        <v>407</v>
      </c>
      <c r="E24" s="14">
        <v>100</v>
      </c>
      <c r="F24" s="14">
        <v>100</v>
      </c>
      <c r="G24" s="42" t="s">
        <v>109</v>
      </c>
      <c r="H24" s="14" t="s">
        <v>409</v>
      </c>
      <c r="I24" s="41">
        <v>44453</v>
      </c>
      <c r="J24" s="14" t="s">
        <v>255</v>
      </c>
      <c r="K24" s="15" t="s">
        <v>417</v>
      </c>
    </row>
    <row r="25" spans="3:11" ht="28.8" x14ac:dyDescent="0.3">
      <c r="C25" s="15" t="s">
        <v>436</v>
      </c>
      <c r="D25" s="14" t="s">
        <v>453</v>
      </c>
      <c r="E25" s="14">
        <v>500</v>
      </c>
      <c r="F25" s="14">
        <v>500</v>
      </c>
      <c r="G25" s="42" t="s">
        <v>109</v>
      </c>
      <c r="H25" s="14" t="s">
        <v>410</v>
      </c>
      <c r="I25" s="41">
        <v>44453</v>
      </c>
      <c r="J25" s="14" t="s">
        <v>255</v>
      </c>
      <c r="K25" s="15" t="s">
        <v>437</v>
      </c>
    </row>
    <row r="26" spans="3:11" ht="28.8" x14ac:dyDescent="0.3">
      <c r="C26" s="15" t="s">
        <v>445</v>
      </c>
      <c r="D26" s="14" t="s">
        <v>443</v>
      </c>
      <c r="E26" s="14">
        <v>252</v>
      </c>
      <c r="F26" s="14">
        <v>252</v>
      </c>
      <c r="G26" s="42" t="s">
        <v>109</v>
      </c>
      <c r="H26" s="14" t="s">
        <v>444</v>
      </c>
      <c r="I26" s="41">
        <v>44368</v>
      </c>
      <c r="J26" s="14" t="s">
        <v>255</v>
      </c>
      <c r="K26" s="15"/>
    </row>
    <row r="27" spans="3:11" ht="43.2" x14ac:dyDescent="0.3">
      <c r="C27" s="15" t="s">
        <v>480</v>
      </c>
      <c r="D27" s="14" t="s">
        <v>443</v>
      </c>
      <c r="E27" s="14">
        <v>50</v>
      </c>
      <c r="F27" s="14">
        <v>50</v>
      </c>
      <c r="G27" s="42" t="s">
        <v>109</v>
      </c>
      <c r="H27" s="14" t="s">
        <v>446</v>
      </c>
      <c r="I27" s="41">
        <v>44461</v>
      </c>
      <c r="J27" s="14" t="s">
        <v>255</v>
      </c>
      <c r="K27" s="15" t="s">
        <v>447</v>
      </c>
    </row>
    <row r="28" spans="3:11" ht="28.8" x14ac:dyDescent="0.3">
      <c r="C28" s="15" t="s">
        <v>456</v>
      </c>
      <c r="D28" s="14" t="s">
        <v>443</v>
      </c>
      <c r="E28" s="14">
        <v>30</v>
      </c>
      <c r="F28" s="14">
        <v>30</v>
      </c>
      <c r="G28" s="42" t="s">
        <v>109</v>
      </c>
      <c r="H28" s="14"/>
      <c r="I28" s="41"/>
      <c r="J28" s="14"/>
      <c r="K28" s="15" t="s">
        <v>457</v>
      </c>
    </row>
    <row r="29" spans="3:11" ht="72" x14ac:dyDescent="0.3">
      <c r="C29" s="15" t="s">
        <v>448</v>
      </c>
      <c r="D29" s="14" t="s">
        <v>462</v>
      </c>
      <c r="E29" s="14">
        <f xml:space="preserve"> (159.5 * 0.9) * 1.19</f>
        <v>170.8245</v>
      </c>
      <c r="F29" s="14">
        <f xml:space="preserve"> (159.5 * 0.9) * 1.19</f>
        <v>170.8245</v>
      </c>
      <c r="G29" s="42" t="s">
        <v>109</v>
      </c>
      <c r="H29" s="14" t="s">
        <v>449</v>
      </c>
      <c r="I29" s="41">
        <v>44462</v>
      </c>
      <c r="J29" s="14" t="s">
        <v>255</v>
      </c>
      <c r="K29" s="15" t="s">
        <v>451</v>
      </c>
    </row>
    <row r="30" spans="3:11" ht="57.6" x14ac:dyDescent="0.3">
      <c r="C30" s="15" t="s">
        <v>452</v>
      </c>
      <c r="D30" s="14" t="s">
        <v>461</v>
      </c>
      <c r="E30" s="14">
        <f xml:space="preserve"> ((141.651 * 2) * 0.9) * 1.19</f>
        <v>303.41644200000002</v>
      </c>
      <c r="F30" s="14">
        <f xml:space="preserve"> ((141.651 * 2) * 0.9) * 1.19</f>
        <v>303.41644200000002</v>
      </c>
      <c r="G30" s="42" t="s">
        <v>109</v>
      </c>
      <c r="H30" s="14" t="s">
        <v>449</v>
      </c>
      <c r="I30" s="41">
        <v>44462</v>
      </c>
      <c r="J30" s="14" t="s">
        <v>255</v>
      </c>
      <c r="K30" s="15" t="s">
        <v>450</v>
      </c>
    </row>
    <row r="31" spans="3:11" ht="28.8" x14ac:dyDescent="0.3">
      <c r="C31" s="15" t="s">
        <v>473</v>
      </c>
      <c r="D31" s="15" t="s">
        <v>475</v>
      </c>
      <c r="E31" s="14">
        <v>115</v>
      </c>
      <c r="F31" s="14">
        <v>115</v>
      </c>
      <c r="G31" s="42" t="s">
        <v>109</v>
      </c>
      <c r="H31" s="14" t="s">
        <v>476</v>
      </c>
      <c r="I31" s="41">
        <v>44464</v>
      </c>
      <c r="J31" s="14" t="s">
        <v>255</v>
      </c>
      <c r="K31" s="15" t="s">
        <v>474</v>
      </c>
    </row>
    <row r="32" spans="3:11" ht="43.5" customHeight="1" x14ac:dyDescent="0.3">
      <c r="C32" s="15" t="s">
        <v>472</v>
      </c>
      <c r="D32" s="14" t="s">
        <v>459</v>
      </c>
      <c r="E32" s="14">
        <v>200</v>
      </c>
      <c r="F32" s="14"/>
      <c r="G32" s="43" t="s">
        <v>141</v>
      </c>
      <c r="H32" s="14" t="s">
        <v>460</v>
      </c>
      <c r="I32" s="41"/>
      <c r="J32" s="14" t="s">
        <v>255</v>
      </c>
      <c r="K32" s="15" t="s">
        <v>466</v>
      </c>
    </row>
    <row r="33" spans="3:11" ht="43.5" customHeight="1" x14ac:dyDescent="0.3">
      <c r="C33" s="15" t="s">
        <v>463</v>
      </c>
      <c r="D33" s="14" t="s">
        <v>461</v>
      </c>
      <c r="E33" s="14">
        <v>300</v>
      </c>
      <c r="F33" s="14">
        <f xml:space="preserve"> 100 + 200</f>
        <v>300</v>
      </c>
      <c r="G33" s="43" t="s">
        <v>109</v>
      </c>
      <c r="H33" s="14" t="s">
        <v>460</v>
      </c>
      <c r="I33" s="41"/>
      <c r="J33" s="14" t="s">
        <v>255</v>
      </c>
      <c r="K33" s="15" t="s">
        <v>493</v>
      </c>
    </row>
    <row r="34" spans="3:11" ht="43.5" customHeight="1" x14ac:dyDescent="0.3">
      <c r="C34" s="15" t="s">
        <v>464</v>
      </c>
      <c r="D34" s="14" t="s">
        <v>462</v>
      </c>
      <c r="E34" s="14">
        <v>300</v>
      </c>
      <c r="F34" s="14">
        <v>200</v>
      </c>
      <c r="G34" s="43" t="s">
        <v>109</v>
      </c>
      <c r="H34" s="14" t="s">
        <v>460</v>
      </c>
      <c r="I34" s="41"/>
      <c r="J34" s="14" t="s">
        <v>255</v>
      </c>
      <c r="K34" s="15" t="s">
        <v>465</v>
      </c>
    </row>
    <row r="35" spans="3:11" ht="115.2" x14ac:dyDescent="0.3">
      <c r="C35" s="15" t="s">
        <v>454</v>
      </c>
      <c r="D35" s="15" t="s">
        <v>443</v>
      </c>
      <c r="E35" s="14">
        <f xml:space="preserve"> 500 + 150</f>
        <v>650</v>
      </c>
      <c r="F35" s="44">
        <f xml:space="preserve"> 516 + 155.4 + 260</f>
        <v>931.4</v>
      </c>
      <c r="G35" s="42" t="s">
        <v>109</v>
      </c>
      <c r="H35" s="14" t="s">
        <v>455</v>
      </c>
      <c r="I35" s="41">
        <v>44475</v>
      </c>
      <c r="J35" s="14" t="s">
        <v>255</v>
      </c>
      <c r="K35" s="15" t="s">
        <v>481</v>
      </c>
    </row>
    <row r="36" spans="3:11" ht="129.6" x14ac:dyDescent="0.3">
      <c r="C36" s="15" t="s">
        <v>479</v>
      </c>
      <c r="D36" s="15" t="s">
        <v>443</v>
      </c>
      <c r="E36" s="14">
        <f xml:space="preserve"> 50 + 30</f>
        <v>80</v>
      </c>
      <c r="F36" s="44">
        <f xml:space="preserve"> 44 + 30 + 50</f>
        <v>124</v>
      </c>
      <c r="G36" s="42" t="s">
        <v>109</v>
      </c>
      <c r="H36" s="14" t="s">
        <v>455</v>
      </c>
      <c r="I36" s="41">
        <v>44481</v>
      </c>
      <c r="J36" s="14" t="s">
        <v>255</v>
      </c>
      <c r="K36" s="15" t="s">
        <v>492</v>
      </c>
    </row>
    <row r="37" spans="3:11" ht="100.8" x14ac:dyDescent="0.3">
      <c r="C37" s="15" t="s">
        <v>467</v>
      </c>
      <c r="D37" s="14" t="s">
        <v>458</v>
      </c>
      <c r="E37" s="14">
        <f xml:space="preserve"> 4500 + 1000</f>
        <v>5500</v>
      </c>
      <c r="F37" s="14"/>
      <c r="G37" s="43" t="s">
        <v>141</v>
      </c>
      <c r="H37" s="14" t="s">
        <v>455</v>
      </c>
      <c r="I37" s="14"/>
      <c r="J37" s="14" t="s">
        <v>255</v>
      </c>
      <c r="K37" s="15" t="s">
        <v>468</v>
      </c>
    </row>
    <row r="38" spans="3:11" x14ac:dyDescent="0.3">
      <c r="C38" s="14" t="s">
        <v>529</v>
      </c>
      <c r="D38" s="14" t="s">
        <v>412</v>
      </c>
      <c r="E38" s="14">
        <v>650</v>
      </c>
      <c r="F38" s="14">
        <v>650</v>
      </c>
      <c r="G38" s="14" t="s">
        <v>109</v>
      </c>
      <c r="H38" s="14" t="s">
        <v>530</v>
      </c>
      <c r="I38" s="41">
        <v>44748</v>
      </c>
      <c r="J38" s="14" t="s">
        <v>255</v>
      </c>
      <c r="K38" s="15"/>
    </row>
    <row r="39" spans="3:11" x14ac:dyDescent="0.3">
      <c r="C39" s="14" t="s">
        <v>549</v>
      </c>
      <c r="D39" s="14" t="s">
        <v>412</v>
      </c>
      <c r="E39" s="14">
        <v>850</v>
      </c>
      <c r="F39" s="14">
        <v>850</v>
      </c>
      <c r="G39" s="14" t="s">
        <v>109</v>
      </c>
      <c r="H39" s="14" t="s">
        <v>476</v>
      </c>
      <c r="I39" s="41">
        <v>44749</v>
      </c>
      <c r="J39" s="14" t="s">
        <v>255</v>
      </c>
      <c r="K39" s="15" t="s">
        <v>532</v>
      </c>
    </row>
    <row r="40" spans="3:11" ht="28.8" x14ac:dyDescent="0.3">
      <c r="C40" s="14" t="s">
        <v>531</v>
      </c>
      <c r="D40" s="14" t="s">
        <v>412</v>
      </c>
      <c r="E40" s="14">
        <f xml:space="preserve"> 90 + 50</f>
        <v>140</v>
      </c>
      <c r="F40" s="14">
        <v>150</v>
      </c>
      <c r="G40" s="14" t="s">
        <v>109</v>
      </c>
      <c r="H40" s="15" t="s">
        <v>533</v>
      </c>
      <c r="I40" s="41">
        <v>44763</v>
      </c>
      <c r="J40" s="14" t="s">
        <v>255</v>
      </c>
      <c r="K40" s="15" t="s">
        <v>534</v>
      </c>
    </row>
    <row r="41" spans="3:11" x14ac:dyDescent="0.3">
      <c r="C41" s="14" t="s">
        <v>535</v>
      </c>
      <c r="D41" s="14" t="s">
        <v>412</v>
      </c>
      <c r="E41" s="14">
        <v>250</v>
      </c>
      <c r="F41" s="14">
        <v>250</v>
      </c>
      <c r="G41" s="14" t="s">
        <v>109</v>
      </c>
      <c r="H41" s="14" t="s">
        <v>536</v>
      </c>
      <c r="I41" s="41">
        <v>44758</v>
      </c>
      <c r="J41" s="14" t="s">
        <v>255</v>
      </c>
      <c r="K41" s="15" t="s">
        <v>537</v>
      </c>
    </row>
    <row r="42" spans="3:11" ht="28.8" x14ac:dyDescent="0.3">
      <c r="C42" s="15" t="s">
        <v>538</v>
      </c>
      <c r="D42" s="14" t="s">
        <v>412</v>
      </c>
      <c r="E42" s="14">
        <v>20</v>
      </c>
      <c r="F42" s="14">
        <v>20</v>
      </c>
      <c r="G42" s="14" t="s">
        <v>109</v>
      </c>
      <c r="H42" s="14" t="s">
        <v>530</v>
      </c>
      <c r="I42" s="41">
        <v>44768</v>
      </c>
      <c r="J42" s="14" t="s">
        <v>255</v>
      </c>
      <c r="K42" s="15"/>
    </row>
    <row r="43" spans="3:11" x14ac:dyDescent="0.3">
      <c r="C43" s="14" t="s">
        <v>539</v>
      </c>
      <c r="D43" s="14" t="s">
        <v>412</v>
      </c>
      <c r="E43" s="14">
        <v>260</v>
      </c>
      <c r="F43" s="14"/>
      <c r="G43" s="14" t="s">
        <v>109</v>
      </c>
      <c r="H43" s="14" t="s">
        <v>540</v>
      </c>
      <c r="I43" s="41">
        <v>44759</v>
      </c>
      <c r="J43" s="14" t="s">
        <v>255</v>
      </c>
      <c r="K43" s="15"/>
    </row>
    <row r="44" spans="3:11" ht="43.2" x14ac:dyDescent="0.3">
      <c r="C44" s="15" t="s">
        <v>541</v>
      </c>
      <c r="D44" s="14" t="s">
        <v>412</v>
      </c>
      <c r="E44" s="14">
        <v>150</v>
      </c>
      <c r="F44" s="14">
        <v>150</v>
      </c>
      <c r="G44" s="14" t="s">
        <v>109</v>
      </c>
      <c r="H44" s="14" t="s">
        <v>542</v>
      </c>
      <c r="I44" s="41">
        <v>44766</v>
      </c>
      <c r="J44" s="14" t="s">
        <v>255</v>
      </c>
      <c r="K44" s="15"/>
    </row>
    <row r="45" spans="3:11" ht="28.8" x14ac:dyDescent="0.3">
      <c r="C45" s="14" t="s">
        <v>544</v>
      </c>
      <c r="D45" s="14" t="s">
        <v>543</v>
      </c>
      <c r="E45" s="14">
        <v>4220</v>
      </c>
      <c r="F45" s="14">
        <v>4220</v>
      </c>
      <c r="G45" s="14" t="s">
        <v>109</v>
      </c>
      <c r="H45" s="15" t="s">
        <v>546</v>
      </c>
      <c r="I45" s="41">
        <v>44767</v>
      </c>
      <c r="J45" s="14" t="s">
        <v>255</v>
      </c>
      <c r="K45" s="15" t="s">
        <v>562</v>
      </c>
    </row>
    <row r="46" spans="3:11" x14ac:dyDescent="0.3">
      <c r="C46" s="14" t="s">
        <v>545</v>
      </c>
      <c r="D46" s="14" t="s">
        <v>543</v>
      </c>
      <c r="E46" s="14">
        <v>100</v>
      </c>
      <c r="F46" s="14"/>
      <c r="G46" s="14" t="s">
        <v>109</v>
      </c>
      <c r="H46" s="14" t="s">
        <v>576</v>
      </c>
      <c r="I46" s="14"/>
      <c r="J46" s="14" t="s">
        <v>255</v>
      </c>
      <c r="K46" s="15"/>
    </row>
    <row r="47" spans="3:11" x14ac:dyDescent="0.3">
      <c r="C47" s="14" t="s">
        <v>547</v>
      </c>
      <c r="D47" s="14" t="s">
        <v>543</v>
      </c>
      <c r="E47" s="14">
        <v>300</v>
      </c>
      <c r="F47" s="14">
        <v>259</v>
      </c>
      <c r="G47" s="14" t="s">
        <v>109</v>
      </c>
      <c r="H47" s="14" t="s">
        <v>540</v>
      </c>
      <c r="I47" s="41">
        <v>44766</v>
      </c>
      <c r="J47" s="14" t="s">
        <v>255</v>
      </c>
      <c r="K47" s="15"/>
    </row>
    <row r="48" spans="3:11" x14ac:dyDescent="0.3">
      <c r="C48" s="14" t="s">
        <v>548</v>
      </c>
      <c r="D48" s="14" t="s">
        <v>543</v>
      </c>
      <c r="E48" s="14">
        <v>200</v>
      </c>
      <c r="F48" s="14">
        <v>200</v>
      </c>
      <c r="G48" s="14" t="s">
        <v>109</v>
      </c>
      <c r="H48" s="14"/>
      <c r="I48" s="46">
        <v>44805</v>
      </c>
      <c r="J48" s="14" t="s">
        <v>255</v>
      </c>
      <c r="K48" s="15"/>
    </row>
    <row r="49" spans="3:11" x14ac:dyDescent="0.3">
      <c r="C49" s="14" t="s">
        <v>561</v>
      </c>
      <c r="D49" s="14" t="s">
        <v>543</v>
      </c>
      <c r="E49" s="14">
        <v>200</v>
      </c>
      <c r="F49" s="14">
        <v>200</v>
      </c>
      <c r="G49" s="14" t="s">
        <v>109</v>
      </c>
      <c r="H49" s="14" t="s">
        <v>569</v>
      </c>
      <c r="I49" s="46">
        <v>44774</v>
      </c>
      <c r="J49" s="14" t="s">
        <v>255</v>
      </c>
      <c r="K49" s="15"/>
    </row>
    <row r="50" spans="3:11" x14ac:dyDescent="0.3">
      <c r="C50" s="14" t="s">
        <v>563</v>
      </c>
      <c r="D50" s="14" t="s">
        <v>543</v>
      </c>
      <c r="E50" s="14">
        <v>200</v>
      </c>
      <c r="F50" s="14">
        <v>200</v>
      </c>
      <c r="G50" s="14" t="s">
        <v>109</v>
      </c>
      <c r="H50" s="14" t="s">
        <v>576</v>
      </c>
      <c r="I50" s="41">
        <v>44873</v>
      </c>
      <c r="J50" s="14" t="s">
        <v>255</v>
      </c>
      <c r="K50" s="15" t="s">
        <v>564</v>
      </c>
    </row>
    <row r="51" spans="3:11" x14ac:dyDescent="0.3">
      <c r="C51" s="14" t="s">
        <v>566</v>
      </c>
      <c r="D51" s="14" t="s">
        <v>565</v>
      </c>
      <c r="E51" s="14">
        <v>95</v>
      </c>
      <c r="F51" s="14">
        <v>95</v>
      </c>
      <c r="G51" s="14" t="s">
        <v>567</v>
      </c>
      <c r="H51" s="14" t="s">
        <v>568</v>
      </c>
      <c r="I51" s="41">
        <v>44870</v>
      </c>
      <c r="J51" s="14" t="s">
        <v>255</v>
      </c>
      <c r="K51" s="15"/>
    </row>
    <row r="52" spans="3:11" x14ac:dyDescent="0.3">
      <c r="C52" s="14" t="s">
        <v>574</v>
      </c>
      <c r="D52" s="14" t="s">
        <v>565</v>
      </c>
      <c r="E52" s="14">
        <v>100</v>
      </c>
      <c r="F52" s="14"/>
      <c r="G52" s="14" t="s">
        <v>109</v>
      </c>
      <c r="H52" s="14" t="s">
        <v>577</v>
      </c>
      <c r="I52" s="41"/>
      <c r="J52" s="14"/>
      <c r="K52" s="15"/>
    </row>
    <row r="53" spans="3:11" ht="57.6" x14ac:dyDescent="0.3">
      <c r="C53" s="14" t="s">
        <v>570</v>
      </c>
      <c r="D53" s="14" t="s">
        <v>571</v>
      </c>
      <c r="E53" s="14">
        <f>240.386+50.4+32+12</f>
        <v>334.786</v>
      </c>
      <c r="F53" s="14">
        <f>240.386+50.4+32</f>
        <v>322.786</v>
      </c>
      <c r="G53" s="14" t="s">
        <v>109</v>
      </c>
      <c r="H53" s="15" t="s">
        <v>572</v>
      </c>
      <c r="I53" s="41">
        <v>44872</v>
      </c>
      <c r="J53" s="14" t="s">
        <v>255</v>
      </c>
      <c r="K53" s="15" t="s">
        <v>586</v>
      </c>
    </row>
    <row r="54" spans="3:11" ht="28.8" x14ac:dyDescent="0.3">
      <c r="C54" s="14" t="s">
        <v>573</v>
      </c>
      <c r="D54" s="14" t="s">
        <v>571</v>
      </c>
      <c r="E54" s="14">
        <v>100</v>
      </c>
      <c r="F54" s="14">
        <v>100</v>
      </c>
      <c r="G54" s="14" t="s">
        <v>109</v>
      </c>
      <c r="H54" s="14" t="s">
        <v>577</v>
      </c>
      <c r="I54" s="41">
        <v>44878</v>
      </c>
      <c r="J54" s="14" t="s">
        <v>255</v>
      </c>
      <c r="K54" s="15" t="s">
        <v>575</v>
      </c>
    </row>
    <row r="55" spans="3:11" ht="86.4" x14ac:dyDescent="0.3">
      <c r="C55" s="14" t="s">
        <v>578</v>
      </c>
      <c r="D55" s="14" t="s">
        <v>579</v>
      </c>
      <c r="E55" s="14">
        <v>145</v>
      </c>
      <c r="F55" s="14">
        <f xml:space="preserve"> 145 + 13</f>
        <v>158</v>
      </c>
      <c r="G55" s="14" t="s">
        <v>109</v>
      </c>
      <c r="H55" s="14"/>
      <c r="I55" s="41">
        <v>44910</v>
      </c>
      <c r="J55" s="14"/>
      <c r="K55" s="15" t="s">
        <v>585</v>
      </c>
    </row>
    <row r="56" spans="3:11" ht="72" x14ac:dyDescent="0.3">
      <c r="C56" s="14" t="s">
        <v>580</v>
      </c>
      <c r="D56" s="14" t="s">
        <v>579</v>
      </c>
      <c r="E56" s="14">
        <v>400</v>
      </c>
      <c r="F56" s="14">
        <v>400</v>
      </c>
      <c r="G56" s="14"/>
      <c r="H56" s="14" t="s">
        <v>576</v>
      </c>
      <c r="I56" s="41">
        <v>44910</v>
      </c>
      <c r="J56" s="14"/>
      <c r="K56" s="15" t="s">
        <v>587</v>
      </c>
    </row>
    <row r="57" spans="3:11" ht="28.8" x14ac:dyDescent="0.3">
      <c r="C57" s="15" t="s">
        <v>581</v>
      </c>
      <c r="D57" s="14" t="s">
        <v>543</v>
      </c>
      <c r="E57" s="14">
        <v>200</v>
      </c>
      <c r="F57" s="14"/>
      <c r="G57" s="14"/>
      <c r="H57" s="14"/>
      <c r="I57" s="41">
        <v>44912</v>
      </c>
      <c r="J57" s="14"/>
      <c r="K57" s="15"/>
    </row>
    <row r="58" spans="3:11" ht="72" x14ac:dyDescent="0.3">
      <c r="C58" s="15" t="s">
        <v>583</v>
      </c>
      <c r="D58" s="14" t="s">
        <v>582</v>
      </c>
      <c r="E58" s="14">
        <f xml:space="preserve"> 60 + 38 + 2.5 + 3</f>
        <v>103.5</v>
      </c>
      <c r="F58" s="14"/>
      <c r="G58" s="14"/>
      <c r="H58" s="14"/>
      <c r="I58" s="41">
        <v>44912</v>
      </c>
      <c r="J58" s="14"/>
      <c r="K58" s="15" t="s">
        <v>584</v>
      </c>
    </row>
    <row r="59" spans="3:11" ht="100.8" x14ac:dyDescent="0.3">
      <c r="C59" s="14" t="s">
        <v>588</v>
      </c>
      <c r="D59" s="15" t="s">
        <v>589</v>
      </c>
      <c r="E59" s="14">
        <v>0</v>
      </c>
      <c r="F59" s="14"/>
      <c r="G59" s="14" t="s">
        <v>598</v>
      </c>
      <c r="H59" s="14"/>
      <c r="I59" s="41">
        <v>44905</v>
      </c>
      <c r="J59" s="14"/>
      <c r="K59" s="15" t="s">
        <v>590</v>
      </c>
    </row>
    <row r="60" spans="3:11" ht="28.8" x14ac:dyDescent="0.3">
      <c r="C60" s="15" t="s">
        <v>595</v>
      </c>
      <c r="D60" s="15" t="s">
        <v>594</v>
      </c>
      <c r="E60" s="14">
        <v>0</v>
      </c>
      <c r="F60" s="14"/>
      <c r="G60" s="14" t="s">
        <v>598</v>
      </c>
      <c r="H60" s="14" t="s">
        <v>577</v>
      </c>
      <c r="I60" s="41">
        <v>44905</v>
      </c>
      <c r="J60" s="14"/>
      <c r="K60" s="15" t="s">
        <v>596</v>
      </c>
    </row>
    <row r="61" spans="3:11" ht="28.8" x14ac:dyDescent="0.3">
      <c r="C61" s="15" t="s">
        <v>595</v>
      </c>
      <c r="D61" s="15" t="s">
        <v>594</v>
      </c>
      <c r="E61" s="14">
        <v>40</v>
      </c>
      <c r="F61" s="14"/>
      <c r="G61" s="14" t="s">
        <v>109</v>
      </c>
      <c r="H61" s="14"/>
      <c r="I61" s="41">
        <v>44905</v>
      </c>
      <c r="J61" s="14"/>
      <c r="K61" s="15"/>
    </row>
    <row r="62" spans="3:11" x14ac:dyDescent="0.3">
      <c r="C62" s="14" t="s">
        <v>592</v>
      </c>
      <c r="D62" s="14" t="s">
        <v>591</v>
      </c>
      <c r="E62" s="14">
        <v>0</v>
      </c>
      <c r="F62" s="14"/>
      <c r="G62" s="14" t="s">
        <v>598</v>
      </c>
      <c r="H62" s="14" t="s">
        <v>576</v>
      </c>
      <c r="I62" s="41">
        <v>44905</v>
      </c>
      <c r="J62" s="14"/>
      <c r="K62" s="15" t="s">
        <v>597</v>
      </c>
    </row>
    <row r="63" spans="3:11" x14ac:dyDescent="0.3">
      <c r="C63" s="14" t="s">
        <v>593</v>
      </c>
      <c r="D63" s="14" t="s">
        <v>591</v>
      </c>
      <c r="E63" s="14">
        <v>80</v>
      </c>
      <c r="F63" s="14"/>
      <c r="G63" s="14" t="s">
        <v>109</v>
      </c>
      <c r="H63" s="14"/>
      <c r="I63" s="41">
        <v>44905</v>
      </c>
      <c r="J63" s="14"/>
      <c r="K63" s="15"/>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389AC-29BB-47AF-A03F-1DBA57B9C42E}">
  <dimension ref="B3:G6"/>
  <sheetViews>
    <sheetView workbookViewId="0">
      <selection activeCell="E14" sqref="E14"/>
    </sheetView>
  </sheetViews>
  <sheetFormatPr defaultRowHeight="14.4" x14ac:dyDescent="0.3"/>
  <cols>
    <col min="3" max="3" width="20.33203125" customWidth="1"/>
    <col min="4" max="4" width="29.109375" customWidth="1"/>
    <col min="5" max="5" width="30.5546875" customWidth="1"/>
    <col min="6" max="6" width="33.33203125" customWidth="1"/>
    <col min="7" max="7" width="37.109375" customWidth="1"/>
  </cols>
  <sheetData>
    <row r="3" spans="2:7" x14ac:dyDescent="0.3">
      <c r="B3" s="57" t="s">
        <v>637</v>
      </c>
      <c r="C3" s="57"/>
      <c r="D3" s="57"/>
      <c r="E3" s="57"/>
    </row>
    <row r="5" spans="2:7" x14ac:dyDescent="0.3">
      <c r="C5" t="s">
        <v>636</v>
      </c>
      <c r="D5" t="s">
        <v>639</v>
      </c>
      <c r="E5" t="s">
        <v>640</v>
      </c>
      <c r="F5" t="s">
        <v>641</v>
      </c>
      <c r="G5" t="s">
        <v>638</v>
      </c>
    </row>
    <row r="6" spans="2:7" x14ac:dyDescent="0.3">
      <c r="C6">
        <v>900</v>
      </c>
      <c r="D6">
        <f>(900 + (3*400)) - 600</f>
        <v>1500</v>
      </c>
      <c r="E6">
        <f>(1500 + 2*400) -1000</f>
        <v>1300</v>
      </c>
      <c r="F6">
        <f xml:space="preserve"> (1300 + 4*400) - 800</f>
        <v>2100</v>
      </c>
      <c r="G6">
        <v>2100</v>
      </c>
    </row>
  </sheetData>
  <mergeCells count="1">
    <mergeCell ref="B3:E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32D6E-106C-4CED-BAEB-D6C69122CDA2}">
  <dimension ref="C4:G14"/>
  <sheetViews>
    <sheetView topLeftCell="A6" workbookViewId="0">
      <selection activeCell="K12" sqref="K12"/>
    </sheetView>
  </sheetViews>
  <sheetFormatPr defaultRowHeight="14.4" x14ac:dyDescent="0.3"/>
  <cols>
    <col min="3" max="3" width="42" customWidth="1"/>
    <col min="4" max="4" width="13.109375" customWidth="1"/>
    <col min="5" max="5" width="11.109375" customWidth="1"/>
    <col min="6" max="6" width="11.6640625" customWidth="1"/>
    <col min="7" max="7" width="39.33203125" customWidth="1"/>
  </cols>
  <sheetData>
    <row r="4" spans="3:7" x14ac:dyDescent="0.3">
      <c r="C4" t="s">
        <v>132</v>
      </c>
      <c r="D4" t="s">
        <v>550</v>
      </c>
      <c r="E4" t="s">
        <v>2</v>
      </c>
      <c r="F4" t="s">
        <v>131</v>
      </c>
      <c r="G4" t="s">
        <v>1</v>
      </c>
    </row>
    <row r="5" spans="3:7" ht="28.8" x14ac:dyDescent="0.3">
      <c r="C5" t="s">
        <v>556</v>
      </c>
      <c r="D5">
        <v>50000</v>
      </c>
      <c r="E5" t="s">
        <v>554</v>
      </c>
      <c r="F5" s="45">
        <v>43859</v>
      </c>
      <c r="G5" s="1" t="s">
        <v>557</v>
      </c>
    </row>
    <row r="6" spans="3:7" ht="35.25" customHeight="1" x14ac:dyDescent="0.3">
      <c r="C6" t="s">
        <v>558</v>
      </c>
      <c r="D6">
        <v>2700</v>
      </c>
      <c r="E6" t="s">
        <v>554</v>
      </c>
      <c r="F6" s="45">
        <v>43891</v>
      </c>
    </row>
    <row r="7" spans="3:7" ht="31.5" customHeight="1" x14ac:dyDescent="0.3">
      <c r="C7" t="s">
        <v>553</v>
      </c>
      <c r="D7">
        <v>300</v>
      </c>
      <c r="E7" t="s">
        <v>554</v>
      </c>
      <c r="F7" s="45">
        <v>44378</v>
      </c>
    </row>
    <row r="8" spans="3:7" ht="33" customHeight="1" x14ac:dyDescent="0.3">
      <c r="C8" t="s">
        <v>555</v>
      </c>
      <c r="D8">
        <v>1500</v>
      </c>
      <c r="E8" t="s">
        <v>554</v>
      </c>
      <c r="F8" s="45">
        <v>44805</v>
      </c>
    </row>
    <row r="9" spans="3:7" ht="81.599999999999994" customHeight="1" x14ac:dyDescent="0.3">
      <c r="C9" s="1" t="s">
        <v>559</v>
      </c>
      <c r="D9">
        <v>300</v>
      </c>
      <c r="E9" t="s">
        <v>554</v>
      </c>
      <c r="F9" s="45">
        <v>44075</v>
      </c>
      <c r="G9" s="1" t="s">
        <v>560</v>
      </c>
    </row>
    <row r="10" spans="3:7" ht="36.75" customHeight="1" x14ac:dyDescent="0.3">
      <c r="C10" s="1" t="s">
        <v>551</v>
      </c>
      <c r="D10">
        <v>620</v>
      </c>
      <c r="E10" t="s">
        <v>255</v>
      </c>
      <c r="F10" s="45">
        <v>44901</v>
      </c>
    </row>
    <row r="11" spans="3:7" ht="31.5" customHeight="1" x14ac:dyDescent="0.3">
      <c r="C11" s="1" t="s">
        <v>552</v>
      </c>
      <c r="D11">
        <v>280</v>
      </c>
      <c r="E11" t="s">
        <v>255</v>
      </c>
      <c r="F11" s="45">
        <v>44901</v>
      </c>
    </row>
    <row r="12" spans="3:7" ht="72" x14ac:dyDescent="0.3">
      <c r="C12" s="1" t="s">
        <v>600</v>
      </c>
      <c r="D12">
        <f>150+170</f>
        <v>320</v>
      </c>
      <c r="E12" t="s">
        <v>255</v>
      </c>
      <c r="F12" s="45">
        <v>45021</v>
      </c>
      <c r="G12" s="1" t="s">
        <v>599</v>
      </c>
    </row>
    <row r="13" spans="3:7" ht="86.4" x14ac:dyDescent="0.3">
      <c r="C13" t="s">
        <v>555</v>
      </c>
      <c r="D13">
        <v>1810</v>
      </c>
      <c r="F13" s="45"/>
      <c r="G13" s="1" t="s">
        <v>601</v>
      </c>
    </row>
    <row r="14" spans="3:7" ht="28.8" x14ac:dyDescent="0.3">
      <c r="C14" s="1" t="s">
        <v>642</v>
      </c>
      <c r="D14">
        <v>60</v>
      </c>
      <c r="E14" t="s">
        <v>255</v>
      </c>
      <c r="F14" s="45"/>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5778A-4465-444B-928D-8359F8608C82}">
  <dimension ref="D6:L122"/>
  <sheetViews>
    <sheetView topLeftCell="A102" workbookViewId="0">
      <selection activeCell="E122" sqref="E122"/>
    </sheetView>
  </sheetViews>
  <sheetFormatPr defaultRowHeight="14.4" x14ac:dyDescent="0.3"/>
  <cols>
    <col min="4" max="4" width="55.88671875" customWidth="1"/>
    <col min="5" max="5" width="31.88671875" bestFit="1" customWidth="1"/>
    <col min="6" max="6" width="19.33203125" customWidth="1"/>
    <col min="7" max="7" width="17.6640625" customWidth="1"/>
    <col min="9" max="9" width="10.44140625" customWidth="1"/>
    <col min="10" max="10" width="17.33203125" bestFit="1" customWidth="1"/>
    <col min="11" max="11" width="11" bestFit="1" customWidth="1"/>
    <col min="12" max="12" width="55" bestFit="1" customWidth="1"/>
  </cols>
  <sheetData>
    <row r="6" spans="4:12" x14ac:dyDescent="0.3">
      <c r="D6" t="s">
        <v>132</v>
      </c>
      <c r="E6" t="s">
        <v>5</v>
      </c>
      <c r="F6" t="s">
        <v>477</v>
      </c>
      <c r="G6" t="s">
        <v>478</v>
      </c>
      <c r="H6" t="s">
        <v>140</v>
      </c>
      <c r="I6" t="s">
        <v>406</v>
      </c>
      <c r="J6" t="s">
        <v>131</v>
      </c>
      <c r="K6" t="s">
        <v>2</v>
      </c>
      <c r="L6" t="s">
        <v>1</v>
      </c>
    </row>
    <row r="7" spans="4:12" ht="43.2" x14ac:dyDescent="0.3">
      <c r="D7" s="1" t="s">
        <v>602</v>
      </c>
      <c r="E7" t="s">
        <v>603</v>
      </c>
      <c r="F7">
        <v>150</v>
      </c>
      <c r="G7">
        <v>200</v>
      </c>
      <c r="H7" t="s">
        <v>109</v>
      </c>
      <c r="I7" t="s">
        <v>604</v>
      </c>
      <c r="J7" s="47">
        <v>45085</v>
      </c>
      <c r="K7" t="s">
        <v>255</v>
      </c>
      <c r="L7" s="1" t="s">
        <v>611</v>
      </c>
    </row>
    <row r="8" spans="4:12" ht="27" customHeight="1" x14ac:dyDescent="0.3">
      <c r="D8" s="1" t="s">
        <v>605</v>
      </c>
      <c r="E8" t="s">
        <v>603</v>
      </c>
      <c r="F8">
        <v>1490</v>
      </c>
      <c r="G8">
        <v>1490</v>
      </c>
      <c r="H8" t="s">
        <v>109</v>
      </c>
      <c r="I8" t="s">
        <v>604</v>
      </c>
      <c r="J8" s="47">
        <v>45092</v>
      </c>
      <c r="K8" t="s">
        <v>255</v>
      </c>
      <c r="L8" t="s">
        <v>606</v>
      </c>
    </row>
    <row r="9" spans="4:12" ht="104.4" customHeight="1" x14ac:dyDescent="0.3">
      <c r="D9" s="1" t="s">
        <v>607</v>
      </c>
      <c r="E9" t="s">
        <v>603</v>
      </c>
      <c r="F9">
        <v>460</v>
      </c>
      <c r="G9">
        <v>460</v>
      </c>
      <c r="J9" s="47"/>
      <c r="L9" s="1" t="s">
        <v>612</v>
      </c>
    </row>
    <row r="10" spans="4:12" ht="31.2" customHeight="1" x14ac:dyDescent="0.3">
      <c r="D10" s="1" t="s">
        <v>608</v>
      </c>
      <c r="E10" t="s">
        <v>609</v>
      </c>
      <c r="F10">
        <v>140</v>
      </c>
      <c r="G10">
        <v>140</v>
      </c>
      <c r="J10" s="47"/>
    </row>
    <row r="11" spans="4:12" x14ac:dyDescent="0.3">
      <c r="D11" s="1" t="s">
        <v>607</v>
      </c>
      <c r="E11" t="s">
        <v>603</v>
      </c>
      <c r="F11">
        <v>300</v>
      </c>
      <c r="G11">
        <v>300</v>
      </c>
      <c r="J11" s="47"/>
      <c r="L11" t="s">
        <v>610</v>
      </c>
    </row>
    <row r="12" spans="4:12" ht="28.8" x14ac:dyDescent="0.3">
      <c r="D12" s="1" t="s">
        <v>614</v>
      </c>
      <c r="E12" t="s">
        <v>613</v>
      </c>
      <c r="F12">
        <v>350</v>
      </c>
      <c r="G12">
        <v>100</v>
      </c>
      <c r="I12" t="s">
        <v>616</v>
      </c>
      <c r="J12" s="47">
        <v>45138</v>
      </c>
      <c r="L12" s="1" t="s">
        <v>617</v>
      </c>
    </row>
    <row r="13" spans="4:12" ht="72" x14ac:dyDescent="0.3">
      <c r="D13" s="1" t="s">
        <v>615</v>
      </c>
      <c r="E13" t="s">
        <v>613</v>
      </c>
      <c r="F13">
        <f xml:space="preserve"> 183.133 + 59.195</f>
        <v>242.328</v>
      </c>
      <c r="G13">
        <f xml:space="preserve"> 183.133 + 59.195</f>
        <v>242.328</v>
      </c>
      <c r="I13" t="s">
        <v>616</v>
      </c>
      <c r="J13" s="47">
        <v>45138</v>
      </c>
      <c r="L13" s="1" t="s">
        <v>618</v>
      </c>
    </row>
    <row r="14" spans="4:12" x14ac:dyDescent="0.3">
      <c r="D14" s="1" t="s">
        <v>619</v>
      </c>
      <c r="E14" t="s">
        <v>622</v>
      </c>
      <c r="F14">
        <v>400</v>
      </c>
      <c r="G14">
        <v>100</v>
      </c>
      <c r="J14" s="47">
        <v>45138</v>
      </c>
      <c r="L14" t="s">
        <v>620</v>
      </c>
    </row>
    <row r="15" spans="4:12" x14ac:dyDescent="0.3">
      <c r="D15" s="1" t="s">
        <v>621</v>
      </c>
      <c r="E15" t="s">
        <v>622</v>
      </c>
      <c r="F15">
        <v>371.39600000000002</v>
      </c>
      <c r="G15">
        <v>371.39600000000002</v>
      </c>
      <c r="J15" s="47">
        <v>45138</v>
      </c>
      <c r="L15" t="s">
        <v>633</v>
      </c>
    </row>
    <row r="16" spans="4:12" x14ac:dyDescent="0.3">
      <c r="D16" s="1" t="s">
        <v>623</v>
      </c>
      <c r="E16" t="s">
        <v>625</v>
      </c>
      <c r="F16">
        <v>3000</v>
      </c>
      <c r="G16">
        <v>60</v>
      </c>
      <c r="J16" s="47"/>
      <c r="L16" t="s">
        <v>634</v>
      </c>
    </row>
    <row r="17" spans="4:12" ht="273.60000000000002" x14ac:dyDescent="0.3">
      <c r="D17" s="1" t="s">
        <v>624</v>
      </c>
      <c r="E17" t="s">
        <v>625</v>
      </c>
      <c r="F17">
        <v>6000</v>
      </c>
      <c r="G17">
        <f xml:space="preserve"> 1220 + 157 + 60 + 100</f>
        <v>1537</v>
      </c>
      <c r="J17" s="47"/>
      <c r="L17" s="1" t="s">
        <v>632</v>
      </c>
    </row>
    <row r="18" spans="4:12" x14ac:dyDescent="0.3">
      <c r="D18" s="1" t="s">
        <v>623</v>
      </c>
      <c r="E18" t="s">
        <v>625</v>
      </c>
      <c r="G18">
        <v>200</v>
      </c>
      <c r="J18" s="47"/>
      <c r="L18" t="s">
        <v>628</v>
      </c>
    </row>
    <row r="19" spans="4:12" ht="28.8" x14ac:dyDescent="0.3">
      <c r="D19" s="1" t="s">
        <v>624</v>
      </c>
      <c r="E19" t="s">
        <v>625</v>
      </c>
      <c r="G19">
        <f>225 + 19</f>
        <v>244</v>
      </c>
      <c r="J19" s="47"/>
      <c r="L19" t="s">
        <v>626</v>
      </c>
    </row>
    <row r="20" spans="4:12" ht="72" x14ac:dyDescent="0.3">
      <c r="D20" s="1" t="s">
        <v>627</v>
      </c>
      <c r="E20" t="s">
        <v>625</v>
      </c>
      <c r="G20">
        <v>250</v>
      </c>
      <c r="J20" s="47"/>
      <c r="L20" s="1" t="s">
        <v>631</v>
      </c>
    </row>
    <row r="21" spans="4:12" x14ac:dyDescent="0.3">
      <c r="D21" s="1" t="s">
        <v>623</v>
      </c>
      <c r="E21" t="s">
        <v>625</v>
      </c>
      <c r="G21">
        <v>900</v>
      </c>
      <c r="J21" s="47"/>
      <c r="L21" t="s">
        <v>629</v>
      </c>
    </row>
    <row r="22" spans="4:12" ht="28.8" x14ac:dyDescent="0.3">
      <c r="D22" s="1" t="s">
        <v>627</v>
      </c>
      <c r="E22" t="s">
        <v>625</v>
      </c>
      <c r="G22">
        <v>300</v>
      </c>
      <c r="J22" s="47"/>
      <c r="L22" s="1" t="s">
        <v>630</v>
      </c>
    </row>
    <row r="23" spans="4:12" x14ac:dyDescent="0.3">
      <c r="D23" s="1" t="s">
        <v>623</v>
      </c>
      <c r="E23" t="s">
        <v>625</v>
      </c>
      <c r="G23">
        <v>900</v>
      </c>
      <c r="J23" s="47"/>
      <c r="L23" t="s">
        <v>635</v>
      </c>
    </row>
    <row r="24" spans="4:12" ht="409.6" x14ac:dyDescent="0.3">
      <c r="D24" s="1" t="s">
        <v>623</v>
      </c>
      <c r="E24" t="s">
        <v>625</v>
      </c>
      <c r="F24">
        <v>6000</v>
      </c>
      <c r="G24">
        <f xml:space="preserve"> 200 + 200 + 200 + 200 + 700 + 100 + 100 + 550 + 100 + 100 + 300 + 100 + 200 + 300 + 100 + 5000 + 1500</f>
        <v>9950</v>
      </c>
      <c r="J24" s="47">
        <v>45478</v>
      </c>
      <c r="L24" s="1" t="s">
        <v>776</v>
      </c>
    </row>
    <row r="25" spans="4:12" x14ac:dyDescent="0.3">
      <c r="D25" s="1" t="s">
        <v>621</v>
      </c>
      <c r="E25" t="s">
        <v>622</v>
      </c>
      <c r="F25">
        <v>4000</v>
      </c>
      <c r="G25">
        <v>379</v>
      </c>
      <c r="J25" s="47">
        <v>45478</v>
      </c>
      <c r="L25" t="s">
        <v>643</v>
      </c>
    </row>
    <row r="26" spans="4:12" x14ac:dyDescent="0.3">
      <c r="D26" s="1" t="s">
        <v>676</v>
      </c>
      <c r="E26" t="s">
        <v>622</v>
      </c>
      <c r="G26">
        <v>20</v>
      </c>
      <c r="J26" s="47">
        <v>45478</v>
      </c>
      <c r="L26" t="s">
        <v>677</v>
      </c>
    </row>
    <row r="27" spans="4:12" x14ac:dyDescent="0.3">
      <c r="D27" s="1" t="s">
        <v>682</v>
      </c>
      <c r="E27" t="s">
        <v>622</v>
      </c>
      <c r="G27">
        <v>23.998000000000001</v>
      </c>
      <c r="J27" s="47">
        <v>45499</v>
      </c>
      <c r="L27" t="s">
        <v>683</v>
      </c>
    </row>
    <row r="28" spans="4:12" ht="115.2" x14ac:dyDescent="0.3">
      <c r="D28" s="1" t="s">
        <v>701</v>
      </c>
      <c r="E28" t="s">
        <v>622</v>
      </c>
      <c r="G28">
        <v>144.577</v>
      </c>
      <c r="J28" s="47">
        <v>45519</v>
      </c>
      <c r="L28" s="1" t="s">
        <v>702</v>
      </c>
    </row>
    <row r="29" spans="4:12" ht="57.6" x14ac:dyDescent="0.3">
      <c r="D29" s="1" t="s">
        <v>711</v>
      </c>
      <c r="E29" t="s">
        <v>622</v>
      </c>
      <c r="G29">
        <v>413</v>
      </c>
      <c r="J29" s="47">
        <v>45527</v>
      </c>
      <c r="L29" s="1" t="s">
        <v>712</v>
      </c>
    </row>
    <row r="30" spans="4:12" x14ac:dyDescent="0.3">
      <c r="D30" s="1" t="s">
        <v>734</v>
      </c>
      <c r="E30" t="s">
        <v>622</v>
      </c>
      <c r="G30">
        <v>57</v>
      </c>
      <c r="J30" s="47">
        <v>45535</v>
      </c>
      <c r="L30" s="1" t="s">
        <v>735</v>
      </c>
    </row>
    <row r="31" spans="4:12" ht="28.8" x14ac:dyDescent="0.3">
      <c r="D31" s="1" t="s">
        <v>732</v>
      </c>
      <c r="E31" t="s">
        <v>622</v>
      </c>
      <c r="G31">
        <v>21</v>
      </c>
      <c r="J31" s="47">
        <v>45541</v>
      </c>
      <c r="L31" s="1" t="s">
        <v>733</v>
      </c>
    </row>
    <row r="32" spans="4:12" ht="57.6" x14ac:dyDescent="0.3">
      <c r="D32" s="1" t="s">
        <v>753</v>
      </c>
      <c r="E32" t="s">
        <v>622</v>
      </c>
      <c r="G32">
        <v>40</v>
      </c>
      <c r="J32" s="47">
        <v>45555</v>
      </c>
      <c r="L32" s="1" t="s">
        <v>754</v>
      </c>
    </row>
    <row r="33" spans="4:12" ht="28.8" x14ac:dyDescent="0.3">
      <c r="D33" t="s">
        <v>717</v>
      </c>
      <c r="E33" t="s">
        <v>718</v>
      </c>
      <c r="G33">
        <v>1500</v>
      </c>
      <c r="J33" s="47">
        <v>45427</v>
      </c>
      <c r="L33" s="1" t="s">
        <v>719</v>
      </c>
    </row>
    <row r="34" spans="4:12" ht="115.2" x14ac:dyDescent="0.3">
      <c r="D34" s="1" t="s">
        <v>717</v>
      </c>
      <c r="E34" t="s">
        <v>718</v>
      </c>
      <c r="G34">
        <v>4000</v>
      </c>
      <c r="J34" s="47">
        <v>45534</v>
      </c>
      <c r="L34" s="1" t="s">
        <v>773</v>
      </c>
    </row>
    <row r="35" spans="4:12" x14ac:dyDescent="0.3">
      <c r="D35" s="1" t="s">
        <v>774</v>
      </c>
      <c r="E35" t="s">
        <v>718</v>
      </c>
      <c r="G35">
        <v>180</v>
      </c>
      <c r="J35" s="47">
        <v>45564</v>
      </c>
      <c r="L35" s="1" t="s">
        <v>775</v>
      </c>
    </row>
    <row r="36" spans="4:12" x14ac:dyDescent="0.3">
      <c r="D36" s="1" t="s">
        <v>645</v>
      </c>
      <c r="E36" t="s">
        <v>644</v>
      </c>
      <c r="F36">
        <v>4000</v>
      </c>
      <c r="G36">
        <v>300</v>
      </c>
      <c r="J36" s="47">
        <v>45478</v>
      </c>
      <c r="L36" t="s">
        <v>646</v>
      </c>
    </row>
    <row r="37" spans="4:12" x14ac:dyDescent="0.3">
      <c r="D37" s="1" t="s">
        <v>645</v>
      </c>
      <c r="E37" t="s">
        <v>644</v>
      </c>
      <c r="G37">
        <v>100</v>
      </c>
      <c r="J37" s="47">
        <v>45485</v>
      </c>
      <c r="L37" t="s">
        <v>666</v>
      </c>
    </row>
    <row r="38" spans="4:12" x14ac:dyDescent="0.3">
      <c r="D38" s="1" t="s">
        <v>645</v>
      </c>
      <c r="E38" t="s">
        <v>644</v>
      </c>
      <c r="G38">
        <v>200</v>
      </c>
      <c r="J38" s="47">
        <v>45488</v>
      </c>
    </row>
    <row r="39" spans="4:12" x14ac:dyDescent="0.3">
      <c r="D39" s="1" t="s">
        <v>645</v>
      </c>
      <c r="E39" t="s">
        <v>644</v>
      </c>
      <c r="G39">
        <v>150</v>
      </c>
      <c r="J39" s="47">
        <v>45492</v>
      </c>
    </row>
    <row r="40" spans="4:12" ht="28.8" x14ac:dyDescent="0.3">
      <c r="D40" s="1" t="s">
        <v>645</v>
      </c>
      <c r="E40" t="s">
        <v>644</v>
      </c>
      <c r="G40">
        <v>660</v>
      </c>
      <c r="J40" s="47">
        <v>45498</v>
      </c>
      <c r="L40" s="1" t="s">
        <v>674</v>
      </c>
    </row>
    <row r="41" spans="4:12" x14ac:dyDescent="0.3">
      <c r="D41" s="1" t="s">
        <v>645</v>
      </c>
      <c r="E41" t="s">
        <v>644</v>
      </c>
      <c r="G41">
        <v>320</v>
      </c>
      <c r="J41" s="47">
        <v>45499</v>
      </c>
      <c r="L41" s="1" t="s">
        <v>675</v>
      </c>
    </row>
    <row r="42" spans="4:12" ht="28.8" x14ac:dyDescent="0.3">
      <c r="D42" s="1" t="s">
        <v>645</v>
      </c>
      <c r="E42" t="s">
        <v>644</v>
      </c>
      <c r="G42">
        <f xml:space="preserve"> 209.778 + 31.954 + 215</f>
        <v>456.73199999999997</v>
      </c>
      <c r="J42" s="47">
        <v>45506</v>
      </c>
      <c r="L42" s="1" t="s">
        <v>684</v>
      </c>
    </row>
    <row r="43" spans="4:12" ht="129.6" x14ac:dyDescent="0.3">
      <c r="D43" s="1" t="s">
        <v>694</v>
      </c>
      <c r="E43" t="s">
        <v>644</v>
      </c>
      <c r="G43">
        <f>130 + 1210</f>
        <v>1340</v>
      </c>
      <c r="J43" s="47">
        <v>45513</v>
      </c>
      <c r="L43" s="1" t="s">
        <v>700</v>
      </c>
    </row>
    <row r="44" spans="4:12" x14ac:dyDescent="0.3">
      <c r="D44" s="1" t="s">
        <v>695</v>
      </c>
      <c r="E44" t="s">
        <v>644</v>
      </c>
      <c r="G44">
        <v>57</v>
      </c>
      <c r="J44" s="47">
        <v>45513</v>
      </c>
      <c r="L44" s="1" t="s">
        <v>698</v>
      </c>
    </row>
    <row r="45" spans="4:12" ht="43.2" x14ac:dyDescent="0.3">
      <c r="D45" s="1" t="s">
        <v>713</v>
      </c>
      <c r="E45" t="s">
        <v>644</v>
      </c>
      <c r="G45">
        <v>35.167999999999999</v>
      </c>
      <c r="J45" s="47">
        <v>45519</v>
      </c>
      <c r="L45" s="1" t="s">
        <v>705</v>
      </c>
    </row>
    <row r="46" spans="4:12" ht="28.8" x14ac:dyDescent="0.3">
      <c r="D46" s="1" t="s">
        <v>715</v>
      </c>
      <c r="E46" t="s">
        <v>644</v>
      </c>
      <c r="G46">
        <v>950</v>
      </c>
      <c r="J46" s="47">
        <v>45524</v>
      </c>
      <c r="L46" s="1" t="s">
        <v>716</v>
      </c>
    </row>
    <row r="47" spans="4:12" ht="43.2" x14ac:dyDescent="0.3">
      <c r="D47" s="1" t="s">
        <v>714</v>
      </c>
      <c r="E47" t="s">
        <v>644</v>
      </c>
      <c r="G47">
        <v>58.002000000000002</v>
      </c>
      <c r="J47" s="47">
        <v>45527</v>
      </c>
      <c r="L47" s="1" t="s">
        <v>720</v>
      </c>
    </row>
    <row r="48" spans="4:12" ht="72" x14ac:dyDescent="0.3">
      <c r="D48" s="1" t="s">
        <v>721</v>
      </c>
      <c r="E48" t="s">
        <v>644</v>
      </c>
      <c r="G48">
        <v>435</v>
      </c>
      <c r="J48" s="47">
        <v>45534</v>
      </c>
      <c r="L48" s="1" t="s">
        <v>722</v>
      </c>
    </row>
    <row r="49" spans="4:12" ht="43.2" x14ac:dyDescent="0.3">
      <c r="D49" s="1" t="s">
        <v>645</v>
      </c>
      <c r="E49" t="s">
        <v>644</v>
      </c>
      <c r="G49">
        <v>109.735</v>
      </c>
      <c r="J49" s="47">
        <v>45534</v>
      </c>
      <c r="L49" s="1" t="s">
        <v>723</v>
      </c>
    </row>
    <row r="50" spans="4:12" x14ac:dyDescent="0.3">
      <c r="D50" s="1" t="s">
        <v>687</v>
      </c>
      <c r="E50" t="s">
        <v>644</v>
      </c>
      <c r="G50">
        <v>50</v>
      </c>
      <c r="J50" s="47">
        <v>45506</v>
      </c>
      <c r="L50" s="1" t="s">
        <v>688</v>
      </c>
    </row>
    <row r="51" spans="4:12" x14ac:dyDescent="0.3">
      <c r="D51" s="1" t="s">
        <v>730</v>
      </c>
      <c r="E51" t="s">
        <v>644</v>
      </c>
      <c r="G51">
        <v>46.624000000000002</v>
      </c>
      <c r="J51" s="47">
        <v>45539</v>
      </c>
      <c r="L51" s="1" t="s">
        <v>731</v>
      </c>
    </row>
    <row r="52" spans="4:12" ht="43.2" x14ac:dyDescent="0.3">
      <c r="D52" s="1" t="s">
        <v>728</v>
      </c>
      <c r="E52" t="s">
        <v>644</v>
      </c>
      <c r="G52">
        <v>357</v>
      </c>
      <c r="J52" s="47">
        <v>45541</v>
      </c>
      <c r="L52" s="1" t="s">
        <v>729</v>
      </c>
    </row>
    <row r="53" spans="4:12" ht="72" x14ac:dyDescent="0.3">
      <c r="D53" s="1" t="s">
        <v>742</v>
      </c>
      <c r="E53" t="s">
        <v>644</v>
      </c>
      <c r="G53">
        <v>69.468000000000004</v>
      </c>
      <c r="J53" s="47">
        <v>45549</v>
      </c>
      <c r="L53" s="1" t="s">
        <v>743</v>
      </c>
    </row>
    <row r="54" spans="4:12" ht="28.8" x14ac:dyDescent="0.3">
      <c r="D54" s="1" t="s">
        <v>740</v>
      </c>
      <c r="E54" t="s">
        <v>644</v>
      </c>
      <c r="G54">
        <v>27.446999999999999</v>
      </c>
      <c r="J54" s="47">
        <v>45550</v>
      </c>
      <c r="L54" s="1" t="s">
        <v>741</v>
      </c>
    </row>
    <row r="55" spans="4:12" ht="28.8" x14ac:dyDescent="0.3">
      <c r="D55" s="1" t="s">
        <v>757</v>
      </c>
      <c r="E55" t="s">
        <v>644</v>
      </c>
      <c r="G55">
        <v>647.44000000000005</v>
      </c>
      <c r="J55" s="47">
        <v>45555</v>
      </c>
      <c r="L55" s="1" t="s">
        <v>758</v>
      </c>
    </row>
    <row r="56" spans="4:12" x14ac:dyDescent="0.3">
      <c r="D56" s="1" t="s">
        <v>647</v>
      </c>
      <c r="E56" t="s">
        <v>663</v>
      </c>
      <c r="F56">
        <v>5000</v>
      </c>
      <c r="G56">
        <v>1040</v>
      </c>
      <c r="J56" s="47">
        <v>45478</v>
      </c>
      <c r="L56" t="s">
        <v>651</v>
      </c>
    </row>
    <row r="57" spans="4:12" ht="28.8" x14ac:dyDescent="0.3">
      <c r="D57" s="1" t="s">
        <v>647</v>
      </c>
      <c r="E57" t="s">
        <v>664</v>
      </c>
      <c r="G57">
        <v>700</v>
      </c>
      <c r="J57" s="47">
        <v>45485</v>
      </c>
      <c r="L57" s="1" t="s">
        <v>665</v>
      </c>
    </row>
    <row r="58" spans="4:12" ht="28.8" x14ac:dyDescent="0.3">
      <c r="D58" s="1" t="s">
        <v>647</v>
      </c>
      <c r="E58" s="1" t="s">
        <v>667</v>
      </c>
      <c r="G58">
        <f>160 + 155</f>
        <v>315</v>
      </c>
      <c r="J58" s="47">
        <v>45499</v>
      </c>
      <c r="L58" s="1" t="s">
        <v>668</v>
      </c>
    </row>
    <row r="59" spans="4:12" ht="43.2" x14ac:dyDescent="0.3">
      <c r="D59" s="1" t="s">
        <v>647</v>
      </c>
      <c r="E59" s="1" t="s">
        <v>690</v>
      </c>
      <c r="G59">
        <v>670</v>
      </c>
      <c r="J59" s="47">
        <v>45506</v>
      </c>
      <c r="L59" s="1" t="s">
        <v>691</v>
      </c>
    </row>
    <row r="60" spans="4:12" ht="43.2" x14ac:dyDescent="0.3">
      <c r="D60" s="1" t="s">
        <v>696</v>
      </c>
      <c r="E60" s="1" t="s">
        <v>697</v>
      </c>
      <c r="G60">
        <f xml:space="preserve"> 15.5 * 20 + 10</f>
        <v>320</v>
      </c>
      <c r="J60" s="47">
        <v>45519</v>
      </c>
      <c r="L60" s="1" t="s">
        <v>699</v>
      </c>
    </row>
    <row r="61" spans="4:12" ht="43.2" x14ac:dyDescent="0.3">
      <c r="D61" s="1" t="s">
        <v>709</v>
      </c>
      <c r="E61" s="1" t="s">
        <v>724</v>
      </c>
      <c r="G61">
        <v>427</v>
      </c>
      <c r="J61" s="47">
        <v>45527</v>
      </c>
      <c r="L61" s="1" t="s">
        <v>710</v>
      </c>
    </row>
    <row r="62" spans="4:12" ht="43.2" x14ac:dyDescent="0.3">
      <c r="D62" s="1" t="s">
        <v>709</v>
      </c>
      <c r="E62" s="1" t="s">
        <v>724</v>
      </c>
      <c r="G62">
        <v>400</v>
      </c>
      <c r="J62" s="47">
        <v>45534</v>
      </c>
      <c r="L62" s="1" t="s">
        <v>725</v>
      </c>
    </row>
    <row r="63" spans="4:12" ht="28.8" x14ac:dyDescent="0.3">
      <c r="D63" s="1" t="s">
        <v>709</v>
      </c>
      <c r="E63" s="1" t="s">
        <v>724</v>
      </c>
      <c r="G63">
        <f xml:space="preserve"> 108.5 + 10</f>
        <v>118.5</v>
      </c>
      <c r="J63" s="47">
        <v>45534</v>
      </c>
      <c r="L63" s="1" t="s">
        <v>726</v>
      </c>
    </row>
    <row r="64" spans="4:12" ht="28.8" x14ac:dyDescent="0.3">
      <c r="D64" s="1" t="s">
        <v>747</v>
      </c>
      <c r="E64" s="1" t="s">
        <v>748</v>
      </c>
      <c r="G64">
        <v>20</v>
      </c>
      <c r="J64" s="47">
        <v>45550</v>
      </c>
      <c r="L64" s="1" t="s">
        <v>749</v>
      </c>
    </row>
    <row r="65" spans="4:12" ht="28.8" x14ac:dyDescent="0.3">
      <c r="D65" s="1" t="s">
        <v>755</v>
      </c>
      <c r="E65" s="1" t="s">
        <v>748</v>
      </c>
      <c r="G65">
        <v>186</v>
      </c>
      <c r="J65" s="47">
        <v>45555</v>
      </c>
      <c r="L65" s="1" t="s">
        <v>756</v>
      </c>
    </row>
    <row r="66" spans="4:12" ht="28.8" x14ac:dyDescent="0.3">
      <c r="D66" s="1" t="s">
        <v>765</v>
      </c>
      <c r="E66" s="1" t="s">
        <v>766</v>
      </c>
      <c r="G66">
        <v>40</v>
      </c>
      <c r="J66" s="47">
        <v>45561</v>
      </c>
      <c r="L66" s="1" t="s">
        <v>767</v>
      </c>
    </row>
    <row r="67" spans="4:12" ht="30" customHeight="1" x14ac:dyDescent="0.3">
      <c r="D67" s="1" t="s">
        <v>678</v>
      </c>
      <c r="E67" s="1" t="s">
        <v>679</v>
      </c>
      <c r="G67">
        <v>180</v>
      </c>
      <c r="J67" s="47">
        <v>45499</v>
      </c>
      <c r="L67" s="1" t="s">
        <v>680</v>
      </c>
    </row>
    <row r="68" spans="4:12" ht="30" customHeight="1" x14ac:dyDescent="0.3">
      <c r="D68" s="1" t="s">
        <v>737</v>
      </c>
      <c r="E68" s="1" t="s">
        <v>679</v>
      </c>
      <c r="J68" s="47">
        <v>45506</v>
      </c>
      <c r="L68" s="1" t="s">
        <v>739</v>
      </c>
    </row>
    <row r="69" spans="4:12" ht="57.6" x14ac:dyDescent="0.3">
      <c r="D69" s="1" t="s">
        <v>759</v>
      </c>
      <c r="E69" s="1" t="s">
        <v>679</v>
      </c>
      <c r="G69">
        <v>2000</v>
      </c>
      <c r="J69" s="47">
        <v>45541</v>
      </c>
      <c r="L69" s="1" t="s">
        <v>738</v>
      </c>
    </row>
    <row r="70" spans="4:12" ht="43.2" x14ac:dyDescent="0.3">
      <c r="D70" s="1" t="s">
        <v>760</v>
      </c>
      <c r="E70" s="1" t="s">
        <v>679</v>
      </c>
      <c r="G70">
        <f xml:space="preserve"> 580 + 14</f>
        <v>594</v>
      </c>
      <c r="J70" s="47">
        <v>45561</v>
      </c>
      <c r="L70" s="1" t="s">
        <v>761</v>
      </c>
    </row>
    <row r="71" spans="4:12" x14ac:dyDescent="0.3">
      <c r="D71" s="1" t="s">
        <v>648</v>
      </c>
      <c r="E71" t="s">
        <v>649</v>
      </c>
      <c r="F71">
        <v>2000</v>
      </c>
      <c r="G71">
        <v>300</v>
      </c>
      <c r="J71" s="47">
        <v>45478</v>
      </c>
      <c r="L71" t="s">
        <v>650</v>
      </c>
    </row>
    <row r="72" spans="4:12" x14ac:dyDescent="0.3">
      <c r="D72" s="1" t="s">
        <v>648</v>
      </c>
      <c r="E72" t="s">
        <v>649</v>
      </c>
      <c r="G72">
        <v>200</v>
      </c>
      <c r="J72" s="47">
        <v>45485</v>
      </c>
    </row>
    <row r="73" spans="4:12" x14ac:dyDescent="0.3">
      <c r="D73" s="1" t="s">
        <v>648</v>
      </c>
      <c r="E73" t="s">
        <v>649</v>
      </c>
      <c r="G73">
        <f xml:space="preserve"> 99.119 + 27.152 +15.5</f>
        <v>141.77100000000002</v>
      </c>
      <c r="J73" s="47">
        <v>45492</v>
      </c>
    </row>
    <row r="74" spans="4:12" ht="28.8" x14ac:dyDescent="0.3">
      <c r="D74" s="1" t="s">
        <v>648</v>
      </c>
      <c r="E74" t="s">
        <v>649</v>
      </c>
      <c r="G74">
        <f xml:space="preserve"> 37 + 100 + 50 + 20 + 100</f>
        <v>307</v>
      </c>
      <c r="J74" s="47">
        <v>45498</v>
      </c>
      <c r="L74" s="1" t="s">
        <v>681</v>
      </c>
    </row>
    <row r="75" spans="4:12" x14ac:dyDescent="0.3">
      <c r="D75" s="1" t="s">
        <v>648</v>
      </c>
      <c r="E75" t="s">
        <v>649</v>
      </c>
      <c r="G75">
        <v>150</v>
      </c>
      <c r="J75" s="47">
        <v>45506</v>
      </c>
      <c r="L75" s="1" t="s">
        <v>689</v>
      </c>
    </row>
    <row r="76" spans="4:12" x14ac:dyDescent="0.3">
      <c r="D76" s="1" t="s">
        <v>648</v>
      </c>
      <c r="E76" t="s">
        <v>649</v>
      </c>
      <c r="G76">
        <f xml:space="preserve"> 57 + 100</f>
        <v>157</v>
      </c>
      <c r="J76" s="47">
        <v>45520</v>
      </c>
      <c r="L76" s="1" t="s">
        <v>689</v>
      </c>
    </row>
    <row r="77" spans="4:12" x14ac:dyDescent="0.3">
      <c r="D77" s="1" t="s">
        <v>648</v>
      </c>
      <c r="E77" t="s">
        <v>649</v>
      </c>
      <c r="G77">
        <f xml:space="preserve"> 65 + 63.873</f>
        <v>128.87299999999999</v>
      </c>
      <c r="J77" s="47">
        <v>45527</v>
      </c>
      <c r="L77" s="1" t="s">
        <v>689</v>
      </c>
    </row>
    <row r="78" spans="4:12" x14ac:dyDescent="0.3">
      <c r="D78" s="1" t="s">
        <v>648</v>
      </c>
      <c r="E78" t="s">
        <v>649</v>
      </c>
      <c r="G78">
        <f xml:space="preserve"> 50 + 100 + 50</f>
        <v>200</v>
      </c>
      <c r="J78" s="47">
        <v>45534</v>
      </c>
      <c r="L78" s="1" t="s">
        <v>689</v>
      </c>
    </row>
    <row r="79" spans="4:12" x14ac:dyDescent="0.3">
      <c r="D79" s="1" t="s">
        <v>648</v>
      </c>
      <c r="E79" t="s">
        <v>649</v>
      </c>
      <c r="G79">
        <f xml:space="preserve"> 43 + 20 + 70</f>
        <v>133</v>
      </c>
      <c r="J79" s="47">
        <v>45541</v>
      </c>
      <c r="L79" s="1" t="s">
        <v>689</v>
      </c>
    </row>
    <row r="80" spans="4:12" ht="22.2" customHeight="1" x14ac:dyDescent="0.3">
      <c r="D80" s="1" t="s">
        <v>648</v>
      </c>
      <c r="E80" t="s">
        <v>649</v>
      </c>
      <c r="G80">
        <f xml:space="preserve"> 200</f>
        <v>200</v>
      </c>
      <c r="J80" s="47">
        <v>45550</v>
      </c>
      <c r="L80" s="1" t="s">
        <v>744</v>
      </c>
    </row>
    <row r="81" spans="4:12" ht="22.2" customHeight="1" x14ac:dyDescent="0.3">
      <c r="D81" s="1" t="s">
        <v>648</v>
      </c>
      <c r="E81" t="s">
        <v>649</v>
      </c>
      <c r="G81">
        <v>200</v>
      </c>
      <c r="J81" s="47">
        <v>45555</v>
      </c>
      <c r="L81" s="1" t="s">
        <v>689</v>
      </c>
    </row>
    <row r="82" spans="4:12" ht="22.2" customHeight="1" x14ac:dyDescent="0.3">
      <c r="D82" s="1" t="s">
        <v>648</v>
      </c>
      <c r="E82" t="s">
        <v>649</v>
      </c>
      <c r="G82">
        <f xml:space="preserve"> 50 + 50</f>
        <v>100</v>
      </c>
      <c r="J82" s="47">
        <v>45561</v>
      </c>
      <c r="L82" s="1" t="s">
        <v>768</v>
      </c>
    </row>
    <row r="83" spans="4:12" ht="43.2" x14ac:dyDescent="0.3">
      <c r="D83" s="1" t="s">
        <v>652</v>
      </c>
      <c r="E83" t="s">
        <v>652</v>
      </c>
      <c r="F83">
        <v>8000</v>
      </c>
      <c r="G83">
        <v>5790</v>
      </c>
      <c r="J83" s="47">
        <v>45541</v>
      </c>
      <c r="L83" s="1" t="s">
        <v>736</v>
      </c>
    </row>
    <row r="84" spans="4:12" x14ac:dyDescent="0.3">
      <c r="D84" s="1" t="s">
        <v>653</v>
      </c>
      <c r="E84" t="s">
        <v>653</v>
      </c>
      <c r="F84">
        <v>10000</v>
      </c>
      <c r="J84" s="47"/>
      <c r="L84" t="s">
        <v>654</v>
      </c>
    </row>
    <row r="85" spans="4:12" ht="28.8" x14ac:dyDescent="0.3">
      <c r="D85" s="1" t="s">
        <v>673</v>
      </c>
      <c r="E85" t="s">
        <v>671</v>
      </c>
      <c r="G85">
        <v>7450</v>
      </c>
      <c r="J85" s="47">
        <v>45492</v>
      </c>
      <c r="L85" s="1" t="s">
        <v>669</v>
      </c>
    </row>
    <row r="86" spans="4:12" ht="28.8" x14ac:dyDescent="0.3">
      <c r="D86" s="1" t="s">
        <v>703</v>
      </c>
      <c r="E86" t="s">
        <v>671</v>
      </c>
      <c r="G86">
        <v>45</v>
      </c>
      <c r="J86" s="47">
        <v>45519</v>
      </c>
      <c r="L86" s="1" t="s">
        <v>704</v>
      </c>
    </row>
    <row r="87" spans="4:12" x14ac:dyDescent="0.3">
      <c r="D87" s="1" t="s">
        <v>672</v>
      </c>
      <c r="E87" t="s">
        <v>671</v>
      </c>
      <c r="F87">
        <v>2500</v>
      </c>
      <c r="J87" s="47"/>
      <c r="L87" s="1" t="s">
        <v>670</v>
      </c>
    </row>
    <row r="88" spans="4:12" x14ac:dyDescent="0.3">
      <c r="D88" s="1" t="s">
        <v>706</v>
      </c>
      <c r="E88" t="s">
        <v>707</v>
      </c>
      <c r="G88">
        <v>230</v>
      </c>
      <c r="J88" s="47">
        <v>45519</v>
      </c>
      <c r="L88" s="1" t="s">
        <v>708</v>
      </c>
    </row>
    <row r="89" spans="4:12" ht="86.4" x14ac:dyDescent="0.3">
      <c r="D89" s="1" t="s">
        <v>692</v>
      </c>
      <c r="G89">
        <v>2950</v>
      </c>
      <c r="J89" s="47">
        <v>45527</v>
      </c>
      <c r="L89" s="1" t="s">
        <v>693</v>
      </c>
    </row>
    <row r="90" spans="4:12" x14ac:dyDescent="0.3">
      <c r="D90" s="1" t="s">
        <v>685</v>
      </c>
      <c r="E90" t="s">
        <v>660</v>
      </c>
      <c r="G90">
        <f xml:space="preserve"> 450</f>
        <v>450</v>
      </c>
      <c r="J90" s="47">
        <v>45506</v>
      </c>
      <c r="L90" s="1" t="s">
        <v>686</v>
      </c>
    </row>
    <row r="91" spans="4:12" ht="57.6" x14ac:dyDescent="0.3">
      <c r="D91" s="1" t="s">
        <v>762</v>
      </c>
      <c r="E91" t="s">
        <v>659</v>
      </c>
      <c r="G91">
        <f xml:space="preserve"> 590 + 14</f>
        <v>604</v>
      </c>
      <c r="J91" s="47">
        <v>45561</v>
      </c>
      <c r="L91" s="1" t="s">
        <v>763</v>
      </c>
    </row>
    <row r="92" spans="4:12" ht="28.8" x14ac:dyDescent="0.3">
      <c r="D92" s="1" t="s">
        <v>770</v>
      </c>
      <c r="E92" t="s">
        <v>661</v>
      </c>
      <c r="F92">
        <v>2000</v>
      </c>
      <c r="G92">
        <v>1800</v>
      </c>
      <c r="J92" s="47">
        <v>45562</v>
      </c>
      <c r="L92" s="1" t="s">
        <v>771</v>
      </c>
    </row>
    <row r="93" spans="4:12" x14ac:dyDescent="0.3">
      <c r="D93" s="1" t="s">
        <v>769</v>
      </c>
      <c r="E93" t="s">
        <v>661</v>
      </c>
      <c r="G93">
        <v>1100</v>
      </c>
      <c r="J93" s="47">
        <v>45562</v>
      </c>
      <c r="L93" t="s">
        <v>772</v>
      </c>
    </row>
    <row r="94" spans="4:12" ht="43.2" x14ac:dyDescent="0.3">
      <c r="D94" s="1" t="s">
        <v>662</v>
      </c>
      <c r="E94" t="s">
        <v>662</v>
      </c>
      <c r="F94">
        <v>200</v>
      </c>
      <c r="G94">
        <v>69.875</v>
      </c>
      <c r="J94" s="47">
        <v>45541</v>
      </c>
      <c r="L94" s="1" t="s">
        <v>727</v>
      </c>
    </row>
    <row r="95" spans="4:12" ht="28.8" x14ac:dyDescent="0.3">
      <c r="D95" s="1" t="s">
        <v>750</v>
      </c>
      <c r="E95" t="s">
        <v>745</v>
      </c>
      <c r="G95">
        <v>150</v>
      </c>
      <c r="J95" s="47">
        <v>45550</v>
      </c>
      <c r="L95" s="1" t="s">
        <v>746</v>
      </c>
    </row>
    <row r="96" spans="4:12" x14ac:dyDescent="0.3">
      <c r="D96" s="1" t="s">
        <v>751</v>
      </c>
      <c r="E96" t="s">
        <v>745</v>
      </c>
      <c r="G96">
        <v>50</v>
      </c>
      <c r="J96" s="47">
        <v>45550</v>
      </c>
      <c r="L96" t="s">
        <v>752</v>
      </c>
    </row>
    <row r="97" spans="4:12" ht="43.2" x14ac:dyDescent="0.3">
      <c r="D97" s="1" t="s">
        <v>751</v>
      </c>
      <c r="E97" t="s">
        <v>745</v>
      </c>
      <c r="G97">
        <v>40</v>
      </c>
      <c r="J97" s="47">
        <v>45561</v>
      </c>
      <c r="L97" s="1" t="s">
        <v>764</v>
      </c>
    </row>
    <row r="98" spans="4:12" ht="72" x14ac:dyDescent="0.3">
      <c r="D98" s="1" t="s">
        <v>777</v>
      </c>
      <c r="E98" t="s">
        <v>658</v>
      </c>
      <c r="F98">
        <v>2800</v>
      </c>
      <c r="G98">
        <f>400+500+1000 + 100 + 100</f>
        <v>2100</v>
      </c>
      <c r="J98" s="47">
        <v>45801</v>
      </c>
      <c r="L98" s="1" t="s">
        <v>781</v>
      </c>
    </row>
    <row r="99" spans="4:12" ht="72" x14ac:dyDescent="0.3">
      <c r="D99" s="1" t="s">
        <v>780</v>
      </c>
      <c r="E99" t="s">
        <v>658</v>
      </c>
      <c r="F99">
        <v>4000</v>
      </c>
      <c r="G99">
        <f>1000+400+150+200+200</f>
        <v>1950</v>
      </c>
      <c r="J99" s="47">
        <v>45731</v>
      </c>
      <c r="L99" s="1" t="s">
        <v>778</v>
      </c>
    </row>
    <row r="100" spans="4:12" ht="43.2" x14ac:dyDescent="0.3">
      <c r="D100" s="1" t="s">
        <v>779</v>
      </c>
      <c r="E100" s="1" t="s">
        <v>425</v>
      </c>
      <c r="F100">
        <v>5000</v>
      </c>
      <c r="G100">
        <f>2500 + 2100</f>
        <v>4600</v>
      </c>
      <c r="J100" s="47">
        <v>45805</v>
      </c>
      <c r="L100" s="1" t="s">
        <v>800</v>
      </c>
    </row>
    <row r="101" spans="4:12" ht="43.2" x14ac:dyDescent="0.3">
      <c r="D101" s="1" t="s">
        <v>782</v>
      </c>
      <c r="E101" t="s">
        <v>659</v>
      </c>
      <c r="F101">
        <v>4000</v>
      </c>
      <c r="G101">
        <v>3780</v>
      </c>
      <c r="J101" s="47">
        <v>45782</v>
      </c>
      <c r="L101" s="1" t="s">
        <v>783</v>
      </c>
    </row>
    <row r="102" spans="4:12" ht="43.2" x14ac:dyDescent="0.3">
      <c r="D102" s="1"/>
      <c r="E102" t="s">
        <v>659</v>
      </c>
      <c r="J102" s="47"/>
      <c r="L102" s="1" t="s">
        <v>784</v>
      </c>
    </row>
    <row r="103" spans="4:12" x14ac:dyDescent="0.3">
      <c r="D103" s="1" t="s">
        <v>655</v>
      </c>
      <c r="E103" t="s">
        <v>656</v>
      </c>
      <c r="F103">
        <v>1000</v>
      </c>
      <c r="G103">
        <f xml:space="preserve"> 8*45</f>
        <v>360</v>
      </c>
      <c r="J103" s="48">
        <v>45757</v>
      </c>
      <c r="L103" t="s">
        <v>657</v>
      </c>
    </row>
    <row r="104" spans="4:12" x14ac:dyDescent="0.3">
      <c r="D104" s="1" t="s">
        <v>790</v>
      </c>
      <c r="E104" t="s">
        <v>656</v>
      </c>
      <c r="F104">
        <v>70</v>
      </c>
      <c r="G104">
        <v>200</v>
      </c>
      <c r="J104" s="48">
        <v>45758</v>
      </c>
      <c r="L104" t="s">
        <v>789</v>
      </c>
    </row>
    <row r="105" spans="4:12" x14ac:dyDescent="0.3">
      <c r="D105" s="1" t="s">
        <v>792</v>
      </c>
      <c r="E105" t="s">
        <v>656</v>
      </c>
      <c r="F105">
        <v>200</v>
      </c>
      <c r="G105">
        <v>200</v>
      </c>
      <c r="J105" s="48">
        <v>45759</v>
      </c>
    </row>
    <row r="106" spans="4:12" x14ac:dyDescent="0.3">
      <c r="D106" s="1" t="s">
        <v>793</v>
      </c>
      <c r="E106" t="s">
        <v>656</v>
      </c>
      <c r="F106">
        <v>100</v>
      </c>
      <c r="G106">
        <v>100</v>
      </c>
      <c r="J106" s="48">
        <v>45760</v>
      </c>
    </row>
    <row r="107" spans="4:12" x14ac:dyDescent="0.3">
      <c r="D107" s="1" t="s">
        <v>791</v>
      </c>
      <c r="E107" t="s">
        <v>656</v>
      </c>
      <c r="F107">
        <v>200</v>
      </c>
      <c r="G107">
        <v>200</v>
      </c>
      <c r="J107" s="48">
        <v>45761</v>
      </c>
    </row>
    <row r="108" spans="4:12" x14ac:dyDescent="0.3">
      <c r="D108" s="1" t="s">
        <v>794</v>
      </c>
      <c r="E108" t="s">
        <v>656</v>
      </c>
      <c r="F108">
        <v>200</v>
      </c>
      <c r="G108">
        <v>200</v>
      </c>
      <c r="J108" s="47">
        <v>45792</v>
      </c>
    </row>
    <row r="109" spans="4:12" x14ac:dyDescent="0.3">
      <c r="D109" s="1" t="s">
        <v>795</v>
      </c>
      <c r="E109" t="s">
        <v>656</v>
      </c>
      <c r="F109">
        <v>20</v>
      </c>
      <c r="G109">
        <v>48</v>
      </c>
      <c r="J109" s="47">
        <v>45797</v>
      </c>
      <c r="L109" t="s">
        <v>817</v>
      </c>
    </row>
    <row r="110" spans="4:12" x14ac:dyDescent="0.3">
      <c r="D110" s="1" t="s">
        <v>796</v>
      </c>
      <c r="E110" t="s">
        <v>656</v>
      </c>
      <c r="F110">
        <v>119</v>
      </c>
      <c r="J110" s="47"/>
      <c r="L110" t="s">
        <v>816</v>
      </c>
    </row>
    <row r="111" spans="4:12" ht="28.8" x14ac:dyDescent="0.3">
      <c r="D111" s="1" t="s">
        <v>797</v>
      </c>
      <c r="E111" t="s">
        <v>656</v>
      </c>
      <c r="F111">
        <v>150</v>
      </c>
      <c r="G111">
        <v>110</v>
      </c>
      <c r="J111" s="47">
        <v>45805</v>
      </c>
      <c r="L111" s="1" t="s">
        <v>798</v>
      </c>
    </row>
    <row r="112" spans="4:12" x14ac:dyDescent="0.3">
      <c r="D112" s="1" t="s">
        <v>799</v>
      </c>
      <c r="E112" t="s">
        <v>656</v>
      </c>
      <c r="F112">
        <v>20</v>
      </c>
      <c r="G112">
        <v>17</v>
      </c>
      <c r="J112" s="47">
        <v>45792</v>
      </c>
      <c r="L112" s="1"/>
    </row>
    <row r="113" spans="4:12" ht="43.2" x14ac:dyDescent="0.3">
      <c r="D113" s="1" t="s">
        <v>787</v>
      </c>
      <c r="E113" t="s">
        <v>660</v>
      </c>
      <c r="F113">
        <v>2000</v>
      </c>
      <c r="G113">
        <v>2600</v>
      </c>
      <c r="J113" s="47">
        <v>45797</v>
      </c>
      <c r="L113" s="1" t="s">
        <v>785</v>
      </c>
    </row>
    <row r="114" spans="4:12" ht="43.2" x14ac:dyDescent="0.3">
      <c r="D114" s="1" t="s">
        <v>786</v>
      </c>
      <c r="E114" t="s">
        <v>660</v>
      </c>
      <c r="F114">
        <v>100</v>
      </c>
      <c r="G114">
        <v>120</v>
      </c>
      <c r="J114" s="47">
        <v>45801</v>
      </c>
      <c r="L114" s="1" t="s">
        <v>788</v>
      </c>
    </row>
    <row r="115" spans="4:12" ht="28.8" x14ac:dyDescent="0.3">
      <c r="D115" s="1" t="s">
        <v>801</v>
      </c>
      <c r="E115" t="s">
        <v>659</v>
      </c>
      <c r="F115">
        <v>1500</v>
      </c>
      <c r="G115">
        <f xml:space="preserve"> 900+200</f>
        <v>1100</v>
      </c>
      <c r="J115" s="47">
        <v>45860</v>
      </c>
      <c r="L115" s="1" t="s">
        <v>802</v>
      </c>
    </row>
    <row r="116" spans="4:12" ht="28.8" x14ac:dyDescent="0.3">
      <c r="D116" s="1" t="s">
        <v>803</v>
      </c>
      <c r="E116" t="s">
        <v>805</v>
      </c>
      <c r="F116">
        <v>2500</v>
      </c>
      <c r="G116">
        <f>1300 + 200</f>
        <v>1500</v>
      </c>
      <c r="J116" s="47">
        <v>45876</v>
      </c>
      <c r="L116" s="1" t="s">
        <v>804</v>
      </c>
    </row>
    <row r="117" spans="4:12" ht="72" x14ac:dyDescent="0.3">
      <c r="D117" s="1" t="s">
        <v>814</v>
      </c>
      <c r="E117" t="s">
        <v>659</v>
      </c>
      <c r="F117">
        <v>450</v>
      </c>
      <c r="G117">
        <v>280</v>
      </c>
      <c r="J117" s="47">
        <v>45876</v>
      </c>
      <c r="L117" s="1" t="s">
        <v>815</v>
      </c>
    </row>
    <row r="118" spans="4:12" x14ac:dyDescent="0.3">
      <c r="D118" s="1" t="s">
        <v>806</v>
      </c>
      <c r="E118" t="s">
        <v>805</v>
      </c>
      <c r="F118">
        <v>1000</v>
      </c>
      <c r="G118">
        <v>800</v>
      </c>
      <c r="J118" s="47">
        <v>45852</v>
      </c>
      <c r="L118" t="s">
        <v>807</v>
      </c>
    </row>
    <row r="119" spans="4:12" x14ac:dyDescent="0.3">
      <c r="D119" s="1" t="s">
        <v>809</v>
      </c>
      <c r="E119" t="s">
        <v>659</v>
      </c>
      <c r="F119">
        <v>300</v>
      </c>
      <c r="G119">
        <v>238</v>
      </c>
      <c r="J119" s="47">
        <v>45870</v>
      </c>
      <c r="L119" t="s">
        <v>810</v>
      </c>
    </row>
    <row r="120" spans="4:12" x14ac:dyDescent="0.3">
      <c r="D120" s="1" t="s">
        <v>808</v>
      </c>
      <c r="E120" t="s">
        <v>659</v>
      </c>
      <c r="F120">
        <v>280</v>
      </c>
      <c r="G120">
        <f>130*2</f>
        <v>260</v>
      </c>
      <c r="J120" s="47">
        <v>45857</v>
      </c>
      <c r="L120" t="s">
        <v>811</v>
      </c>
    </row>
    <row r="121" spans="4:12" x14ac:dyDescent="0.3">
      <c r="D121" s="1" t="s">
        <v>812</v>
      </c>
      <c r="E121" t="s">
        <v>659</v>
      </c>
      <c r="F121">
        <v>800</v>
      </c>
      <c r="G121">
        <v>800</v>
      </c>
      <c r="J121" s="47">
        <v>45889</v>
      </c>
      <c r="L121" t="s">
        <v>813</v>
      </c>
    </row>
    <row r="122" spans="4:12" x14ac:dyDescent="0.3">
      <c r="D122" s="1" t="s">
        <v>818</v>
      </c>
      <c r="E122" t="s">
        <v>425</v>
      </c>
      <c r="F122">
        <v>300</v>
      </c>
      <c r="J122" s="47"/>
    </row>
  </sheetData>
  <phoneticPr fontId="4" type="noConversion"/>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F5E5E-F6F1-457F-A396-998BFB3B2D87}">
  <dimension ref="C6:G11"/>
  <sheetViews>
    <sheetView tabSelected="1" topLeftCell="A4" workbookViewId="0">
      <selection activeCell="J10" sqref="J10"/>
    </sheetView>
  </sheetViews>
  <sheetFormatPr defaultRowHeight="14.4" x14ac:dyDescent="0.3"/>
  <cols>
    <col min="3" max="3" width="40.33203125" customWidth="1"/>
    <col min="4" max="4" width="26.88671875" customWidth="1"/>
    <col min="5" max="5" width="17.88671875" customWidth="1"/>
    <col min="6" max="6" width="15.33203125" customWidth="1"/>
    <col min="7" max="7" width="19.6640625" customWidth="1"/>
  </cols>
  <sheetData>
    <row r="6" spans="3:7" x14ac:dyDescent="0.3">
      <c r="C6" t="s">
        <v>821</v>
      </c>
      <c r="D6" t="s">
        <v>820</v>
      </c>
      <c r="E6" t="s">
        <v>822</v>
      </c>
      <c r="F6" t="s">
        <v>131</v>
      </c>
      <c r="G6" t="s">
        <v>1</v>
      </c>
    </row>
    <row r="7" spans="3:7" x14ac:dyDescent="0.3">
      <c r="C7" t="s">
        <v>819</v>
      </c>
      <c r="D7">
        <f>(1400 + 12000) / 2</f>
        <v>6700</v>
      </c>
      <c r="E7">
        <v>2000</v>
      </c>
      <c r="F7" s="24">
        <v>45901</v>
      </c>
    </row>
    <row r="8" spans="3:7" x14ac:dyDescent="0.3">
      <c r="C8" t="s">
        <v>823</v>
      </c>
      <c r="D8">
        <f>1200/2</f>
        <v>600</v>
      </c>
      <c r="E8">
        <v>600</v>
      </c>
      <c r="F8" s="24">
        <v>45901</v>
      </c>
    </row>
    <row r="9" spans="3:7" x14ac:dyDescent="0.3">
      <c r="C9" t="s">
        <v>824</v>
      </c>
      <c r="D9">
        <f>1000 + 1000</f>
        <v>2000</v>
      </c>
    </row>
    <row r="10" spans="3:7" ht="216" x14ac:dyDescent="0.3">
      <c r="C10" t="s">
        <v>825</v>
      </c>
      <c r="D10">
        <f xml:space="preserve"> 280 + 273 + 90 + 40 + 50 + 24 + 36 + 70 + 170</f>
        <v>1033</v>
      </c>
      <c r="G10" s="1" t="s">
        <v>826</v>
      </c>
    </row>
    <row r="11" spans="3:7" ht="43.2" customHeight="1" x14ac:dyDescent="0.3">
      <c r="C11" t="s">
        <v>827</v>
      </c>
      <c r="D11">
        <v>1000</v>
      </c>
      <c r="E11">
        <v>1000</v>
      </c>
      <c r="F11" s="24">
        <v>45901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C2:G22"/>
  <sheetViews>
    <sheetView topLeftCell="A2" workbookViewId="0">
      <selection activeCell="F9" sqref="F9"/>
    </sheetView>
  </sheetViews>
  <sheetFormatPr defaultRowHeight="14.4" x14ac:dyDescent="0.3"/>
  <cols>
    <col min="3" max="3" width="20" customWidth="1"/>
    <col min="4" max="4" width="13.44140625" customWidth="1"/>
    <col min="5" max="5" width="12.6640625" customWidth="1"/>
    <col min="6" max="6" width="10.88671875" customWidth="1"/>
    <col min="7" max="7" width="18.44140625" bestFit="1" customWidth="1"/>
  </cols>
  <sheetData>
    <row r="2" spans="3:7" x14ac:dyDescent="0.3">
      <c r="C2" s="49" t="s">
        <v>50</v>
      </c>
      <c r="D2" s="49"/>
      <c r="E2">
        <v>60000</v>
      </c>
    </row>
    <row r="3" spans="3:7" x14ac:dyDescent="0.3">
      <c r="C3" s="49" t="s">
        <v>51</v>
      </c>
      <c r="D3" s="49"/>
      <c r="E3" s="4">
        <f xml:space="preserve"> (E2 - '2017 Spendings'!F3) / 12</f>
        <v>1374.8333333333333</v>
      </c>
    </row>
    <row r="4" spans="3:7" x14ac:dyDescent="0.3">
      <c r="C4" s="49" t="s">
        <v>52</v>
      </c>
      <c r="D4" s="49"/>
      <c r="E4">
        <v>5000</v>
      </c>
    </row>
    <row r="5" spans="3:7" x14ac:dyDescent="0.3">
      <c r="C5" s="49" t="s">
        <v>54</v>
      </c>
      <c r="D5" s="49"/>
      <c r="E5">
        <v>6943.058</v>
      </c>
    </row>
    <row r="7" spans="3:7" x14ac:dyDescent="0.3">
      <c r="D7" t="s">
        <v>45</v>
      </c>
      <c r="E7" t="s">
        <v>48</v>
      </c>
      <c r="F7" t="s">
        <v>46</v>
      </c>
      <c r="G7" t="s">
        <v>53</v>
      </c>
    </row>
    <row r="8" spans="3:7" x14ac:dyDescent="0.3">
      <c r="D8" s="6">
        <v>42887</v>
      </c>
      <c r="E8" s="4">
        <f>E$3</f>
        <v>1374.8333333333333</v>
      </c>
      <c r="F8">
        <v>0</v>
      </c>
      <c r="G8">
        <v>0</v>
      </c>
    </row>
    <row r="9" spans="3:7" x14ac:dyDescent="0.3">
      <c r="D9" s="6">
        <v>42917</v>
      </c>
      <c r="E9" s="4">
        <f xml:space="preserve"> E8 + E$3</f>
        <v>2749.6666666666665</v>
      </c>
      <c r="F9">
        <v>1000</v>
      </c>
      <c r="G9">
        <v>1000</v>
      </c>
    </row>
    <row r="10" spans="3:7" x14ac:dyDescent="0.3">
      <c r="D10" s="6">
        <v>42948</v>
      </c>
      <c r="E10" s="4">
        <f t="shared" ref="E10:E20" si="0" xml:space="preserve"> E9 + E$3</f>
        <v>4124.5</v>
      </c>
      <c r="F10">
        <v>2500</v>
      </c>
      <c r="G10">
        <f>Table2[[#This Row],[Actual]] - F9</f>
        <v>1500</v>
      </c>
    </row>
    <row r="11" spans="3:7" x14ac:dyDescent="0.3">
      <c r="D11" s="6">
        <v>42979</v>
      </c>
      <c r="E11" s="4">
        <f t="shared" si="0"/>
        <v>5499.333333333333</v>
      </c>
      <c r="F11">
        <v>4000</v>
      </c>
      <c r="G11">
        <f>Table2[[#This Row],[Actual]] - F10</f>
        <v>1500</v>
      </c>
    </row>
    <row r="12" spans="3:7" x14ac:dyDescent="0.3">
      <c r="D12" s="6">
        <v>43009</v>
      </c>
      <c r="E12" s="4">
        <f t="shared" si="0"/>
        <v>6874.1666666666661</v>
      </c>
      <c r="F12">
        <v>5500</v>
      </c>
      <c r="G12">
        <f>Table2[[#This Row],[Actual]] - F11</f>
        <v>1500</v>
      </c>
    </row>
    <row r="13" spans="3:7" x14ac:dyDescent="0.3">
      <c r="D13" s="6">
        <v>43040</v>
      </c>
      <c r="E13" s="4">
        <f t="shared" si="0"/>
        <v>8249</v>
      </c>
      <c r="F13">
        <v>7000</v>
      </c>
      <c r="G13">
        <f>Table2[[#This Row],[Actual]] - F12</f>
        <v>1500</v>
      </c>
    </row>
    <row r="14" spans="3:7" x14ac:dyDescent="0.3">
      <c r="D14" s="6">
        <v>43070</v>
      </c>
      <c r="E14" s="4">
        <f t="shared" si="0"/>
        <v>9623.8333333333339</v>
      </c>
      <c r="F14">
        <v>8500</v>
      </c>
      <c r="G14">
        <f>Table2[[#This Row],[Actual]] - F13</f>
        <v>1500</v>
      </c>
    </row>
    <row r="15" spans="3:7" x14ac:dyDescent="0.3">
      <c r="D15" s="6">
        <v>43101</v>
      </c>
      <c r="E15" s="4">
        <f t="shared" si="0"/>
        <v>10998.666666666668</v>
      </c>
      <c r="F15">
        <v>10000</v>
      </c>
      <c r="G15">
        <f>Table2[[#This Row],[Actual]] - F14</f>
        <v>1500</v>
      </c>
    </row>
    <row r="16" spans="3:7" x14ac:dyDescent="0.3">
      <c r="D16" s="6">
        <v>43132</v>
      </c>
      <c r="E16" s="4">
        <f t="shared" si="0"/>
        <v>12373.500000000002</v>
      </c>
      <c r="F16">
        <v>12000</v>
      </c>
      <c r="G16">
        <f>Table2[[#This Row],[Actual]] - F15</f>
        <v>2000</v>
      </c>
    </row>
    <row r="17" spans="4:7" x14ac:dyDescent="0.3">
      <c r="D17" s="6">
        <v>43160</v>
      </c>
      <c r="E17" s="4">
        <f t="shared" si="0"/>
        <v>13748.333333333336</v>
      </c>
      <c r="F17">
        <v>14500</v>
      </c>
      <c r="G17">
        <f>Table2[[#This Row],[Actual]] - F16</f>
        <v>2500</v>
      </c>
    </row>
    <row r="18" spans="4:7" x14ac:dyDescent="0.3">
      <c r="D18" s="6">
        <v>43191</v>
      </c>
      <c r="E18" s="4">
        <f t="shared" si="0"/>
        <v>15123.16666666667</v>
      </c>
      <c r="F18">
        <v>15500</v>
      </c>
      <c r="G18">
        <f>Table2[[#This Row],[Actual]] - F17</f>
        <v>1000</v>
      </c>
    </row>
    <row r="19" spans="4:7" x14ac:dyDescent="0.3">
      <c r="D19" s="6">
        <v>43221</v>
      </c>
      <c r="E19" s="4">
        <f t="shared" si="0"/>
        <v>16498.000000000004</v>
      </c>
      <c r="F19">
        <v>16900</v>
      </c>
      <c r="G19">
        <f>Table2[[#This Row],[Actual]] - F18</f>
        <v>1400</v>
      </c>
    </row>
    <row r="20" spans="4:7" x14ac:dyDescent="0.3">
      <c r="D20" s="6">
        <v>43252</v>
      </c>
      <c r="E20" s="4">
        <f t="shared" si="0"/>
        <v>17872.833333333336</v>
      </c>
      <c r="F20">
        <v>17800</v>
      </c>
      <c r="G20">
        <f>Table2[[#This Row],[Actual]] - F19</f>
        <v>900</v>
      </c>
    </row>
    <row r="21" spans="4:7" x14ac:dyDescent="0.3">
      <c r="E21" s="4"/>
    </row>
    <row r="22" spans="4:7" x14ac:dyDescent="0.3">
      <c r="D22" s="7" t="s">
        <v>47</v>
      </c>
      <c r="E22" s="4">
        <f xml:space="preserve"> E20 + $E$4</f>
        <v>22872.833333333336</v>
      </c>
      <c r="F22" s="9">
        <f xml:space="preserve"> F20 + $E$5</f>
        <v>24743.058000000001</v>
      </c>
    </row>
  </sheetData>
  <mergeCells count="4">
    <mergeCell ref="C3:D3"/>
    <mergeCell ref="C4:D4"/>
    <mergeCell ref="C2:D2"/>
    <mergeCell ref="C5:D5"/>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3:L94"/>
  <sheetViews>
    <sheetView topLeftCell="H58" zoomScale="70" zoomScaleNormal="70" workbookViewId="0">
      <selection activeCell="K67" sqref="K67"/>
    </sheetView>
  </sheetViews>
  <sheetFormatPr defaultRowHeight="14.4" x14ac:dyDescent="0.3"/>
  <cols>
    <col min="2" max="2" width="32.109375" bestFit="1" customWidth="1"/>
    <col min="3" max="3" width="17.44140625" bestFit="1" customWidth="1"/>
    <col min="4" max="4" width="15" customWidth="1"/>
    <col min="5" max="5" width="39.5546875" customWidth="1"/>
    <col min="6" max="6" width="25.5546875" customWidth="1"/>
    <col min="7" max="7" width="30.109375" customWidth="1"/>
    <col min="8" max="8" width="32.5546875" bestFit="1" customWidth="1"/>
    <col min="9" max="9" width="24.5546875" customWidth="1"/>
    <col min="10" max="10" width="39.6640625" customWidth="1"/>
    <col min="11" max="11" width="75.5546875" customWidth="1"/>
    <col min="12" max="12" width="76.44140625" bestFit="1" customWidth="1"/>
  </cols>
  <sheetData>
    <row r="3" spans="5:12" x14ac:dyDescent="0.3">
      <c r="E3" s="5" t="s">
        <v>21</v>
      </c>
      <c r="F3">
        <f xml:space="preserve"> SUM(Table14[Expense (TND)
- Forecasted -])</f>
        <v>53113.599999999999</v>
      </c>
    </row>
    <row r="4" spans="5:12" x14ac:dyDescent="0.3">
      <c r="E4" s="5" t="s">
        <v>22</v>
      </c>
      <c r="F4" s="4">
        <f xml:space="preserve"> F3/12</f>
        <v>4426.1333333333332</v>
      </c>
    </row>
    <row r="6" spans="5:12" ht="28.8" x14ac:dyDescent="0.3">
      <c r="E6" s="2" t="s">
        <v>49</v>
      </c>
      <c r="F6" s="3" t="s">
        <v>152</v>
      </c>
      <c r="G6" s="3" t="s">
        <v>153</v>
      </c>
      <c r="H6" s="3" t="s">
        <v>16</v>
      </c>
      <c r="I6" s="2" t="s">
        <v>5</v>
      </c>
      <c r="J6" s="2" t="s">
        <v>94</v>
      </c>
      <c r="K6" s="2" t="s">
        <v>2</v>
      </c>
      <c r="L6" s="2" t="s">
        <v>1</v>
      </c>
    </row>
    <row r="7" spans="5:12" s="14" customFormat="1" ht="28.8" x14ac:dyDescent="0.3">
      <c r="E7" s="14" t="s">
        <v>4</v>
      </c>
      <c r="F7" s="14">
        <v>1000</v>
      </c>
      <c r="G7" s="14">
        <v>700</v>
      </c>
      <c r="H7" s="17">
        <f>Table14[[#This Row],[Expense (TND)
- Forecasted -]]/12</f>
        <v>83.333333333333329</v>
      </c>
      <c r="I7" s="14" t="s">
        <v>6</v>
      </c>
      <c r="J7" s="14" t="s">
        <v>96</v>
      </c>
      <c r="K7" s="14" t="s">
        <v>3</v>
      </c>
      <c r="L7" s="15" t="s">
        <v>57</v>
      </c>
    </row>
    <row r="8" spans="5:12" s="14" customFormat="1" ht="72" x14ac:dyDescent="0.3">
      <c r="E8" s="14" t="s">
        <v>17</v>
      </c>
      <c r="F8" s="14">
        <v>1420</v>
      </c>
      <c r="G8" s="14">
        <f xml:space="preserve"> 290</f>
        <v>290</v>
      </c>
      <c r="H8" s="17">
        <f>Table14[[#This Row],[Expense (TND)
- Forecasted -]]/12</f>
        <v>118.33333333333333</v>
      </c>
      <c r="I8" s="14" t="s">
        <v>6</v>
      </c>
      <c r="J8" s="14" t="s">
        <v>96</v>
      </c>
      <c r="K8" s="14" t="s">
        <v>3</v>
      </c>
      <c r="L8" s="15" t="s">
        <v>56</v>
      </c>
    </row>
    <row r="9" spans="5:12" s="14" customFormat="1" ht="32.25" customHeight="1" x14ac:dyDescent="0.3">
      <c r="E9" s="14" t="s">
        <v>19</v>
      </c>
      <c r="F9" s="14">
        <f xml:space="preserve"> 60 + 60 +60</f>
        <v>180</v>
      </c>
      <c r="G9" s="14">
        <f xml:space="preserve"> 60 + 60 +60</f>
        <v>180</v>
      </c>
      <c r="H9" s="17">
        <f>Table14[[#This Row],[Expense (TND)
- Forecasted -]]/12</f>
        <v>15</v>
      </c>
      <c r="I9" s="14" t="s">
        <v>6</v>
      </c>
      <c r="J9" s="14" t="s">
        <v>96</v>
      </c>
      <c r="K9" s="14" t="s">
        <v>3</v>
      </c>
      <c r="L9" s="14" t="s">
        <v>25</v>
      </c>
    </row>
    <row r="10" spans="5:12" s="14" customFormat="1" ht="43.2" x14ac:dyDescent="0.3">
      <c r="E10" s="14" t="s">
        <v>7</v>
      </c>
      <c r="F10" s="14">
        <f xml:space="preserve"> (300 *4)*12</f>
        <v>14400</v>
      </c>
      <c r="G10" s="14">
        <f xml:space="preserve"> (300 *4)*12</f>
        <v>14400</v>
      </c>
      <c r="H10" s="17">
        <f>Table14[[#This Row],[Expense (TND)
- Forecasted -]]/12</f>
        <v>1200</v>
      </c>
      <c r="I10" s="14" t="s">
        <v>6</v>
      </c>
      <c r="J10" s="14" t="s">
        <v>96</v>
      </c>
      <c r="K10" s="14" t="s">
        <v>3</v>
      </c>
      <c r="L10" s="15" t="s">
        <v>58</v>
      </c>
    </row>
    <row r="11" spans="5:12" s="14" customFormat="1" ht="43.2" x14ac:dyDescent="0.3">
      <c r="E11" s="14" t="s">
        <v>34</v>
      </c>
      <c r="F11" s="14">
        <v>1000</v>
      </c>
      <c r="G11" s="14">
        <v>1000</v>
      </c>
      <c r="H11" s="17">
        <f>Table14[[#This Row],[Expense (TND)
- Forecasted -]]/12</f>
        <v>83.333333333333329</v>
      </c>
      <c r="I11" s="14" t="s">
        <v>6</v>
      </c>
      <c r="J11" s="14" t="s">
        <v>96</v>
      </c>
      <c r="K11" s="14" t="s">
        <v>3</v>
      </c>
      <c r="L11" s="15" t="s">
        <v>44</v>
      </c>
    </row>
    <row r="12" spans="5:12" s="14" customFormat="1" ht="28.8" x14ac:dyDescent="0.3">
      <c r="E12" s="14" t="s">
        <v>10</v>
      </c>
      <c r="F12" s="14">
        <f xml:space="preserve"> 200 * 12</f>
        <v>2400</v>
      </c>
      <c r="G12" s="14">
        <f xml:space="preserve"> 200 * 12</f>
        <v>2400</v>
      </c>
      <c r="H12" s="17">
        <f>Table14[[#This Row],[Expense (TND)
- Forecasted -]]/12</f>
        <v>200</v>
      </c>
      <c r="I12" s="14" t="s">
        <v>8</v>
      </c>
      <c r="J12" s="14" t="s">
        <v>96</v>
      </c>
      <c r="K12" s="14" t="s">
        <v>3</v>
      </c>
      <c r="L12" s="15" t="s">
        <v>83</v>
      </c>
    </row>
    <row r="13" spans="5:12" s="14" customFormat="1" ht="28.8" x14ac:dyDescent="0.3">
      <c r="E13" s="14" t="s">
        <v>24</v>
      </c>
      <c r="F13" s="14">
        <f>1100*12</f>
        <v>13200</v>
      </c>
      <c r="G13" s="14">
        <f>1100*12</f>
        <v>13200</v>
      </c>
      <c r="H13" s="17">
        <f>Table14[[#This Row],[Expense (TND)
- Forecasted -]]/12</f>
        <v>1100</v>
      </c>
      <c r="I13" s="14" t="s">
        <v>6</v>
      </c>
      <c r="J13" s="14" t="s">
        <v>96</v>
      </c>
      <c r="K13" s="14" t="s">
        <v>3</v>
      </c>
      <c r="L13" s="15" t="s">
        <v>35</v>
      </c>
    </row>
    <row r="14" spans="5:12" s="14" customFormat="1" ht="244.8" x14ac:dyDescent="0.3">
      <c r="E14" s="14" t="s">
        <v>11</v>
      </c>
      <c r="F14" s="14">
        <v>1600</v>
      </c>
      <c r="G14" s="14">
        <f xml:space="preserve">  300 + (630 * 2) + 1200 + 500 + 1400</f>
        <v>4660</v>
      </c>
      <c r="H14" s="17">
        <f>Table14[[#This Row],[Expense (TND)
- Forecasted -]]/12</f>
        <v>133.33333333333334</v>
      </c>
      <c r="I14" s="14" t="s">
        <v>8</v>
      </c>
      <c r="J14" s="14" t="s">
        <v>95</v>
      </c>
      <c r="K14" s="14" t="s">
        <v>3</v>
      </c>
      <c r="L14" s="15" t="s">
        <v>201</v>
      </c>
    </row>
    <row r="15" spans="5:12" s="14" customFormat="1" ht="32.25" customHeight="1" x14ac:dyDescent="0.3">
      <c r="E15" s="14" t="s">
        <v>13</v>
      </c>
      <c r="F15" s="14">
        <f>30*4*12</f>
        <v>1440</v>
      </c>
      <c r="G15" s="14">
        <f>30*4*12</f>
        <v>1440</v>
      </c>
      <c r="H15" s="17">
        <f>Table14[[#This Row],[Expense (TND)
- Forecasted -]]/12</f>
        <v>120</v>
      </c>
      <c r="I15" s="14" t="s">
        <v>8</v>
      </c>
      <c r="J15" s="14" t="s">
        <v>96</v>
      </c>
      <c r="K15" s="14" t="s">
        <v>3</v>
      </c>
      <c r="L15" s="14" t="s">
        <v>14</v>
      </c>
    </row>
    <row r="16" spans="5:12" s="14" customFormat="1" ht="27" customHeight="1" x14ac:dyDescent="0.3">
      <c r="E16" s="14" t="s">
        <v>15</v>
      </c>
      <c r="F16" s="14">
        <v>310</v>
      </c>
      <c r="G16" s="14">
        <v>310</v>
      </c>
      <c r="H16" s="17">
        <f>Table14[[#This Row],[Expense (TND)
- Forecasted -]]/12</f>
        <v>25.833333333333332</v>
      </c>
      <c r="I16" s="14" t="s">
        <v>8</v>
      </c>
      <c r="J16" s="14" t="s">
        <v>96</v>
      </c>
      <c r="K16" s="14" t="s">
        <v>3</v>
      </c>
    </row>
    <row r="17" spans="5:12" s="14" customFormat="1" ht="29.25" customHeight="1" x14ac:dyDescent="0.3">
      <c r="E17" s="14" t="s">
        <v>33</v>
      </c>
      <c r="F17" s="14">
        <v>1100</v>
      </c>
      <c r="G17" s="14">
        <v>1100</v>
      </c>
      <c r="H17" s="17">
        <f>Table14[[#This Row],[Expense (TND)
- Forecasted -]]/12</f>
        <v>91.666666666666671</v>
      </c>
      <c r="I17" s="14" t="s">
        <v>8</v>
      </c>
      <c r="J17" s="14" t="s">
        <v>96</v>
      </c>
      <c r="K17" s="14" t="s">
        <v>3</v>
      </c>
    </row>
    <row r="18" spans="5:12" s="14" customFormat="1" ht="28.8" x14ac:dyDescent="0.3">
      <c r="E18" s="14" t="s">
        <v>23</v>
      </c>
      <c r="F18" s="14">
        <f xml:space="preserve"> 35 *12</f>
        <v>420</v>
      </c>
      <c r="G18" s="14">
        <f xml:space="preserve"> 35 *12</f>
        <v>420</v>
      </c>
      <c r="H18" s="17">
        <f>Table14[[#This Row],[Expense (TND)
- Forecasted -]]/12</f>
        <v>35</v>
      </c>
      <c r="I18" s="14" t="s">
        <v>6</v>
      </c>
      <c r="J18" s="14" t="s">
        <v>96</v>
      </c>
      <c r="K18" s="14" t="s">
        <v>3</v>
      </c>
      <c r="L18" s="15" t="s">
        <v>20</v>
      </c>
    </row>
    <row r="19" spans="5:12" s="14" customFormat="1" ht="43.2" x14ac:dyDescent="0.3">
      <c r="E19" s="14" t="s">
        <v>26</v>
      </c>
      <c r="F19" s="14">
        <v>500</v>
      </c>
      <c r="G19" s="14">
        <f xml:space="preserve"> 400 + 200 + 100</f>
        <v>700</v>
      </c>
      <c r="H19" s="17">
        <f>Table14[[#This Row],[Expense (TND)
- Forecasted -]]/12</f>
        <v>41.666666666666664</v>
      </c>
      <c r="I19" s="14" t="s">
        <v>8</v>
      </c>
      <c r="J19" s="14" t="s">
        <v>96</v>
      </c>
      <c r="K19" s="14" t="s">
        <v>3</v>
      </c>
      <c r="L19" s="15" t="s">
        <v>154</v>
      </c>
    </row>
    <row r="20" spans="5:12" s="14" customFormat="1" ht="57.6" x14ac:dyDescent="0.3">
      <c r="E20" s="14" t="s">
        <v>30</v>
      </c>
      <c r="F20" s="14">
        <f xml:space="preserve"> 150 + 150</f>
        <v>300</v>
      </c>
      <c r="G20" s="14">
        <v>300</v>
      </c>
      <c r="H20" s="17">
        <f>Table14[[#This Row],[Expense (TND)
- Forecasted -]]/12</f>
        <v>25</v>
      </c>
      <c r="I20" s="14" t="s">
        <v>6</v>
      </c>
      <c r="J20" s="14" t="s">
        <v>96</v>
      </c>
      <c r="K20" s="14" t="s">
        <v>3</v>
      </c>
      <c r="L20" s="15" t="s">
        <v>42</v>
      </c>
    </row>
    <row r="21" spans="5:12" s="14" customFormat="1" ht="28.8" x14ac:dyDescent="0.3">
      <c r="E21" s="14" t="s">
        <v>27</v>
      </c>
      <c r="F21" s="14">
        <f xml:space="preserve"> 30 * 6</f>
        <v>180</v>
      </c>
      <c r="G21" s="14">
        <v>250</v>
      </c>
      <c r="H21" s="17">
        <f>Table14[[#This Row],[Expense (TND)
- Forecasted -]]/12</f>
        <v>15</v>
      </c>
      <c r="I21" s="14" t="s">
        <v>6</v>
      </c>
      <c r="J21" s="14" t="s">
        <v>96</v>
      </c>
      <c r="K21" s="14" t="s">
        <v>3</v>
      </c>
      <c r="L21" s="15" t="s">
        <v>37</v>
      </c>
    </row>
    <row r="22" spans="5:12" s="14" customFormat="1" ht="57.6" x14ac:dyDescent="0.3">
      <c r="E22" s="14" t="s">
        <v>28</v>
      </c>
      <c r="F22" s="14">
        <f xml:space="preserve"> 1900 - 1500 + (25*12)</f>
        <v>700</v>
      </c>
      <c r="G22" s="14">
        <v>898</v>
      </c>
      <c r="H22" s="17">
        <f>Table14[[#This Row],[Expense (TND)
- Forecasted -]]/12</f>
        <v>58.333333333333336</v>
      </c>
      <c r="I22" s="14" t="s">
        <v>6</v>
      </c>
      <c r="J22" s="14" t="s">
        <v>96</v>
      </c>
      <c r="K22" s="14" t="s">
        <v>3</v>
      </c>
      <c r="L22" s="15" t="s">
        <v>59</v>
      </c>
    </row>
    <row r="23" spans="5:12" s="14" customFormat="1" ht="28.8" x14ac:dyDescent="0.3">
      <c r="E23" s="14" t="s">
        <v>32</v>
      </c>
      <c r="F23" s="14">
        <v>500</v>
      </c>
      <c r="H23" s="17">
        <f>Table14[[#This Row],[Expense (TND)
- Forecasted -]]/12</f>
        <v>41.666666666666664</v>
      </c>
      <c r="I23" s="14" t="s">
        <v>6</v>
      </c>
      <c r="J23" s="14" t="s">
        <v>96</v>
      </c>
      <c r="K23" s="14" t="s">
        <v>3</v>
      </c>
      <c r="L23" s="15" t="s">
        <v>73</v>
      </c>
    </row>
    <row r="24" spans="5:12" s="14" customFormat="1" ht="30.75" customHeight="1" x14ac:dyDescent="0.3">
      <c r="E24" s="14" t="s">
        <v>86</v>
      </c>
      <c r="F24" s="14">
        <v>900</v>
      </c>
      <c r="G24" s="14">
        <v>900</v>
      </c>
      <c r="H24" s="17">
        <f>Table14[[#This Row],[Expense (TND)
- Forecasted -]]/12</f>
        <v>75</v>
      </c>
      <c r="I24" s="14" t="s">
        <v>6</v>
      </c>
      <c r="J24" s="14" t="s">
        <v>95</v>
      </c>
      <c r="K24" s="14" t="s">
        <v>3</v>
      </c>
      <c r="L24" s="14" t="s">
        <v>92</v>
      </c>
    </row>
    <row r="25" spans="5:12" s="14" customFormat="1" x14ac:dyDescent="0.3">
      <c r="E25" s="14" t="s">
        <v>87</v>
      </c>
      <c r="F25" s="14">
        <v>300</v>
      </c>
      <c r="G25" s="14">
        <v>250</v>
      </c>
      <c r="H25" s="17">
        <f>Table14[[#This Row],[Expense (TND)
- Forecasted -]]/12</f>
        <v>25</v>
      </c>
      <c r="I25" s="14" t="s">
        <v>6</v>
      </c>
      <c r="J25" s="14" t="s">
        <v>95</v>
      </c>
      <c r="K25" s="14" t="s">
        <v>3</v>
      </c>
      <c r="L25" s="15" t="s">
        <v>88</v>
      </c>
    </row>
    <row r="26" spans="5:12" s="14" customFormat="1" ht="86.4" x14ac:dyDescent="0.3">
      <c r="E26" s="14" t="s">
        <v>93</v>
      </c>
      <c r="F26" s="14">
        <v>500</v>
      </c>
      <c r="G26" s="14">
        <f>500+ 100+60+50+20+7</f>
        <v>737</v>
      </c>
      <c r="H26" s="17">
        <f>Table14[[#This Row],[Expense (TND)
- Forecasted -]]/12</f>
        <v>41.666666666666664</v>
      </c>
      <c r="I26" s="14" t="s">
        <v>8</v>
      </c>
      <c r="J26" s="14" t="s">
        <v>95</v>
      </c>
      <c r="K26" s="14" t="s">
        <v>3</v>
      </c>
      <c r="L26" s="15" t="s">
        <v>176</v>
      </c>
    </row>
    <row r="27" spans="5:12" s="14" customFormat="1" ht="28.8" x14ac:dyDescent="0.3">
      <c r="E27" s="15" t="s">
        <v>97</v>
      </c>
      <c r="F27" s="14">
        <v>300</v>
      </c>
      <c r="G27" s="14">
        <v>375</v>
      </c>
      <c r="H27" s="17">
        <f>Table14[[#This Row],[Expense (TND)
- Forecasted -]]/12</f>
        <v>25</v>
      </c>
      <c r="I27" s="14" t="s">
        <v>6</v>
      </c>
      <c r="J27" s="14" t="s">
        <v>95</v>
      </c>
      <c r="K27" s="14" t="s">
        <v>3</v>
      </c>
      <c r="L27" s="15" t="s">
        <v>99</v>
      </c>
    </row>
    <row r="28" spans="5:12" s="14" customFormat="1" ht="25.5" customHeight="1" x14ac:dyDescent="0.3">
      <c r="E28" s="14" t="s">
        <v>98</v>
      </c>
      <c r="F28" s="14">
        <f>SUM(Table11[Fees (TND)
- Forescasted -])</f>
        <v>2863.6</v>
      </c>
      <c r="G28" s="14">
        <f>SUM(Table11[Fees (TND)
- Actual -])</f>
        <v>2585.6</v>
      </c>
      <c r="H28" s="17">
        <f>Table14[[#This Row],[Expense (TND)
- Forecasted -]]/12</f>
        <v>238.63333333333333</v>
      </c>
      <c r="I28" s="14" t="s">
        <v>8</v>
      </c>
      <c r="J28" s="14" t="s">
        <v>95</v>
      </c>
      <c r="K28" s="14" t="s">
        <v>3</v>
      </c>
      <c r="L28" s="14" t="s">
        <v>100</v>
      </c>
    </row>
    <row r="29" spans="5:12" s="14" customFormat="1" ht="30" customHeight="1" x14ac:dyDescent="0.3">
      <c r="E29" s="14" t="s">
        <v>155</v>
      </c>
      <c r="F29" s="14">
        <v>600</v>
      </c>
      <c r="G29" s="14">
        <v>600</v>
      </c>
      <c r="H29" s="17">
        <f>Table14[[#This Row],[Expense (TND)
- Forecasted -]]/12</f>
        <v>50</v>
      </c>
      <c r="I29" s="14" t="s">
        <v>6</v>
      </c>
      <c r="J29" s="14" t="s">
        <v>95</v>
      </c>
      <c r="K29" s="14" t="s">
        <v>3</v>
      </c>
      <c r="L29" s="14" t="s">
        <v>146</v>
      </c>
    </row>
    <row r="30" spans="5:12" ht="72" x14ac:dyDescent="0.3">
      <c r="E30" s="14" t="s">
        <v>196</v>
      </c>
      <c r="F30" s="14">
        <v>7000</v>
      </c>
      <c r="G30" s="14">
        <v>7000</v>
      </c>
      <c r="H30" s="17">
        <f>Table14[[#This Row],[Expense (TND)
- Forecasted -]]/12</f>
        <v>583.33333333333337</v>
      </c>
      <c r="I30" s="14" t="s">
        <v>198</v>
      </c>
      <c r="J30" s="14" t="s">
        <v>95</v>
      </c>
      <c r="K30" s="14" t="s">
        <v>3</v>
      </c>
      <c r="L30" s="15" t="s">
        <v>197</v>
      </c>
    </row>
    <row r="35" spans="5:11" ht="28.8" x14ac:dyDescent="0.3">
      <c r="E35" s="14" t="s">
        <v>101</v>
      </c>
      <c r="F35" s="14" t="s">
        <v>103</v>
      </c>
      <c r="G35" s="14" t="s">
        <v>124</v>
      </c>
      <c r="H35" s="14" t="s">
        <v>94</v>
      </c>
      <c r="I35" s="3" t="s">
        <v>138</v>
      </c>
      <c r="J35" s="3" t="s">
        <v>139</v>
      </c>
      <c r="K35" s="14" t="s">
        <v>1</v>
      </c>
    </row>
    <row r="36" spans="5:11" ht="35.25" customHeight="1" x14ac:dyDescent="0.3">
      <c r="E36" s="15" t="s">
        <v>104</v>
      </c>
      <c r="F36" s="15" t="s">
        <v>96</v>
      </c>
      <c r="G36" s="15" t="s">
        <v>125</v>
      </c>
      <c r="H36" s="15" t="s">
        <v>108</v>
      </c>
      <c r="I36" s="15">
        <f>SUM(Table13[Fees (TND)])</f>
        <v>500</v>
      </c>
      <c r="J36" s="15">
        <f>SUMIF(Table13[Status], "Done", Table13[Fees (TND)])</f>
        <v>500</v>
      </c>
      <c r="K36" s="15" t="s">
        <v>113</v>
      </c>
    </row>
    <row r="37" spans="5:11" ht="28.8" x14ac:dyDescent="0.3">
      <c r="E37" s="15" t="s">
        <v>105</v>
      </c>
      <c r="F37" s="15" t="s">
        <v>109</v>
      </c>
      <c r="G37" s="15" t="s">
        <v>125</v>
      </c>
      <c r="H37" s="15" t="s">
        <v>107</v>
      </c>
      <c r="I37" s="15">
        <v>95</v>
      </c>
      <c r="J37" s="15">
        <v>95</v>
      </c>
      <c r="K37" s="15" t="s">
        <v>112</v>
      </c>
    </row>
    <row r="38" spans="5:11" ht="29.25" customHeight="1" x14ac:dyDescent="0.3">
      <c r="E38" s="15" t="s">
        <v>110</v>
      </c>
      <c r="F38" s="15" t="s">
        <v>96</v>
      </c>
      <c r="G38" s="15" t="s">
        <v>126</v>
      </c>
      <c r="H38" s="15" t="s">
        <v>108</v>
      </c>
      <c r="I38" s="15">
        <f>20*4</f>
        <v>80</v>
      </c>
      <c r="J38" s="15">
        <f xml:space="preserve"> 15+20+20</f>
        <v>55</v>
      </c>
      <c r="K38" s="15" t="s">
        <v>150</v>
      </c>
    </row>
    <row r="39" spans="5:11" ht="30.75" customHeight="1" x14ac:dyDescent="0.3">
      <c r="E39" s="15" t="s">
        <v>111</v>
      </c>
      <c r="F39" s="15" t="s">
        <v>109</v>
      </c>
      <c r="G39" s="15" t="s">
        <v>125</v>
      </c>
      <c r="H39" s="15" t="s">
        <v>108</v>
      </c>
      <c r="I39" s="15">
        <v>65</v>
      </c>
      <c r="J39" s="15">
        <v>65</v>
      </c>
      <c r="K39" s="15"/>
    </row>
    <row r="40" spans="5:11" ht="41.25" customHeight="1" x14ac:dyDescent="0.3">
      <c r="E40" s="15" t="s">
        <v>120</v>
      </c>
      <c r="F40" s="15" t="s">
        <v>109</v>
      </c>
      <c r="G40" s="15" t="s">
        <v>125</v>
      </c>
      <c r="H40" s="15" t="s">
        <v>114</v>
      </c>
      <c r="I40" s="15">
        <f xml:space="preserve"> 40 + 60</f>
        <v>100</v>
      </c>
      <c r="J40" s="15">
        <f xml:space="preserve"> 40 + 60</f>
        <v>100</v>
      </c>
      <c r="K40" s="15" t="s">
        <v>128</v>
      </c>
    </row>
    <row r="41" spans="5:11" ht="128.25" customHeight="1" x14ac:dyDescent="0.3">
      <c r="E41" s="15" t="s">
        <v>127</v>
      </c>
      <c r="F41" s="15" t="s">
        <v>109</v>
      </c>
      <c r="G41" s="15" t="s">
        <v>125</v>
      </c>
      <c r="H41" s="15" t="s">
        <v>127</v>
      </c>
      <c r="I41" s="15">
        <f>103+10+16+48+2.6+32+12.5+28+11.5+7+14+50</f>
        <v>334.6</v>
      </c>
      <c r="J41" s="15">
        <f>103+10+16+48+2.6+32+12.5+28+11.5+7+14+50+50</f>
        <v>384.6</v>
      </c>
      <c r="K41" s="15" t="s">
        <v>189</v>
      </c>
    </row>
    <row r="42" spans="5:11" ht="34.5" customHeight="1" x14ac:dyDescent="0.3">
      <c r="E42" s="15" t="s">
        <v>116</v>
      </c>
      <c r="F42" s="15" t="s">
        <v>109</v>
      </c>
      <c r="G42" s="15" t="s">
        <v>125</v>
      </c>
      <c r="H42" s="15" t="s">
        <v>115</v>
      </c>
      <c r="I42" s="15">
        <v>86</v>
      </c>
      <c r="J42" s="15">
        <v>86</v>
      </c>
      <c r="K42" s="15" t="s">
        <v>118</v>
      </c>
    </row>
    <row r="43" spans="5:11" ht="28.8" x14ac:dyDescent="0.3">
      <c r="E43" s="15" t="s">
        <v>117</v>
      </c>
      <c r="F43" s="15" t="s">
        <v>109</v>
      </c>
      <c r="G43" s="15" t="s">
        <v>125</v>
      </c>
      <c r="H43" s="15" t="s">
        <v>115</v>
      </c>
      <c r="I43" s="15">
        <v>90</v>
      </c>
      <c r="J43" s="15">
        <v>37</v>
      </c>
      <c r="K43" s="15" t="s">
        <v>171</v>
      </c>
    </row>
    <row r="44" spans="5:11" ht="33" customHeight="1" x14ac:dyDescent="0.3">
      <c r="E44" s="15" t="s">
        <v>187</v>
      </c>
      <c r="F44" s="15" t="s">
        <v>109</v>
      </c>
      <c r="G44" s="15" t="s">
        <v>125</v>
      </c>
      <c r="H44" s="15" t="s">
        <v>188</v>
      </c>
      <c r="I44" s="15">
        <v>50</v>
      </c>
      <c r="J44" s="15">
        <v>50</v>
      </c>
      <c r="K44" s="15"/>
    </row>
    <row r="45" spans="5:11" ht="50.25" customHeight="1" x14ac:dyDescent="0.3">
      <c r="E45" s="15" t="s">
        <v>119</v>
      </c>
      <c r="F45" s="15" t="s">
        <v>109</v>
      </c>
      <c r="G45" s="15" t="s">
        <v>125</v>
      </c>
      <c r="H45" s="15" t="s">
        <v>121</v>
      </c>
      <c r="I45" s="15">
        <f>10 + 10</f>
        <v>20</v>
      </c>
      <c r="J45" s="15">
        <f>10</f>
        <v>10</v>
      </c>
      <c r="K45" s="15" t="s">
        <v>172</v>
      </c>
    </row>
    <row r="46" spans="5:11" ht="62.25" customHeight="1" x14ac:dyDescent="0.3">
      <c r="E46" s="15" t="s">
        <v>122</v>
      </c>
      <c r="F46" s="15" t="s">
        <v>96</v>
      </c>
      <c r="G46" s="15" t="s">
        <v>125</v>
      </c>
      <c r="H46" s="15" t="s">
        <v>122</v>
      </c>
      <c r="I46" s="15">
        <f>SUM(Table12[Fees])</f>
        <v>260</v>
      </c>
      <c r="J46" s="15">
        <f>SUMIF(Table12[Status], "Done", Table12[Fees])</f>
        <v>200</v>
      </c>
      <c r="K46" s="15" t="s">
        <v>130</v>
      </c>
    </row>
    <row r="47" spans="5:11" ht="50.25" customHeight="1" x14ac:dyDescent="0.3">
      <c r="E47" s="15" t="s">
        <v>26</v>
      </c>
      <c r="F47" s="15" t="s">
        <v>109</v>
      </c>
      <c r="G47" s="15" t="s">
        <v>126</v>
      </c>
      <c r="H47" s="15" t="s">
        <v>123</v>
      </c>
      <c r="I47" s="15">
        <f>(50*2)+200 + 5+8+3</f>
        <v>316</v>
      </c>
      <c r="J47" s="15">
        <f>(50*2)+200 + 5+8+3</f>
        <v>316</v>
      </c>
      <c r="K47" s="15" t="s">
        <v>151</v>
      </c>
    </row>
    <row r="48" spans="5:11" ht="92.25" customHeight="1" x14ac:dyDescent="0.3">
      <c r="E48" s="15" t="s">
        <v>143</v>
      </c>
      <c r="F48" s="15" t="s">
        <v>96</v>
      </c>
      <c r="G48" s="15" t="s">
        <v>126</v>
      </c>
      <c r="H48" s="15" t="s">
        <v>129</v>
      </c>
      <c r="I48" s="15">
        <v>150</v>
      </c>
      <c r="J48" s="15">
        <v>0</v>
      </c>
      <c r="K48" s="15" t="s">
        <v>161</v>
      </c>
    </row>
    <row r="49" spans="2:11" ht="43.2" x14ac:dyDescent="0.3">
      <c r="E49" s="15" t="s">
        <v>147</v>
      </c>
      <c r="F49" s="15" t="s">
        <v>109</v>
      </c>
      <c r="G49" s="15" t="s">
        <v>125</v>
      </c>
      <c r="H49" s="15" t="s">
        <v>148</v>
      </c>
      <c r="I49" s="15">
        <f xml:space="preserve"> 35 + 4</f>
        <v>39</v>
      </c>
      <c r="J49" s="15">
        <f xml:space="preserve"> 35 + 4</f>
        <v>39</v>
      </c>
      <c r="K49" s="15" t="s">
        <v>149</v>
      </c>
    </row>
    <row r="50" spans="2:11" x14ac:dyDescent="0.3">
      <c r="E50" s="15" t="s">
        <v>156</v>
      </c>
      <c r="F50" s="15" t="s">
        <v>109</v>
      </c>
      <c r="G50" s="15" t="s">
        <v>125</v>
      </c>
      <c r="H50" s="15" t="s">
        <v>158</v>
      </c>
      <c r="I50" s="15">
        <f>55+40+15</f>
        <v>110</v>
      </c>
      <c r="J50" s="15">
        <f>55+40+15</f>
        <v>110</v>
      </c>
      <c r="K50" s="15" t="s">
        <v>157</v>
      </c>
    </row>
    <row r="51" spans="2:11" x14ac:dyDescent="0.3">
      <c r="E51" s="15" t="s">
        <v>159</v>
      </c>
      <c r="F51" s="15" t="s">
        <v>96</v>
      </c>
      <c r="G51" s="15" t="s">
        <v>125</v>
      </c>
      <c r="H51" s="15" t="s">
        <v>160</v>
      </c>
      <c r="I51" s="15">
        <v>10</v>
      </c>
      <c r="J51" s="15">
        <v>10</v>
      </c>
      <c r="K51" s="15"/>
    </row>
    <row r="52" spans="2:11" x14ac:dyDescent="0.3">
      <c r="E52" s="15" t="s">
        <v>162</v>
      </c>
      <c r="F52" s="15" t="s">
        <v>109</v>
      </c>
      <c r="G52" s="15" t="s">
        <v>125</v>
      </c>
      <c r="H52" s="15" t="s">
        <v>163</v>
      </c>
      <c r="I52" s="15">
        <v>21</v>
      </c>
      <c r="J52" s="15">
        <v>21</v>
      </c>
      <c r="K52" s="15" t="s">
        <v>164</v>
      </c>
    </row>
    <row r="53" spans="2:11" ht="28.8" x14ac:dyDescent="0.3">
      <c r="E53" s="15" t="s">
        <v>165</v>
      </c>
      <c r="F53" s="15" t="s">
        <v>109</v>
      </c>
      <c r="G53" s="15" t="s">
        <v>126</v>
      </c>
      <c r="H53" s="15" t="s">
        <v>166</v>
      </c>
      <c r="I53" s="15">
        <v>32</v>
      </c>
      <c r="J53" s="15">
        <v>32</v>
      </c>
      <c r="K53" s="15" t="s">
        <v>167</v>
      </c>
    </row>
    <row r="54" spans="2:11" ht="28.8" x14ac:dyDescent="0.3">
      <c r="B54" s="1"/>
      <c r="E54" s="15" t="s">
        <v>168</v>
      </c>
      <c r="F54" s="15" t="s">
        <v>109</v>
      </c>
      <c r="G54" s="15" t="s">
        <v>126</v>
      </c>
      <c r="H54" s="15" t="s">
        <v>169</v>
      </c>
      <c r="I54" s="15">
        <v>10</v>
      </c>
      <c r="J54" s="15">
        <v>10</v>
      </c>
      <c r="K54" s="15" t="s">
        <v>170</v>
      </c>
    </row>
    <row r="55" spans="2:11" ht="43.2" x14ac:dyDescent="0.3">
      <c r="E55" s="15" t="s">
        <v>173</v>
      </c>
      <c r="F55" s="15" t="s">
        <v>96</v>
      </c>
      <c r="G55" s="15" t="s">
        <v>125</v>
      </c>
      <c r="H55" s="15" t="s">
        <v>175</v>
      </c>
      <c r="I55" s="15">
        <v>100</v>
      </c>
      <c r="J55" s="15">
        <v>100</v>
      </c>
      <c r="K55" s="15" t="s">
        <v>174</v>
      </c>
    </row>
    <row r="56" spans="2:11" ht="28.8" x14ac:dyDescent="0.3">
      <c r="E56" s="15" t="s">
        <v>180</v>
      </c>
      <c r="F56" s="15" t="s">
        <v>96</v>
      </c>
      <c r="G56" s="15" t="s">
        <v>125</v>
      </c>
      <c r="H56" s="15" t="s">
        <v>115</v>
      </c>
      <c r="I56" s="15">
        <v>100</v>
      </c>
      <c r="J56" s="15">
        <v>80</v>
      </c>
      <c r="K56" s="15" t="s">
        <v>181</v>
      </c>
    </row>
    <row r="57" spans="2:11" ht="28.8" x14ac:dyDescent="0.3">
      <c r="E57" s="15" t="s">
        <v>184</v>
      </c>
      <c r="F57" s="15" t="s">
        <v>96</v>
      </c>
      <c r="G57" s="15" t="s">
        <v>125</v>
      </c>
      <c r="H57" s="15" t="s">
        <v>182</v>
      </c>
      <c r="I57" s="15">
        <v>60</v>
      </c>
      <c r="J57" s="15">
        <v>50</v>
      </c>
      <c r="K57" s="15" t="s">
        <v>183</v>
      </c>
    </row>
    <row r="58" spans="2:11" ht="28.8" x14ac:dyDescent="0.3">
      <c r="E58" s="15" t="s">
        <v>185</v>
      </c>
      <c r="F58" s="15" t="s">
        <v>109</v>
      </c>
      <c r="G58" s="15" t="s">
        <v>125</v>
      </c>
      <c r="H58" s="15" t="s">
        <v>186</v>
      </c>
      <c r="I58" s="15">
        <v>60</v>
      </c>
      <c r="J58" s="15">
        <v>60</v>
      </c>
      <c r="K58" s="15"/>
    </row>
    <row r="59" spans="2:11" ht="43.2" x14ac:dyDescent="0.3">
      <c r="E59" s="15" t="s">
        <v>191</v>
      </c>
      <c r="F59" s="15" t="s">
        <v>109</v>
      </c>
      <c r="G59" s="15" t="s">
        <v>125</v>
      </c>
      <c r="H59" s="15" t="s">
        <v>192</v>
      </c>
      <c r="I59" s="15">
        <v>140</v>
      </c>
      <c r="J59" s="15">
        <v>140</v>
      </c>
      <c r="K59" s="15" t="s">
        <v>190</v>
      </c>
    </row>
    <row r="60" spans="2:11" ht="28.8" x14ac:dyDescent="0.3">
      <c r="E60" s="15" t="s">
        <v>193</v>
      </c>
      <c r="F60" s="15" t="s">
        <v>109</v>
      </c>
      <c r="G60" s="15" t="s">
        <v>125</v>
      </c>
      <c r="H60" s="15" t="s">
        <v>194</v>
      </c>
      <c r="I60" s="15">
        <v>35</v>
      </c>
      <c r="J60" s="15">
        <v>35</v>
      </c>
      <c r="K60" s="15"/>
    </row>
    <row r="61" spans="2:11" x14ac:dyDescent="0.3">
      <c r="E61" s="15"/>
      <c r="F61" s="15"/>
      <c r="G61" s="15"/>
      <c r="H61" s="15"/>
      <c r="I61" s="15"/>
      <c r="J61" s="15"/>
      <c r="K61" s="15"/>
    </row>
    <row r="62" spans="2:11" x14ac:dyDescent="0.3">
      <c r="E62" s="15"/>
      <c r="F62" s="15"/>
      <c r="G62" s="15"/>
      <c r="H62" s="15"/>
      <c r="I62" s="15"/>
      <c r="J62" s="15"/>
      <c r="K62" s="15"/>
    </row>
    <row r="63" spans="2:11" x14ac:dyDescent="0.3">
      <c r="E63" s="15"/>
      <c r="F63" s="15"/>
      <c r="G63" s="15"/>
      <c r="H63" s="15"/>
      <c r="I63" s="15"/>
      <c r="J63" s="15"/>
      <c r="K63" s="15"/>
    </row>
    <row r="64" spans="2:11" x14ac:dyDescent="0.3">
      <c r="E64" s="15"/>
      <c r="F64" s="15"/>
      <c r="G64" s="15"/>
      <c r="H64" s="15"/>
      <c r="I64" s="15"/>
      <c r="J64" s="15"/>
      <c r="K64" s="15"/>
    </row>
    <row r="65" spans="2:11" x14ac:dyDescent="0.3">
      <c r="E65" s="15"/>
      <c r="F65" s="15"/>
      <c r="G65" s="15"/>
      <c r="H65" s="15"/>
      <c r="I65" s="15"/>
      <c r="J65" s="15"/>
      <c r="K65" s="15"/>
    </row>
    <row r="66" spans="2:11" x14ac:dyDescent="0.3">
      <c r="B66" s="8" t="s">
        <v>136</v>
      </c>
      <c r="G66" s="8" t="s">
        <v>134</v>
      </c>
    </row>
    <row r="67" spans="2:11" ht="28.8" x14ac:dyDescent="0.3">
      <c r="B67" s="1" t="s">
        <v>135</v>
      </c>
      <c r="C67" t="s">
        <v>106</v>
      </c>
      <c r="D67" t="s">
        <v>140</v>
      </c>
      <c r="E67" t="s">
        <v>145</v>
      </c>
      <c r="G67" t="s">
        <v>132</v>
      </c>
      <c r="H67" t="s">
        <v>131</v>
      </c>
      <c r="I67" t="s">
        <v>102</v>
      </c>
      <c r="J67" t="s">
        <v>140</v>
      </c>
      <c r="K67" t="s">
        <v>144</v>
      </c>
    </row>
    <row r="68" spans="2:11" x14ac:dyDescent="0.3">
      <c r="B68" s="16">
        <v>43446</v>
      </c>
      <c r="C68">
        <v>20</v>
      </c>
      <c r="D68" s="3" t="s">
        <v>142</v>
      </c>
      <c r="E68" t="s">
        <v>109</v>
      </c>
      <c r="G68" t="s">
        <v>133</v>
      </c>
      <c r="H68" s="16">
        <v>43446</v>
      </c>
      <c r="I68">
        <v>0</v>
      </c>
      <c r="J68" s="3"/>
    </row>
    <row r="69" spans="2:11" x14ac:dyDescent="0.3">
      <c r="B69" s="16">
        <v>43448</v>
      </c>
      <c r="C69">
        <v>20</v>
      </c>
      <c r="D69" s="3" t="s">
        <v>142</v>
      </c>
      <c r="E69" t="s">
        <v>109</v>
      </c>
      <c r="G69" t="s">
        <v>137</v>
      </c>
      <c r="H69" s="16">
        <v>43447</v>
      </c>
      <c r="I69">
        <v>20</v>
      </c>
      <c r="J69" s="3" t="s">
        <v>142</v>
      </c>
      <c r="K69" t="s">
        <v>109</v>
      </c>
    </row>
    <row r="70" spans="2:11" x14ac:dyDescent="0.3">
      <c r="B70" s="16">
        <v>43452</v>
      </c>
      <c r="C70">
        <v>20</v>
      </c>
      <c r="D70" s="3" t="s">
        <v>142</v>
      </c>
      <c r="E70" t="s">
        <v>109</v>
      </c>
      <c r="G70" t="s">
        <v>133</v>
      </c>
      <c r="H70" s="16">
        <v>43448</v>
      </c>
      <c r="I70">
        <v>0</v>
      </c>
      <c r="J70" s="3"/>
    </row>
    <row r="71" spans="2:11" x14ac:dyDescent="0.3">
      <c r="B71" s="16">
        <v>43454</v>
      </c>
      <c r="C71">
        <v>20</v>
      </c>
      <c r="D71" s="3" t="s">
        <v>142</v>
      </c>
      <c r="E71" t="s">
        <v>109</v>
      </c>
      <c r="G71" t="s">
        <v>137</v>
      </c>
      <c r="H71" s="16">
        <v>43449</v>
      </c>
      <c r="I71">
        <v>20</v>
      </c>
      <c r="J71" s="3" t="s">
        <v>142</v>
      </c>
      <c r="K71" t="s">
        <v>109</v>
      </c>
    </row>
    <row r="72" spans="2:11" x14ac:dyDescent="0.3">
      <c r="B72" s="16">
        <v>43456</v>
      </c>
      <c r="C72">
        <v>20</v>
      </c>
      <c r="D72" s="3" t="s">
        <v>142</v>
      </c>
      <c r="E72" t="s">
        <v>109</v>
      </c>
      <c r="G72" t="s">
        <v>133</v>
      </c>
      <c r="H72" s="16">
        <v>43450</v>
      </c>
      <c r="I72">
        <v>0</v>
      </c>
      <c r="J72" s="3"/>
    </row>
    <row r="73" spans="2:11" x14ac:dyDescent="0.3">
      <c r="B73" s="16">
        <v>43459</v>
      </c>
      <c r="C73">
        <v>20</v>
      </c>
      <c r="D73" s="3" t="s">
        <v>142</v>
      </c>
      <c r="E73" t="s">
        <v>109</v>
      </c>
      <c r="G73" t="s">
        <v>137</v>
      </c>
      <c r="H73" s="16">
        <v>43451</v>
      </c>
      <c r="I73">
        <v>20</v>
      </c>
      <c r="J73" s="3" t="s">
        <v>142</v>
      </c>
      <c r="K73" t="s">
        <v>109</v>
      </c>
    </row>
    <row r="74" spans="2:11" x14ac:dyDescent="0.3">
      <c r="B74" s="16">
        <v>43461</v>
      </c>
      <c r="C74">
        <v>20</v>
      </c>
      <c r="D74" s="3" t="s">
        <v>142</v>
      </c>
      <c r="E74" t="s">
        <v>109</v>
      </c>
      <c r="G74" t="s">
        <v>133</v>
      </c>
      <c r="H74" s="16">
        <v>43452</v>
      </c>
      <c r="I74">
        <v>0</v>
      </c>
      <c r="J74" s="3"/>
    </row>
    <row r="75" spans="2:11" x14ac:dyDescent="0.3">
      <c r="B75" s="16">
        <v>43463</v>
      </c>
      <c r="C75">
        <v>20</v>
      </c>
      <c r="D75" s="3" t="s">
        <v>142</v>
      </c>
      <c r="E75" t="s">
        <v>109</v>
      </c>
      <c r="G75" t="s">
        <v>137</v>
      </c>
      <c r="H75" s="16">
        <v>43453</v>
      </c>
      <c r="I75">
        <v>20</v>
      </c>
      <c r="J75" s="3" t="s">
        <v>142</v>
      </c>
      <c r="K75" t="s">
        <v>109</v>
      </c>
    </row>
    <row r="76" spans="2:11" x14ac:dyDescent="0.3">
      <c r="B76" s="16">
        <v>43466</v>
      </c>
      <c r="C76">
        <v>0</v>
      </c>
      <c r="D76" s="3" t="s">
        <v>141</v>
      </c>
      <c r="E76" t="s">
        <v>177</v>
      </c>
      <c r="G76" t="s">
        <v>133</v>
      </c>
      <c r="H76" s="16">
        <v>43454</v>
      </c>
      <c r="I76">
        <v>0</v>
      </c>
      <c r="J76" s="3"/>
    </row>
    <row r="77" spans="2:11" x14ac:dyDescent="0.3">
      <c r="B77" s="16">
        <v>43468</v>
      </c>
      <c r="C77">
        <v>20</v>
      </c>
      <c r="D77" s="3" t="s">
        <v>142</v>
      </c>
      <c r="E77" t="s">
        <v>109</v>
      </c>
      <c r="G77" t="s">
        <v>137</v>
      </c>
      <c r="H77" s="16">
        <v>43455</v>
      </c>
      <c r="I77">
        <v>20</v>
      </c>
      <c r="J77" s="3" t="s">
        <v>142</v>
      </c>
      <c r="K77" t="s">
        <v>109</v>
      </c>
    </row>
    <row r="78" spans="2:11" x14ac:dyDescent="0.3">
      <c r="B78" s="16">
        <v>43470</v>
      </c>
      <c r="C78">
        <v>20</v>
      </c>
      <c r="D78" s="3" t="s">
        <v>142</v>
      </c>
      <c r="E78" t="s">
        <v>109</v>
      </c>
      <c r="G78" t="s">
        <v>133</v>
      </c>
      <c r="H78" s="16">
        <v>43456</v>
      </c>
      <c r="I78">
        <v>0</v>
      </c>
      <c r="J78" s="3"/>
    </row>
    <row r="79" spans="2:11" x14ac:dyDescent="0.3">
      <c r="B79" s="16">
        <v>43473</v>
      </c>
      <c r="C79">
        <v>20</v>
      </c>
      <c r="D79" s="3" t="s">
        <v>142</v>
      </c>
      <c r="E79" t="s">
        <v>109</v>
      </c>
      <c r="G79" t="s">
        <v>137</v>
      </c>
      <c r="H79" s="16">
        <v>43457</v>
      </c>
      <c r="I79">
        <v>20</v>
      </c>
      <c r="J79" s="3" t="s">
        <v>142</v>
      </c>
      <c r="K79" t="s">
        <v>109</v>
      </c>
    </row>
    <row r="80" spans="2:11" x14ac:dyDescent="0.3">
      <c r="B80" s="16">
        <v>43475</v>
      </c>
      <c r="C80">
        <v>20</v>
      </c>
      <c r="D80" s="3" t="s">
        <v>142</v>
      </c>
      <c r="E80" t="s">
        <v>109</v>
      </c>
      <c r="G80" t="s">
        <v>133</v>
      </c>
      <c r="H80" s="16">
        <v>43458</v>
      </c>
      <c r="I80">
        <v>0</v>
      </c>
      <c r="J80" s="3"/>
    </row>
    <row r="81" spans="2:11" x14ac:dyDescent="0.3">
      <c r="B81" s="16">
        <v>43477</v>
      </c>
      <c r="C81">
        <v>20</v>
      </c>
      <c r="D81" s="3" t="s">
        <v>142</v>
      </c>
      <c r="E81" t="s">
        <v>109</v>
      </c>
      <c r="G81" t="s">
        <v>137</v>
      </c>
      <c r="H81" s="16">
        <v>43459</v>
      </c>
      <c r="I81">
        <v>20</v>
      </c>
      <c r="J81" s="3" t="s">
        <v>142</v>
      </c>
      <c r="K81" t="s">
        <v>109</v>
      </c>
    </row>
    <row r="82" spans="2:11" x14ac:dyDescent="0.3">
      <c r="B82" s="16">
        <v>43480</v>
      </c>
      <c r="C82">
        <v>20</v>
      </c>
      <c r="D82" s="3" t="s">
        <v>142</v>
      </c>
      <c r="E82" t="s">
        <v>109</v>
      </c>
      <c r="G82" t="s">
        <v>133</v>
      </c>
      <c r="H82" s="16">
        <v>43460</v>
      </c>
      <c r="I82">
        <v>0</v>
      </c>
      <c r="J82" s="3"/>
    </row>
    <row r="83" spans="2:11" x14ac:dyDescent="0.3">
      <c r="B83" s="16">
        <v>43482</v>
      </c>
      <c r="C83">
        <v>20</v>
      </c>
      <c r="D83" s="3" t="s">
        <v>142</v>
      </c>
      <c r="E83" t="s">
        <v>109</v>
      </c>
      <c r="G83" t="s">
        <v>137</v>
      </c>
      <c r="H83" s="16">
        <v>43461</v>
      </c>
      <c r="I83">
        <v>20</v>
      </c>
      <c r="J83" s="3" t="s">
        <v>142</v>
      </c>
      <c r="K83" t="s">
        <v>109</v>
      </c>
    </row>
    <row r="84" spans="2:11" x14ac:dyDescent="0.3">
      <c r="B84" s="16">
        <v>43484</v>
      </c>
      <c r="C84">
        <v>20</v>
      </c>
      <c r="D84" s="3" t="s">
        <v>142</v>
      </c>
      <c r="E84" t="s">
        <v>109</v>
      </c>
      <c r="G84" t="s">
        <v>133</v>
      </c>
      <c r="H84" s="16">
        <v>43462</v>
      </c>
      <c r="I84">
        <v>0</v>
      </c>
      <c r="J84" s="3"/>
    </row>
    <row r="85" spans="2:11" x14ac:dyDescent="0.3">
      <c r="B85" s="16">
        <v>43487</v>
      </c>
      <c r="C85">
        <v>20</v>
      </c>
      <c r="D85" s="3" t="s">
        <v>142</v>
      </c>
      <c r="E85" t="s">
        <v>109</v>
      </c>
      <c r="G85" t="s">
        <v>137</v>
      </c>
      <c r="H85" s="16">
        <v>43463</v>
      </c>
      <c r="I85">
        <v>20</v>
      </c>
      <c r="J85" s="3" t="s">
        <v>142</v>
      </c>
      <c r="K85" t="s">
        <v>109</v>
      </c>
    </row>
    <row r="86" spans="2:11" x14ac:dyDescent="0.3">
      <c r="B86" s="16">
        <v>43489</v>
      </c>
      <c r="C86">
        <v>20</v>
      </c>
      <c r="D86" s="3" t="s">
        <v>142</v>
      </c>
      <c r="E86" t="s">
        <v>109</v>
      </c>
      <c r="G86" t="s">
        <v>133</v>
      </c>
      <c r="H86" s="16">
        <v>43464</v>
      </c>
      <c r="I86">
        <v>0</v>
      </c>
      <c r="J86" s="3"/>
    </row>
    <row r="87" spans="2:11" x14ac:dyDescent="0.3">
      <c r="B87" s="16">
        <v>43490</v>
      </c>
      <c r="C87">
        <v>20</v>
      </c>
      <c r="D87" s="3" t="s">
        <v>142</v>
      </c>
      <c r="E87" t="s">
        <v>109</v>
      </c>
      <c r="G87" t="s">
        <v>137</v>
      </c>
      <c r="H87" s="16">
        <v>43465</v>
      </c>
      <c r="I87">
        <v>20</v>
      </c>
      <c r="J87" s="3" t="s">
        <v>142</v>
      </c>
      <c r="K87" t="s">
        <v>109</v>
      </c>
    </row>
    <row r="88" spans="2:11" x14ac:dyDescent="0.3">
      <c r="B88" s="16">
        <v>43494</v>
      </c>
      <c r="C88">
        <v>20</v>
      </c>
      <c r="D88" s="3" t="s">
        <v>142</v>
      </c>
      <c r="E88" t="s">
        <v>109</v>
      </c>
      <c r="G88" t="s">
        <v>133</v>
      </c>
      <c r="H88" s="16">
        <v>43466</v>
      </c>
      <c r="I88">
        <v>0</v>
      </c>
      <c r="J88" s="3"/>
    </row>
    <row r="89" spans="2:11" x14ac:dyDescent="0.3">
      <c r="B89" s="16">
        <v>43496</v>
      </c>
      <c r="C89">
        <v>20</v>
      </c>
      <c r="D89" s="3" t="s">
        <v>142</v>
      </c>
      <c r="E89" t="s">
        <v>109</v>
      </c>
      <c r="G89" t="s">
        <v>137</v>
      </c>
      <c r="H89" s="16">
        <v>43467</v>
      </c>
      <c r="I89">
        <v>20</v>
      </c>
      <c r="J89" s="3" t="s">
        <v>141</v>
      </c>
    </row>
    <row r="90" spans="2:11" ht="28.8" x14ac:dyDescent="0.3">
      <c r="B90" s="16">
        <v>43498</v>
      </c>
      <c r="C90">
        <v>0</v>
      </c>
      <c r="D90" s="3" t="s">
        <v>141</v>
      </c>
      <c r="E90" s="1" t="s">
        <v>178</v>
      </c>
      <c r="G90" t="s">
        <v>133</v>
      </c>
      <c r="H90" s="16">
        <v>43468</v>
      </c>
      <c r="I90">
        <v>0</v>
      </c>
      <c r="J90" s="3"/>
    </row>
    <row r="91" spans="2:11" x14ac:dyDescent="0.3">
      <c r="B91" s="16">
        <v>43501</v>
      </c>
      <c r="C91">
        <v>20</v>
      </c>
      <c r="D91" s="3" t="s">
        <v>142</v>
      </c>
      <c r="E91" t="s">
        <v>109</v>
      </c>
      <c r="G91" t="s">
        <v>137</v>
      </c>
      <c r="H91" s="16">
        <v>43469</v>
      </c>
      <c r="I91">
        <v>20</v>
      </c>
      <c r="J91" s="3" t="s">
        <v>141</v>
      </c>
    </row>
    <row r="92" spans="2:11" x14ac:dyDescent="0.3">
      <c r="B92" s="16">
        <v>43503</v>
      </c>
      <c r="C92">
        <v>20</v>
      </c>
      <c r="D92" s="3" t="s">
        <v>142</v>
      </c>
      <c r="G92" t="s">
        <v>133</v>
      </c>
      <c r="H92" s="16">
        <v>43470</v>
      </c>
      <c r="I92">
        <v>0</v>
      </c>
      <c r="J92" s="3"/>
    </row>
    <row r="93" spans="2:11" x14ac:dyDescent="0.3">
      <c r="B93" s="16">
        <v>43505</v>
      </c>
      <c r="C93">
        <v>20</v>
      </c>
      <c r="D93" s="3" t="s">
        <v>142</v>
      </c>
      <c r="G93" t="s">
        <v>137</v>
      </c>
      <c r="H93" s="16">
        <v>43471</v>
      </c>
      <c r="I93">
        <v>20</v>
      </c>
      <c r="J93" s="3" t="s">
        <v>141</v>
      </c>
    </row>
    <row r="94" spans="2:11" ht="32.25" customHeight="1" x14ac:dyDescent="0.3">
      <c r="B94" s="16">
        <v>43508</v>
      </c>
      <c r="C94">
        <v>20</v>
      </c>
      <c r="D94" s="3" t="s">
        <v>142</v>
      </c>
      <c r="E94" s="1" t="s">
        <v>179</v>
      </c>
      <c r="G94" t="s">
        <v>133</v>
      </c>
      <c r="H94" s="16">
        <v>43472</v>
      </c>
      <c r="I94">
        <v>0</v>
      </c>
      <c r="J94" s="3"/>
    </row>
  </sheetData>
  <conditionalFormatting sqref="D68:D94 J68:J94">
    <cfRule type="cellIs" dxfId="9" priority="4" operator="equal">
      <formula>"WIP"</formula>
    </cfRule>
    <cfRule type="cellIs" dxfId="8" priority="5" operator="equal">
      <formula>"Done"</formula>
    </cfRule>
    <cfRule type="cellIs" dxfId="7" priority="6" operator="equal">
      <formula>"Pending"</formula>
    </cfRule>
  </conditionalFormatting>
  <pageMargins left="0.7" right="0.7" top="0.75" bottom="0.75" header="0.3" footer="0.3"/>
  <pageSetup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C2:H23"/>
  <sheetViews>
    <sheetView topLeftCell="B1" workbookViewId="0">
      <selection activeCell="E3" sqref="E3"/>
    </sheetView>
  </sheetViews>
  <sheetFormatPr defaultRowHeight="14.4" x14ac:dyDescent="0.3"/>
  <cols>
    <col min="3" max="3" width="24.6640625" customWidth="1"/>
    <col min="4" max="4" width="28.44140625" customWidth="1"/>
    <col min="5" max="5" width="14.88671875" customWidth="1"/>
    <col min="6" max="6" width="15.5546875" customWidth="1"/>
    <col min="7" max="7" width="15.109375" customWidth="1"/>
    <col min="8" max="8" width="18.44140625" bestFit="1" customWidth="1"/>
  </cols>
  <sheetData>
    <row r="2" spans="3:8" x14ac:dyDescent="0.3">
      <c r="C2" s="49" t="s">
        <v>50</v>
      </c>
      <c r="D2" s="49"/>
      <c r="E2">
        <v>67000</v>
      </c>
    </row>
    <row r="3" spans="3:8" x14ac:dyDescent="0.3">
      <c r="C3" s="49" t="s">
        <v>51</v>
      </c>
      <c r="D3" s="49"/>
      <c r="E3" s="4">
        <f xml:space="preserve"> (E2 - '2018 Spendings'!F3) / 12</f>
        <v>1157.2</v>
      </c>
      <c r="F3" s="4"/>
    </row>
    <row r="4" spans="3:8" x14ac:dyDescent="0.3">
      <c r="C4" s="49" t="s">
        <v>62</v>
      </c>
      <c r="D4" s="49"/>
      <c r="E4">
        <v>5000</v>
      </c>
    </row>
    <row r="5" spans="3:8" x14ac:dyDescent="0.3">
      <c r="C5" s="49" t="s">
        <v>61</v>
      </c>
      <c r="D5" s="49"/>
      <c r="E5" s="8">
        <v>0</v>
      </c>
      <c r="F5" t="s">
        <v>63</v>
      </c>
    </row>
    <row r="6" spans="3:8" x14ac:dyDescent="0.3">
      <c r="C6" s="49" t="s">
        <v>68</v>
      </c>
      <c r="D6" s="49"/>
      <c r="E6">
        <v>4727</v>
      </c>
      <c r="F6" t="s">
        <v>82</v>
      </c>
    </row>
    <row r="8" spans="3:8" ht="43.2" x14ac:dyDescent="0.3">
      <c r="D8" s="2" t="s">
        <v>45</v>
      </c>
      <c r="E8" s="3" t="s">
        <v>65</v>
      </c>
      <c r="F8" s="2" t="s">
        <v>64</v>
      </c>
      <c r="G8" s="3" t="s">
        <v>66</v>
      </c>
      <c r="H8" s="3" t="s">
        <v>67</v>
      </c>
    </row>
    <row r="9" spans="3:8" x14ac:dyDescent="0.3">
      <c r="D9" s="6">
        <v>43252</v>
      </c>
      <c r="E9" s="4">
        <f>E$3</f>
        <v>1157.2</v>
      </c>
      <c r="F9" s="4">
        <v>4727</v>
      </c>
      <c r="G9">
        <f xml:space="preserve"> IF(ISBLANK(Table25[[#This Row],[Bank amount]]), G8, Table25[[#This Row],[Bank amount]] - E$6)</f>
        <v>0</v>
      </c>
      <c r="H9">
        <v>0</v>
      </c>
    </row>
    <row r="10" spans="3:8" x14ac:dyDescent="0.3">
      <c r="D10" s="6">
        <v>43282</v>
      </c>
      <c r="E10" s="4">
        <f xml:space="preserve"> E9 + E$3</f>
        <v>2314.4</v>
      </c>
      <c r="F10" s="4">
        <v>5390</v>
      </c>
      <c r="G10">
        <f xml:space="preserve"> IF(ISBLANK(Table25[[#This Row],[Bank amount]]), G9, Table25[[#This Row],[Bank amount]] - E$6)</f>
        <v>663</v>
      </c>
      <c r="H10">
        <f>Table25[[#This Row],[Actual  
2018 saving
(Aggregated)]] - G9</f>
        <v>663</v>
      </c>
    </row>
    <row r="11" spans="3:8" x14ac:dyDescent="0.3">
      <c r="D11" s="6">
        <v>43313</v>
      </c>
      <c r="E11" s="4">
        <f t="shared" ref="E11:E21" si="0" xml:space="preserve"> E10 + E$3</f>
        <v>3471.6000000000004</v>
      </c>
      <c r="F11" s="4">
        <v>7500</v>
      </c>
      <c r="G11">
        <f xml:space="preserve"> IF(ISBLANK(Table25[[#This Row],[Bank amount]]), G10, Table25[[#This Row],[Bank amount]] - E$6)</f>
        <v>2773</v>
      </c>
      <c r="H11">
        <f>Table25[[#This Row],[Actual  
2018 saving
(Aggregated)]] - G10</f>
        <v>2110</v>
      </c>
    </row>
    <row r="12" spans="3:8" x14ac:dyDescent="0.3">
      <c r="D12" s="6">
        <v>43344</v>
      </c>
      <c r="E12" s="4">
        <f t="shared" si="0"/>
        <v>4628.8</v>
      </c>
      <c r="F12" s="4">
        <v>9000</v>
      </c>
      <c r="G12">
        <f xml:space="preserve"> IF(ISBLANK(Table25[[#This Row],[Bank amount]]), G11, Table25[[#This Row],[Bank amount]] - E$6)</f>
        <v>4273</v>
      </c>
      <c r="H12">
        <f>Table25[[#This Row],[Actual  
2018 saving
(Aggregated)]] - G11</f>
        <v>1500</v>
      </c>
    </row>
    <row r="13" spans="3:8" x14ac:dyDescent="0.3">
      <c r="D13" s="6">
        <v>43374</v>
      </c>
      <c r="E13" s="4">
        <f t="shared" si="0"/>
        <v>5786</v>
      </c>
      <c r="F13" s="4">
        <v>12082</v>
      </c>
      <c r="G13">
        <f xml:space="preserve"> IF(ISBLANK(Table25[[#This Row],[Bank amount]]), G12, Table25[[#This Row],[Bank amount]] - E$6)</f>
        <v>7355</v>
      </c>
      <c r="H13">
        <f>Table25[[#This Row],[Actual  
2018 saving
(Aggregated)]] - G12</f>
        <v>3082</v>
      </c>
    </row>
    <row r="14" spans="3:8" x14ac:dyDescent="0.3">
      <c r="D14" s="6">
        <v>43405</v>
      </c>
      <c r="E14" s="4">
        <f t="shared" si="0"/>
        <v>6943.2</v>
      </c>
      <c r="F14" s="4">
        <v>14500</v>
      </c>
      <c r="G14">
        <f xml:space="preserve"> IF(ISBLANK(Table25[[#This Row],[Bank amount]]), G13, Table25[[#This Row],[Bank amount]] - E$6)</f>
        <v>9773</v>
      </c>
      <c r="H14">
        <f>Table25[[#This Row],[Actual  
2018 saving
(Aggregated)]] - G13</f>
        <v>2418</v>
      </c>
    </row>
    <row r="15" spans="3:8" x14ac:dyDescent="0.3">
      <c r="D15" s="6">
        <v>43435</v>
      </c>
      <c r="E15" s="4">
        <f t="shared" si="0"/>
        <v>8100.4</v>
      </c>
      <c r="F15" s="4">
        <v>16906</v>
      </c>
      <c r="G15">
        <f xml:space="preserve"> IF(ISBLANK(Table25[[#This Row],[Bank amount]]), G14, Table25[[#This Row],[Bank amount]] - E$6)</f>
        <v>12179</v>
      </c>
      <c r="H15">
        <f>Table25[[#This Row],[Actual  
2018 saving
(Aggregated)]] - G14</f>
        <v>2406</v>
      </c>
    </row>
    <row r="16" spans="3:8" x14ac:dyDescent="0.3">
      <c r="D16" s="6">
        <v>43466</v>
      </c>
      <c r="E16" s="4">
        <f t="shared" si="0"/>
        <v>9257.6</v>
      </c>
      <c r="F16" s="4">
        <v>15119</v>
      </c>
      <c r="G16">
        <f xml:space="preserve"> IF(ISBLANK(Table25[[#This Row],[Bank amount]]), G15, Table25[[#This Row],[Bank amount]] - E$6)</f>
        <v>10392</v>
      </c>
      <c r="H16">
        <f>Table25[[#This Row],[Actual  
2018 saving
(Aggregated)]] - G15</f>
        <v>-1787</v>
      </c>
    </row>
    <row r="17" spans="4:8" x14ac:dyDescent="0.3">
      <c r="D17" s="6">
        <v>43497</v>
      </c>
      <c r="E17" s="4">
        <f t="shared" si="0"/>
        <v>10414.800000000001</v>
      </c>
      <c r="F17" s="4">
        <v>17000</v>
      </c>
      <c r="G17">
        <f xml:space="preserve"> IF(ISBLANK(Table25[[#This Row],[Bank amount]]), G16, Table25[[#This Row],[Bank amount]] - E$6)</f>
        <v>12273</v>
      </c>
      <c r="H17">
        <f>Table25[[#This Row],[Actual  
2018 saving
(Aggregated)]] - G16</f>
        <v>1881</v>
      </c>
    </row>
    <row r="18" spans="4:8" x14ac:dyDescent="0.3">
      <c r="D18" s="6">
        <v>43525</v>
      </c>
      <c r="E18" s="4">
        <f t="shared" si="0"/>
        <v>11572.000000000002</v>
      </c>
      <c r="F18" s="4">
        <f xml:space="preserve"> 5500+5900</f>
        <v>11400</v>
      </c>
      <c r="G18">
        <f xml:space="preserve"> IF(ISBLANK(Table25[[#This Row],[Bank amount]]), G17, Table25[[#This Row],[Bank amount]] - E$6)</f>
        <v>6673</v>
      </c>
      <c r="H18">
        <f>Table25[[#This Row],[Actual  
2018 saving
(Aggregated)]] - G17</f>
        <v>-5600</v>
      </c>
    </row>
    <row r="19" spans="4:8" x14ac:dyDescent="0.3">
      <c r="D19" s="6">
        <v>43556</v>
      </c>
      <c r="E19" s="4">
        <f t="shared" si="0"/>
        <v>12729.200000000003</v>
      </c>
      <c r="F19" s="4">
        <v>15035</v>
      </c>
      <c r="G19">
        <f xml:space="preserve"> IF(ISBLANK(Table25[[#This Row],[Bank amount]]), G18, Table25[[#This Row],[Bank amount]] - E$6)</f>
        <v>10308</v>
      </c>
      <c r="H19">
        <f>Table25[[#This Row],[Actual  
2018 saving
(Aggregated)]] - G18</f>
        <v>3635</v>
      </c>
    </row>
    <row r="20" spans="4:8" x14ac:dyDescent="0.3">
      <c r="D20" s="6">
        <v>43586</v>
      </c>
      <c r="E20" s="4">
        <f t="shared" si="0"/>
        <v>13886.400000000003</v>
      </c>
      <c r="F20" s="4">
        <v>14000</v>
      </c>
      <c r="G20">
        <f xml:space="preserve"> IF(ISBLANK(Table25[[#This Row],[Bank amount]]), G19, Table25[[#This Row],[Bank amount]] - E$6)</f>
        <v>9273</v>
      </c>
      <c r="H20">
        <f>Table25[[#This Row],[Actual  
2018 saving
(Aggregated)]] - G19</f>
        <v>-1035</v>
      </c>
    </row>
    <row r="21" spans="4:8" x14ac:dyDescent="0.3">
      <c r="D21" s="6">
        <v>43617</v>
      </c>
      <c r="E21" s="4">
        <f t="shared" si="0"/>
        <v>15043.600000000004</v>
      </c>
      <c r="F21" s="4">
        <v>13300</v>
      </c>
      <c r="G21">
        <f xml:space="preserve"> IF(ISBLANK(Table25[[#This Row],[Bank amount]]), G20, Table25[[#This Row],[Bank amount]] - E$6)</f>
        <v>8573</v>
      </c>
      <c r="H21">
        <f>Table25[[#This Row],[Actual  
2018 saving
(Aggregated)]] - G20</f>
        <v>-700</v>
      </c>
    </row>
    <row r="22" spans="4:8" x14ac:dyDescent="0.3">
      <c r="E22" s="4"/>
      <c r="F22" s="4"/>
    </row>
    <row r="23" spans="4:8" x14ac:dyDescent="0.3">
      <c r="D23" s="7" t="s">
        <v>47</v>
      </c>
      <c r="E23" s="4">
        <f xml:space="preserve"> E21 + $E$5</f>
        <v>15043.600000000004</v>
      </c>
      <c r="F23" s="4">
        <f xml:space="preserve"> F21 + $E$5</f>
        <v>13300</v>
      </c>
      <c r="G23" s="9">
        <f xml:space="preserve"> G21 + $E$5</f>
        <v>8573</v>
      </c>
    </row>
  </sheetData>
  <mergeCells count="5">
    <mergeCell ref="C2:D2"/>
    <mergeCell ref="C3:D3"/>
    <mergeCell ref="C4:D4"/>
    <mergeCell ref="C5:D5"/>
    <mergeCell ref="C6:D6"/>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4A4A-DA7E-4115-92F9-0413438C33A3}">
  <dimension ref="B3:L94"/>
  <sheetViews>
    <sheetView topLeftCell="F74" zoomScale="70" zoomScaleNormal="70" workbookViewId="0">
      <selection activeCell="G67" sqref="G67:K94"/>
    </sheetView>
  </sheetViews>
  <sheetFormatPr defaultRowHeight="14.4" x14ac:dyDescent="0.3"/>
  <cols>
    <col min="2" max="2" width="32.109375" bestFit="1" customWidth="1"/>
    <col min="3" max="3" width="17.44140625" bestFit="1" customWidth="1"/>
    <col min="4" max="4" width="15" customWidth="1"/>
    <col min="5" max="5" width="43.44140625" customWidth="1"/>
    <col min="6" max="6" width="25.5546875" customWidth="1"/>
    <col min="7" max="7" width="30.109375" customWidth="1"/>
    <col min="8" max="8" width="32.5546875" bestFit="1" customWidth="1"/>
    <col min="9" max="9" width="24.5546875" customWidth="1"/>
    <col min="10" max="10" width="39.6640625" customWidth="1"/>
    <col min="11" max="11" width="75.5546875" customWidth="1"/>
    <col min="12" max="12" width="76.44140625" bestFit="1" customWidth="1"/>
  </cols>
  <sheetData>
    <row r="3" spans="5:12" x14ac:dyDescent="0.3">
      <c r="E3" s="5" t="s">
        <v>21</v>
      </c>
      <c r="F3">
        <f xml:space="preserve"> SUM(Table1415[Expense (TND)
- Forecasted -])</f>
        <v>53113.599999999999</v>
      </c>
    </row>
    <row r="4" spans="5:12" x14ac:dyDescent="0.3">
      <c r="E4" s="5" t="s">
        <v>22</v>
      </c>
      <c r="F4" s="4">
        <f xml:space="preserve"> F3/12</f>
        <v>4426.1333333333332</v>
      </c>
    </row>
    <row r="6" spans="5:12" ht="28.8" x14ac:dyDescent="0.3">
      <c r="E6" s="2" t="s">
        <v>49</v>
      </c>
      <c r="F6" s="3" t="s">
        <v>152</v>
      </c>
      <c r="G6" s="3" t="s">
        <v>153</v>
      </c>
      <c r="H6" s="3" t="s">
        <v>16</v>
      </c>
      <c r="I6" s="2" t="s">
        <v>5</v>
      </c>
      <c r="J6" s="2" t="s">
        <v>94</v>
      </c>
      <c r="K6" s="2" t="s">
        <v>2</v>
      </c>
      <c r="L6" s="2" t="s">
        <v>1</v>
      </c>
    </row>
    <row r="7" spans="5:12" s="14" customFormat="1" ht="28.8" x14ac:dyDescent="0.3">
      <c r="E7" s="14" t="s">
        <v>4</v>
      </c>
      <c r="F7" s="14">
        <v>1000</v>
      </c>
      <c r="G7" s="14">
        <v>700</v>
      </c>
      <c r="H7" s="17">
        <f>Table1415[[#This Row],[Expense (TND)
- Forecasted -]]/12</f>
        <v>83.333333333333329</v>
      </c>
      <c r="I7" s="14" t="s">
        <v>6</v>
      </c>
      <c r="J7" s="14" t="s">
        <v>96</v>
      </c>
      <c r="K7" s="14" t="s">
        <v>3</v>
      </c>
      <c r="L7" s="15" t="s">
        <v>57</v>
      </c>
    </row>
    <row r="8" spans="5:12" s="14" customFormat="1" ht="72" x14ac:dyDescent="0.3">
      <c r="E8" s="14" t="s">
        <v>17</v>
      </c>
      <c r="F8" s="14">
        <v>1420</v>
      </c>
      <c r="G8" s="14">
        <f xml:space="preserve"> 290</f>
        <v>290</v>
      </c>
      <c r="H8" s="17">
        <f>Table1415[[#This Row],[Expense (TND)
- Forecasted -]]/12</f>
        <v>118.33333333333333</v>
      </c>
      <c r="I8" s="14" t="s">
        <v>6</v>
      </c>
      <c r="J8" s="14" t="s">
        <v>96</v>
      </c>
      <c r="K8" s="14" t="s">
        <v>3</v>
      </c>
      <c r="L8" s="15" t="s">
        <v>56</v>
      </c>
    </row>
    <row r="9" spans="5:12" s="14" customFormat="1" ht="32.25" customHeight="1" x14ac:dyDescent="0.3">
      <c r="E9" s="14" t="s">
        <v>19</v>
      </c>
      <c r="F9" s="14">
        <f xml:space="preserve"> 60 + 60 +60</f>
        <v>180</v>
      </c>
      <c r="G9" s="14">
        <f xml:space="preserve"> 60 + 60 +60</f>
        <v>180</v>
      </c>
      <c r="H9" s="17">
        <f>Table1415[[#This Row],[Expense (TND)
- Forecasted -]]/12</f>
        <v>15</v>
      </c>
      <c r="I9" s="14" t="s">
        <v>6</v>
      </c>
      <c r="J9" s="14" t="s">
        <v>96</v>
      </c>
      <c r="K9" s="14" t="s">
        <v>3</v>
      </c>
      <c r="L9" s="14" t="s">
        <v>25</v>
      </c>
    </row>
    <row r="10" spans="5:12" s="14" customFormat="1" ht="43.2" x14ac:dyDescent="0.3">
      <c r="E10" s="14" t="s">
        <v>7</v>
      </c>
      <c r="F10" s="14">
        <f xml:space="preserve"> (300 *4)*12</f>
        <v>14400</v>
      </c>
      <c r="G10" s="14">
        <f xml:space="preserve"> (300 *4)*12</f>
        <v>14400</v>
      </c>
      <c r="H10" s="17">
        <f>Table1415[[#This Row],[Expense (TND)
- Forecasted -]]/12</f>
        <v>1200</v>
      </c>
      <c r="I10" s="14" t="s">
        <v>6</v>
      </c>
      <c r="J10" s="14" t="s">
        <v>96</v>
      </c>
      <c r="K10" s="14" t="s">
        <v>3</v>
      </c>
      <c r="L10" s="15" t="s">
        <v>58</v>
      </c>
    </row>
    <row r="11" spans="5:12" s="14" customFormat="1" ht="43.2" x14ac:dyDescent="0.3">
      <c r="E11" s="14" t="s">
        <v>34</v>
      </c>
      <c r="F11" s="14">
        <v>1000</v>
      </c>
      <c r="G11" s="14">
        <v>1000</v>
      </c>
      <c r="H11" s="17">
        <f>Table1415[[#This Row],[Expense (TND)
- Forecasted -]]/12</f>
        <v>83.333333333333329</v>
      </c>
      <c r="I11" s="14" t="s">
        <v>6</v>
      </c>
      <c r="J11" s="14" t="s">
        <v>96</v>
      </c>
      <c r="K11" s="14" t="s">
        <v>3</v>
      </c>
      <c r="L11" s="15" t="s">
        <v>44</v>
      </c>
    </row>
    <row r="12" spans="5:12" s="14" customFormat="1" ht="28.8" x14ac:dyDescent="0.3">
      <c r="E12" s="14" t="s">
        <v>10</v>
      </c>
      <c r="F12" s="14">
        <f xml:space="preserve"> 200 * 12</f>
        <v>2400</v>
      </c>
      <c r="G12" s="14">
        <f xml:space="preserve"> 200 * 12</f>
        <v>2400</v>
      </c>
      <c r="H12" s="17">
        <f>Table1415[[#This Row],[Expense (TND)
- Forecasted -]]/12</f>
        <v>200</v>
      </c>
      <c r="I12" s="14" t="s">
        <v>8</v>
      </c>
      <c r="J12" s="14" t="s">
        <v>96</v>
      </c>
      <c r="K12" s="14" t="s">
        <v>3</v>
      </c>
      <c r="L12" s="15" t="s">
        <v>83</v>
      </c>
    </row>
    <row r="13" spans="5:12" s="14" customFormat="1" ht="28.8" x14ac:dyDescent="0.3">
      <c r="E13" s="14" t="s">
        <v>24</v>
      </c>
      <c r="F13" s="14">
        <f>1100*12</f>
        <v>13200</v>
      </c>
      <c r="G13" s="14">
        <f>1100*12</f>
        <v>13200</v>
      </c>
      <c r="H13" s="17">
        <f>Table1415[[#This Row],[Expense (TND)
- Forecasted -]]/12</f>
        <v>1100</v>
      </c>
      <c r="I13" s="14" t="s">
        <v>6</v>
      </c>
      <c r="J13" s="14" t="s">
        <v>96</v>
      </c>
      <c r="K13" s="14" t="s">
        <v>3</v>
      </c>
      <c r="L13" s="15" t="s">
        <v>35</v>
      </c>
    </row>
    <row r="14" spans="5:12" s="14" customFormat="1" ht="244.8" x14ac:dyDescent="0.3">
      <c r="E14" s="14" t="s">
        <v>11</v>
      </c>
      <c r="F14" s="14">
        <v>1600</v>
      </c>
      <c r="G14" s="14">
        <f xml:space="preserve">  300 + (630 * 2) + 1200 + 500 + 1400</f>
        <v>4660</v>
      </c>
      <c r="H14" s="17">
        <f>Table1415[[#This Row],[Expense (TND)
- Forecasted -]]/12</f>
        <v>133.33333333333334</v>
      </c>
      <c r="I14" s="14" t="s">
        <v>8</v>
      </c>
      <c r="J14" s="14" t="s">
        <v>95</v>
      </c>
      <c r="K14" s="14" t="s">
        <v>3</v>
      </c>
      <c r="L14" s="15" t="s">
        <v>201</v>
      </c>
    </row>
    <row r="15" spans="5:12" s="14" customFormat="1" ht="32.25" customHeight="1" x14ac:dyDescent="0.3">
      <c r="E15" s="14" t="s">
        <v>13</v>
      </c>
      <c r="F15" s="14">
        <f>30*4*12</f>
        <v>1440</v>
      </c>
      <c r="G15" s="14">
        <f>30*4*12</f>
        <v>1440</v>
      </c>
      <c r="H15" s="17">
        <f>Table1415[[#This Row],[Expense (TND)
- Forecasted -]]/12</f>
        <v>120</v>
      </c>
      <c r="I15" s="14" t="s">
        <v>8</v>
      </c>
      <c r="J15" s="14" t="s">
        <v>96</v>
      </c>
      <c r="K15" s="14" t="s">
        <v>3</v>
      </c>
      <c r="L15" s="14" t="s">
        <v>14</v>
      </c>
    </row>
    <row r="16" spans="5:12" s="14" customFormat="1" ht="27" customHeight="1" x14ac:dyDescent="0.3">
      <c r="E16" s="14" t="s">
        <v>15</v>
      </c>
      <c r="F16" s="14">
        <v>310</v>
      </c>
      <c r="G16" s="14">
        <v>310</v>
      </c>
      <c r="H16" s="17">
        <f>Table1415[[#This Row],[Expense (TND)
- Forecasted -]]/12</f>
        <v>25.833333333333332</v>
      </c>
      <c r="I16" s="14" t="s">
        <v>8</v>
      </c>
      <c r="J16" s="14" t="s">
        <v>96</v>
      </c>
      <c r="K16" s="14" t="s">
        <v>3</v>
      </c>
    </row>
    <row r="17" spans="5:12" s="14" customFormat="1" ht="29.25" customHeight="1" x14ac:dyDescent="0.3">
      <c r="E17" s="14" t="s">
        <v>33</v>
      </c>
      <c r="F17" s="14">
        <v>1100</v>
      </c>
      <c r="G17" s="14">
        <v>1100</v>
      </c>
      <c r="H17" s="17">
        <f>Table1415[[#This Row],[Expense (TND)
- Forecasted -]]/12</f>
        <v>91.666666666666671</v>
      </c>
      <c r="I17" s="14" t="s">
        <v>8</v>
      </c>
      <c r="J17" s="14" t="s">
        <v>96</v>
      </c>
      <c r="K17" s="14" t="s">
        <v>3</v>
      </c>
    </row>
    <row r="18" spans="5:12" s="14" customFormat="1" ht="28.8" x14ac:dyDescent="0.3">
      <c r="E18" s="14" t="s">
        <v>23</v>
      </c>
      <c r="F18" s="14">
        <f xml:space="preserve"> 35 *12</f>
        <v>420</v>
      </c>
      <c r="G18" s="14">
        <f xml:space="preserve"> 35 *12</f>
        <v>420</v>
      </c>
      <c r="H18" s="17">
        <f>Table1415[[#This Row],[Expense (TND)
- Forecasted -]]/12</f>
        <v>35</v>
      </c>
      <c r="I18" s="14" t="s">
        <v>6</v>
      </c>
      <c r="J18" s="14" t="s">
        <v>96</v>
      </c>
      <c r="K18" s="14" t="s">
        <v>3</v>
      </c>
      <c r="L18" s="15" t="s">
        <v>20</v>
      </c>
    </row>
    <row r="19" spans="5:12" s="14" customFormat="1" ht="43.2" x14ac:dyDescent="0.3">
      <c r="E19" s="14" t="s">
        <v>26</v>
      </c>
      <c r="F19" s="14">
        <v>500</v>
      </c>
      <c r="G19" s="14">
        <f xml:space="preserve"> 400 + 200 + 100</f>
        <v>700</v>
      </c>
      <c r="H19" s="17">
        <f>Table1415[[#This Row],[Expense (TND)
- Forecasted -]]/12</f>
        <v>41.666666666666664</v>
      </c>
      <c r="I19" s="14" t="s">
        <v>8</v>
      </c>
      <c r="J19" s="14" t="s">
        <v>96</v>
      </c>
      <c r="K19" s="14" t="s">
        <v>3</v>
      </c>
      <c r="L19" s="15" t="s">
        <v>154</v>
      </c>
    </row>
    <row r="20" spans="5:12" s="14" customFormat="1" ht="57.6" x14ac:dyDescent="0.3">
      <c r="E20" s="14" t="s">
        <v>30</v>
      </c>
      <c r="F20" s="14">
        <f xml:space="preserve"> 150 + 150</f>
        <v>300</v>
      </c>
      <c r="G20" s="14">
        <v>300</v>
      </c>
      <c r="H20" s="17">
        <f>Table1415[[#This Row],[Expense (TND)
- Forecasted -]]/12</f>
        <v>25</v>
      </c>
      <c r="I20" s="14" t="s">
        <v>6</v>
      </c>
      <c r="J20" s="14" t="s">
        <v>96</v>
      </c>
      <c r="K20" s="14" t="s">
        <v>3</v>
      </c>
      <c r="L20" s="15" t="s">
        <v>42</v>
      </c>
    </row>
    <row r="21" spans="5:12" s="14" customFormat="1" ht="28.8" x14ac:dyDescent="0.3">
      <c r="E21" s="14" t="s">
        <v>27</v>
      </c>
      <c r="F21" s="14">
        <f xml:space="preserve"> 30 * 6</f>
        <v>180</v>
      </c>
      <c r="G21" s="14">
        <v>250</v>
      </c>
      <c r="H21" s="17">
        <f>Table1415[[#This Row],[Expense (TND)
- Forecasted -]]/12</f>
        <v>15</v>
      </c>
      <c r="I21" s="14" t="s">
        <v>6</v>
      </c>
      <c r="J21" s="14" t="s">
        <v>96</v>
      </c>
      <c r="K21" s="14" t="s">
        <v>3</v>
      </c>
      <c r="L21" s="15" t="s">
        <v>37</v>
      </c>
    </row>
    <row r="22" spans="5:12" s="14" customFormat="1" ht="57.6" x14ac:dyDescent="0.3">
      <c r="E22" s="14" t="s">
        <v>28</v>
      </c>
      <c r="F22" s="14">
        <f xml:space="preserve"> 1900 - 1500 + (25*12)</f>
        <v>700</v>
      </c>
      <c r="G22" s="14">
        <v>898</v>
      </c>
      <c r="H22" s="17">
        <f>Table1415[[#This Row],[Expense (TND)
- Forecasted -]]/12</f>
        <v>58.333333333333336</v>
      </c>
      <c r="I22" s="14" t="s">
        <v>6</v>
      </c>
      <c r="J22" s="14" t="s">
        <v>96</v>
      </c>
      <c r="K22" s="14" t="s">
        <v>3</v>
      </c>
      <c r="L22" s="15" t="s">
        <v>59</v>
      </c>
    </row>
    <row r="23" spans="5:12" s="14" customFormat="1" ht="28.8" x14ac:dyDescent="0.3">
      <c r="E23" s="14" t="s">
        <v>32</v>
      </c>
      <c r="F23" s="14">
        <v>500</v>
      </c>
      <c r="H23" s="17">
        <f>Table1415[[#This Row],[Expense (TND)
- Forecasted -]]/12</f>
        <v>41.666666666666664</v>
      </c>
      <c r="I23" s="14" t="s">
        <v>6</v>
      </c>
      <c r="J23" s="14" t="s">
        <v>96</v>
      </c>
      <c r="K23" s="14" t="s">
        <v>3</v>
      </c>
      <c r="L23" s="15" t="s">
        <v>73</v>
      </c>
    </row>
    <row r="24" spans="5:12" s="14" customFormat="1" ht="30.75" customHeight="1" x14ac:dyDescent="0.3">
      <c r="E24" s="14" t="s">
        <v>86</v>
      </c>
      <c r="F24" s="14">
        <v>900</v>
      </c>
      <c r="G24" s="14">
        <v>900</v>
      </c>
      <c r="H24" s="17">
        <f>Table1415[[#This Row],[Expense (TND)
- Forecasted -]]/12</f>
        <v>75</v>
      </c>
      <c r="I24" s="14" t="s">
        <v>6</v>
      </c>
      <c r="J24" s="14" t="s">
        <v>95</v>
      </c>
      <c r="K24" s="14" t="s">
        <v>3</v>
      </c>
      <c r="L24" s="14" t="s">
        <v>92</v>
      </c>
    </row>
    <row r="25" spans="5:12" s="14" customFormat="1" x14ac:dyDescent="0.3">
      <c r="E25" s="14" t="s">
        <v>87</v>
      </c>
      <c r="F25" s="14">
        <v>300</v>
      </c>
      <c r="G25" s="14">
        <v>250</v>
      </c>
      <c r="H25" s="17">
        <f>Table1415[[#This Row],[Expense (TND)
- Forecasted -]]/12</f>
        <v>25</v>
      </c>
      <c r="I25" s="14" t="s">
        <v>6</v>
      </c>
      <c r="J25" s="14" t="s">
        <v>95</v>
      </c>
      <c r="K25" s="14" t="s">
        <v>3</v>
      </c>
      <c r="L25" s="15" t="s">
        <v>88</v>
      </c>
    </row>
    <row r="26" spans="5:12" s="14" customFormat="1" ht="86.4" x14ac:dyDescent="0.3">
      <c r="E26" s="14" t="s">
        <v>93</v>
      </c>
      <c r="F26" s="14">
        <v>500</v>
      </c>
      <c r="G26" s="14">
        <f>500+ 100+60+50+20+7</f>
        <v>737</v>
      </c>
      <c r="H26" s="17">
        <f>Table1415[[#This Row],[Expense (TND)
- Forecasted -]]/12</f>
        <v>41.666666666666664</v>
      </c>
      <c r="I26" s="14" t="s">
        <v>8</v>
      </c>
      <c r="J26" s="14" t="s">
        <v>95</v>
      </c>
      <c r="K26" s="14" t="s">
        <v>3</v>
      </c>
      <c r="L26" s="15" t="s">
        <v>176</v>
      </c>
    </row>
    <row r="27" spans="5:12" s="14" customFormat="1" ht="28.8" x14ac:dyDescent="0.3">
      <c r="E27" s="15" t="s">
        <v>97</v>
      </c>
      <c r="F27" s="14">
        <v>300</v>
      </c>
      <c r="G27" s="14">
        <v>375</v>
      </c>
      <c r="H27" s="17">
        <f>Table1415[[#This Row],[Expense (TND)
- Forecasted -]]/12</f>
        <v>25</v>
      </c>
      <c r="I27" s="14" t="s">
        <v>6</v>
      </c>
      <c r="J27" s="14" t="s">
        <v>95</v>
      </c>
      <c r="K27" s="14" t="s">
        <v>3</v>
      </c>
      <c r="L27" s="15" t="s">
        <v>99</v>
      </c>
    </row>
    <row r="28" spans="5:12" s="14" customFormat="1" ht="25.5" customHeight="1" x14ac:dyDescent="0.3">
      <c r="E28" s="14" t="s">
        <v>98</v>
      </c>
      <c r="F28" s="14">
        <f>SUM(Table1116[Fees (TND)
- Forescasted -])</f>
        <v>2863.6</v>
      </c>
      <c r="G28" s="14">
        <f>SUM(Table1116[Fees (TND)
- Actual -])</f>
        <v>2585.6</v>
      </c>
      <c r="H28" s="17">
        <f>Table1415[[#This Row],[Expense (TND)
- Forecasted -]]/12</f>
        <v>238.63333333333333</v>
      </c>
      <c r="I28" s="14" t="s">
        <v>8</v>
      </c>
      <c r="J28" s="14" t="s">
        <v>95</v>
      </c>
      <c r="K28" s="14" t="s">
        <v>3</v>
      </c>
      <c r="L28" s="14" t="s">
        <v>100</v>
      </c>
    </row>
    <row r="29" spans="5:12" s="14" customFormat="1" ht="30" customHeight="1" x14ac:dyDescent="0.3">
      <c r="E29" s="14" t="s">
        <v>155</v>
      </c>
      <c r="F29" s="14">
        <v>600</v>
      </c>
      <c r="G29" s="14">
        <v>600</v>
      </c>
      <c r="H29" s="17">
        <f>Table1415[[#This Row],[Expense (TND)
- Forecasted -]]/12</f>
        <v>50</v>
      </c>
      <c r="I29" s="14" t="s">
        <v>6</v>
      </c>
      <c r="J29" s="14" t="s">
        <v>95</v>
      </c>
      <c r="K29" s="14" t="s">
        <v>3</v>
      </c>
      <c r="L29" s="14" t="s">
        <v>146</v>
      </c>
    </row>
    <row r="30" spans="5:12" ht="72" x14ac:dyDescent="0.3">
      <c r="E30" s="14" t="s">
        <v>196</v>
      </c>
      <c r="F30" s="14">
        <v>7000</v>
      </c>
      <c r="G30" s="14">
        <v>7000</v>
      </c>
      <c r="H30" s="17">
        <f>Table1415[[#This Row],[Expense (TND)
- Forecasted -]]/12</f>
        <v>583.33333333333337</v>
      </c>
      <c r="I30" s="14" t="s">
        <v>198</v>
      </c>
      <c r="J30" s="14" t="s">
        <v>95</v>
      </c>
      <c r="K30" s="14" t="s">
        <v>3</v>
      </c>
      <c r="L30" s="15" t="s">
        <v>197</v>
      </c>
    </row>
    <row r="35" spans="5:11" ht="28.8" x14ac:dyDescent="0.3">
      <c r="E35" s="14" t="s">
        <v>101</v>
      </c>
      <c r="F35" s="14" t="s">
        <v>103</v>
      </c>
      <c r="G35" s="14" t="s">
        <v>124</v>
      </c>
      <c r="H35" s="14" t="s">
        <v>94</v>
      </c>
      <c r="I35" s="3" t="s">
        <v>138</v>
      </c>
      <c r="J35" s="3" t="s">
        <v>139</v>
      </c>
      <c r="K35" s="14" t="s">
        <v>1</v>
      </c>
    </row>
    <row r="36" spans="5:11" ht="35.25" customHeight="1" x14ac:dyDescent="0.3">
      <c r="E36" s="15" t="s">
        <v>104</v>
      </c>
      <c r="F36" s="15" t="s">
        <v>96</v>
      </c>
      <c r="G36" s="15" t="s">
        <v>125</v>
      </c>
      <c r="H36" s="15" t="s">
        <v>108</v>
      </c>
      <c r="I36" s="15">
        <f>SUM(Table1318[Fees (TND)])</f>
        <v>500</v>
      </c>
      <c r="J36" s="15">
        <f>SUMIF(Table1318[Status], "Done", Table1318[Fees (TND)])</f>
        <v>500</v>
      </c>
      <c r="K36" s="15" t="s">
        <v>113</v>
      </c>
    </row>
    <row r="37" spans="5:11" ht="28.8" x14ac:dyDescent="0.3">
      <c r="E37" s="15" t="s">
        <v>105</v>
      </c>
      <c r="F37" s="15" t="s">
        <v>109</v>
      </c>
      <c r="G37" s="15" t="s">
        <v>125</v>
      </c>
      <c r="H37" s="15" t="s">
        <v>107</v>
      </c>
      <c r="I37" s="15">
        <v>95</v>
      </c>
      <c r="J37" s="15">
        <v>95</v>
      </c>
      <c r="K37" s="15" t="s">
        <v>112</v>
      </c>
    </row>
    <row r="38" spans="5:11" ht="29.25" customHeight="1" x14ac:dyDescent="0.3">
      <c r="E38" s="15" t="s">
        <v>110</v>
      </c>
      <c r="F38" s="15" t="s">
        <v>96</v>
      </c>
      <c r="G38" s="15" t="s">
        <v>126</v>
      </c>
      <c r="H38" s="15" t="s">
        <v>108</v>
      </c>
      <c r="I38" s="15">
        <f>20*4</f>
        <v>80</v>
      </c>
      <c r="J38" s="15">
        <f xml:space="preserve"> 15+20+20</f>
        <v>55</v>
      </c>
      <c r="K38" s="15" t="s">
        <v>150</v>
      </c>
    </row>
    <row r="39" spans="5:11" ht="30.75" customHeight="1" x14ac:dyDescent="0.3">
      <c r="E39" s="15" t="s">
        <v>111</v>
      </c>
      <c r="F39" s="15" t="s">
        <v>109</v>
      </c>
      <c r="G39" s="15" t="s">
        <v>125</v>
      </c>
      <c r="H39" s="15" t="s">
        <v>108</v>
      </c>
      <c r="I39" s="15">
        <v>65</v>
      </c>
      <c r="J39" s="15">
        <v>65</v>
      </c>
      <c r="K39" s="15"/>
    </row>
    <row r="40" spans="5:11" ht="41.25" customHeight="1" x14ac:dyDescent="0.3">
      <c r="E40" s="15" t="s">
        <v>120</v>
      </c>
      <c r="F40" s="15" t="s">
        <v>109</v>
      </c>
      <c r="G40" s="15" t="s">
        <v>125</v>
      </c>
      <c r="H40" s="15" t="s">
        <v>114</v>
      </c>
      <c r="I40" s="15">
        <f xml:space="preserve"> 40 + 60</f>
        <v>100</v>
      </c>
      <c r="J40" s="15">
        <f xml:space="preserve"> 40 + 60</f>
        <v>100</v>
      </c>
      <c r="K40" s="15" t="s">
        <v>128</v>
      </c>
    </row>
    <row r="41" spans="5:11" ht="128.25" customHeight="1" x14ac:dyDescent="0.3">
      <c r="E41" s="15" t="s">
        <v>127</v>
      </c>
      <c r="F41" s="15" t="s">
        <v>109</v>
      </c>
      <c r="G41" s="15" t="s">
        <v>125</v>
      </c>
      <c r="H41" s="15" t="s">
        <v>127</v>
      </c>
      <c r="I41" s="15">
        <f>103+10+16+48+2.6+32+12.5+28+11.5+7+14+50</f>
        <v>334.6</v>
      </c>
      <c r="J41" s="15">
        <f>103+10+16+48+2.6+32+12.5+28+11.5+7+14+50+50</f>
        <v>384.6</v>
      </c>
      <c r="K41" s="15" t="s">
        <v>189</v>
      </c>
    </row>
    <row r="42" spans="5:11" ht="34.5" customHeight="1" x14ac:dyDescent="0.3">
      <c r="E42" s="15" t="s">
        <v>116</v>
      </c>
      <c r="F42" s="15" t="s">
        <v>109</v>
      </c>
      <c r="G42" s="15" t="s">
        <v>125</v>
      </c>
      <c r="H42" s="15" t="s">
        <v>115</v>
      </c>
      <c r="I42" s="15">
        <v>86</v>
      </c>
      <c r="J42" s="15">
        <v>86</v>
      </c>
      <c r="K42" s="15" t="s">
        <v>118</v>
      </c>
    </row>
    <row r="43" spans="5:11" ht="28.8" x14ac:dyDescent="0.3">
      <c r="E43" s="15" t="s">
        <v>117</v>
      </c>
      <c r="F43" s="15" t="s">
        <v>109</v>
      </c>
      <c r="G43" s="15" t="s">
        <v>125</v>
      </c>
      <c r="H43" s="15" t="s">
        <v>115</v>
      </c>
      <c r="I43" s="15">
        <v>90</v>
      </c>
      <c r="J43" s="15">
        <v>37</v>
      </c>
      <c r="K43" s="15" t="s">
        <v>171</v>
      </c>
    </row>
    <row r="44" spans="5:11" ht="33" customHeight="1" x14ac:dyDescent="0.3">
      <c r="E44" s="15" t="s">
        <v>187</v>
      </c>
      <c r="F44" s="15" t="s">
        <v>109</v>
      </c>
      <c r="G44" s="15" t="s">
        <v>125</v>
      </c>
      <c r="H44" s="15" t="s">
        <v>188</v>
      </c>
      <c r="I44" s="15">
        <v>50</v>
      </c>
      <c r="J44" s="15">
        <v>50</v>
      </c>
      <c r="K44" s="15"/>
    </row>
    <row r="45" spans="5:11" ht="50.25" customHeight="1" x14ac:dyDescent="0.3">
      <c r="E45" s="15" t="s">
        <v>119</v>
      </c>
      <c r="F45" s="15" t="s">
        <v>109</v>
      </c>
      <c r="G45" s="15" t="s">
        <v>125</v>
      </c>
      <c r="H45" s="15" t="s">
        <v>121</v>
      </c>
      <c r="I45" s="15">
        <f>10 + 10</f>
        <v>20</v>
      </c>
      <c r="J45" s="15">
        <f>10</f>
        <v>10</v>
      </c>
      <c r="K45" s="15" t="s">
        <v>172</v>
      </c>
    </row>
    <row r="46" spans="5:11" ht="62.25" customHeight="1" x14ac:dyDescent="0.3">
      <c r="E46" s="15" t="s">
        <v>122</v>
      </c>
      <c r="F46" s="15" t="s">
        <v>96</v>
      </c>
      <c r="G46" s="15" t="s">
        <v>125</v>
      </c>
      <c r="H46" s="15" t="s">
        <v>122</v>
      </c>
      <c r="I46" s="15">
        <f>SUM(Table1217[Fees])</f>
        <v>260</v>
      </c>
      <c r="J46" s="15">
        <f>SUMIF(Table1217[Status], "Done", Table1217[Fees])</f>
        <v>200</v>
      </c>
      <c r="K46" s="15" t="s">
        <v>130</v>
      </c>
    </row>
    <row r="47" spans="5:11" ht="50.25" customHeight="1" x14ac:dyDescent="0.3">
      <c r="E47" s="15" t="s">
        <v>26</v>
      </c>
      <c r="F47" s="15" t="s">
        <v>109</v>
      </c>
      <c r="G47" s="15" t="s">
        <v>126</v>
      </c>
      <c r="H47" s="15" t="s">
        <v>123</v>
      </c>
      <c r="I47" s="15">
        <f>(50*2)+200 + 5+8+3</f>
        <v>316</v>
      </c>
      <c r="J47" s="15">
        <f>(50*2)+200 + 5+8+3</f>
        <v>316</v>
      </c>
      <c r="K47" s="15" t="s">
        <v>151</v>
      </c>
    </row>
    <row r="48" spans="5:11" ht="92.25" customHeight="1" x14ac:dyDescent="0.3">
      <c r="E48" s="15" t="s">
        <v>143</v>
      </c>
      <c r="F48" s="15" t="s">
        <v>96</v>
      </c>
      <c r="G48" s="15" t="s">
        <v>126</v>
      </c>
      <c r="H48" s="15" t="s">
        <v>129</v>
      </c>
      <c r="I48" s="15">
        <v>150</v>
      </c>
      <c r="J48" s="15">
        <v>0</v>
      </c>
      <c r="K48" s="15" t="s">
        <v>161</v>
      </c>
    </row>
    <row r="49" spans="2:11" ht="43.2" x14ac:dyDescent="0.3">
      <c r="E49" s="15" t="s">
        <v>147</v>
      </c>
      <c r="F49" s="15" t="s">
        <v>109</v>
      </c>
      <c r="G49" s="15" t="s">
        <v>125</v>
      </c>
      <c r="H49" s="15" t="s">
        <v>148</v>
      </c>
      <c r="I49" s="15">
        <f xml:space="preserve"> 35 + 4</f>
        <v>39</v>
      </c>
      <c r="J49" s="15">
        <f xml:space="preserve"> 35 + 4</f>
        <v>39</v>
      </c>
      <c r="K49" s="15" t="s">
        <v>149</v>
      </c>
    </row>
    <row r="50" spans="2:11" x14ac:dyDescent="0.3">
      <c r="E50" s="15" t="s">
        <v>156</v>
      </c>
      <c r="F50" s="15" t="s">
        <v>109</v>
      </c>
      <c r="G50" s="15" t="s">
        <v>125</v>
      </c>
      <c r="H50" s="15" t="s">
        <v>158</v>
      </c>
      <c r="I50" s="15">
        <f>55+40+15</f>
        <v>110</v>
      </c>
      <c r="J50" s="15">
        <f>55+40+15</f>
        <v>110</v>
      </c>
      <c r="K50" s="15" t="s">
        <v>157</v>
      </c>
    </row>
    <row r="51" spans="2:11" x14ac:dyDescent="0.3">
      <c r="E51" s="15" t="s">
        <v>159</v>
      </c>
      <c r="F51" s="15" t="s">
        <v>96</v>
      </c>
      <c r="G51" s="15" t="s">
        <v>125</v>
      </c>
      <c r="H51" s="15" t="s">
        <v>160</v>
      </c>
      <c r="I51" s="15">
        <v>10</v>
      </c>
      <c r="J51" s="15">
        <v>10</v>
      </c>
      <c r="K51" s="15"/>
    </row>
    <row r="52" spans="2:11" x14ac:dyDescent="0.3">
      <c r="E52" s="15" t="s">
        <v>162</v>
      </c>
      <c r="F52" s="15" t="s">
        <v>109</v>
      </c>
      <c r="G52" s="15" t="s">
        <v>125</v>
      </c>
      <c r="H52" s="15" t="s">
        <v>163</v>
      </c>
      <c r="I52" s="15">
        <v>21</v>
      </c>
      <c r="J52" s="15">
        <v>21</v>
      </c>
      <c r="K52" s="15" t="s">
        <v>164</v>
      </c>
    </row>
    <row r="53" spans="2:11" ht="28.8" x14ac:dyDescent="0.3">
      <c r="E53" s="15" t="s">
        <v>165</v>
      </c>
      <c r="F53" s="15" t="s">
        <v>109</v>
      </c>
      <c r="G53" s="15" t="s">
        <v>126</v>
      </c>
      <c r="H53" s="15" t="s">
        <v>166</v>
      </c>
      <c r="I53" s="15">
        <v>32</v>
      </c>
      <c r="J53" s="15">
        <v>32</v>
      </c>
      <c r="K53" s="15" t="s">
        <v>167</v>
      </c>
    </row>
    <row r="54" spans="2:11" ht="28.8" x14ac:dyDescent="0.3">
      <c r="B54" s="1"/>
      <c r="E54" s="15" t="s">
        <v>168</v>
      </c>
      <c r="F54" s="15" t="s">
        <v>109</v>
      </c>
      <c r="G54" s="15" t="s">
        <v>126</v>
      </c>
      <c r="H54" s="15" t="s">
        <v>169</v>
      </c>
      <c r="I54" s="15">
        <v>10</v>
      </c>
      <c r="J54" s="15">
        <v>10</v>
      </c>
      <c r="K54" s="15" t="s">
        <v>170</v>
      </c>
    </row>
    <row r="55" spans="2:11" ht="43.2" x14ac:dyDescent="0.3">
      <c r="E55" s="15" t="s">
        <v>173</v>
      </c>
      <c r="F55" s="15" t="s">
        <v>96</v>
      </c>
      <c r="G55" s="15" t="s">
        <v>125</v>
      </c>
      <c r="H55" s="15" t="s">
        <v>175</v>
      </c>
      <c r="I55" s="15">
        <v>100</v>
      </c>
      <c r="J55" s="15">
        <v>100</v>
      </c>
      <c r="K55" s="15" t="s">
        <v>174</v>
      </c>
    </row>
    <row r="56" spans="2:11" ht="28.8" x14ac:dyDescent="0.3">
      <c r="E56" s="15" t="s">
        <v>180</v>
      </c>
      <c r="F56" s="15" t="s">
        <v>96</v>
      </c>
      <c r="G56" s="15" t="s">
        <v>125</v>
      </c>
      <c r="H56" s="15" t="s">
        <v>115</v>
      </c>
      <c r="I56" s="15">
        <v>100</v>
      </c>
      <c r="J56" s="15">
        <v>80</v>
      </c>
      <c r="K56" s="15" t="s">
        <v>181</v>
      </c>
    </row>
    <row r="57" spans="2:11" ht="28.8" x14ac:dyDescent="0.3">
      <c r="E57" s="15" t="s">
        <v>184</v>
      </c>
      <c r="F57" s="15" t="s">
        <v>96</v>
      </c>
      <c r="G57" s="15" t="s">
        <v>125</v>
      </c>
      <c r="H57" s="15" t="s">
        <v>182</v>
      </c>
      <c r="I57" s="15">
        <v>60</v>
      </c>
      <c r="J57" s="15">
        <v>50</v>
      </c>
      <c r="K57" s="15" t="s">
        <v>183</v>
      </c>
    </row>
    <row r="58" spans="2:11" ht="28.8" x14ac:dyDescent="0.3">
      <c r="E58" s="15" t="s">
        <v>185</v>
      </c>
      <c r="F58" s="15" t="s">
        <v>109</v>
      </c>
      <c r="G58" s="15" t="s">
        <v>125</v>
      </c>
      <c r="H58" s="15" t="s">
        <v>186</v>
      </c>
      <c r="I58" s="15">
        <v>60</v>
      </c>
      <c r="J58" s="15">
        <v>60</v>
      </c>
      <c r="K58" s="15"/>
    </row>
    <row r="59" spans="2:11" ht="43.2" x14ac:dyDescent="0.3">
      <c r="E59" s="15" t="s">
        <v>191</v>
      </c>
      <c r="F59" s="15" t="s">
        <v>109</v>
      </c>
      <c r="G59" s="15" t="s">
        <v>125</v>
      </c>
      <c r="H59" s="15" t="s">
        <v>192</v>
      </c>
      <c r="I59" s="15">
        <v>140</v>
      </c>
      <c r="J59" s="15">
        <v>140</v>
      </c>
      <c r="K59" s="15" t="s">
        <v>190</v>
      </c>
    </row>
    <row r="60" spans="2:11" ht="28.8" x14ac:dyDescent="0.3">
      <c r="E60" s="15" t="s">
        <v>193</v>
      </c>
      <c r="F60" s="15" t="s">
        <v>109</v>
      </c>
      <c r="G60" s="15" t="s">
        <v>125</v>
      </c>
      <c r="H60" s="15" t="s">
        <v>194</v>
      </c>
      <c r="I60" s="15">
        <v>35</v>
      </c>
      <c r="J60" s="15">
        <v>35</v>
      </c>
      <c r="K60" s="15"/>
    </row>
    <row r="61" spans="2:11" x14ac:dyDescent="0.3">
      <c r="E61" s="15"/>
      <c r="F61" s="15"/>
      <c r="G61" s="15"/>
      <c r="H61" s="15"/>
      <c r="I61" s="15"/>
      <c r="J61" s="15"/>
      <c r="K61" s="15"/>
    </row>
    <row r="62" spans="2:11" x14ac:dyDescent="0.3">
      <c r="E62" s="15"/>
      <c r="F62" s="15"/>
      <c r="G62" s="15"/>
      <c r="H62" s="15"/>
      <c r="I62" s="15"/>
      <c r="J62" s="15"/>
      <c r="K62" s="15"/>
    </row>
    <row r="63" spans="2:11" x14ac:dyDescent="0.3">
      <c r="E63" s="15"/>
      <c r="F63" s="15"/>
      <c r="G63" s="15"/>
      <c r="H63" s="15"/>
      <c r="I63" s="15"/>
      <c r="J63" s="15"/>
      <c r="K63" s="15"/>
    </row>
    <row r="64" spans="2:11" x14ac:dyDescent="0.3">
      <c r="E64" s="15"/>
      <c r="F64" s="15"/>
      <c r="G64" s="15"/>
      <c r="H64" s="15"/>
      <c r="I64" s="15"/>
      <c r="J64" s="15"/>
      <c r="K64" s="15"/>
    </row>
    <row r="65" spans="2:11" x14ac:dyDescent="0.3">
      <c r="E65" s="15"/>
      <c r="F65" s="15"/>
      <c r="G65" s="15"/>
      <c r="H65" s="15"/>
      <c r="I65" s="15"/>
      <c r="J65" s="15"/>
      <c r="K65" s="15"/>
    </row>
    <row r="66" spans="2:11" x14ac:dyDescent="0.3">
      <c r="B66" s="8" t="s">
        <v>136</v>
      </c>
      <c r="G66" s="8" t="s">
        <v>134</v>
      </c>
    </row>
    <row r="67" spans="2:11" ht="28.8" x14ac:dyDescent="0.3">
      <c r="B67" s="1" t="s">
        <v>135</v>
      </c>
      <c r="C67" t="s">
        <v>106</v>
      </c>
      <c r="D67" t="s">
        <v>140</v>
      </c>
      <c r="E67" t="s">
        <v>145</v>
      </c>
      <c r="G67" t="s">
        <v>132</v>
      </c>
      <c r="H67" t="s">
        <v>131</v>
      </c>
      <c r="I67" t="s">
        <v>102</v>
      </c>
      <c r="J67" t="s">
        <v>140</v>
      </c>
      <c r="K67" t="s">
        <v>144</v>
      </c>
    </row>
    <row r="68" spans="2:11" x14ac:dyDescent="0.3">
      <c r="B68" s="16">
        <v>43446</v>
      </c>
      <c r="C68">
        <v>20</v>
      </c>
      <c r="D68" s="3" t="s">
        <v>142</v>
      </c>
      <c r="E68" t="s">
        <v>109</v>
      </c>
      <c r="G68" t="s">
        <v>133</v>
      </c>
      <c r="H68" s="16">
        <v>43446</v>
      </c>
      <c r="I68">
        <v>0</v>
      </c>
      <c r="J68" s="3"/>
    </row>
    <row r="69" spans="2:11" x14ac:dyDescent="0.3">
      <c r="B69" s="16">
        <v>43448</v>
      </c>
      <c r="C69">
        <v>20</v>
      </c>
      <c r="D69" s="3" t="s">
        <v>142</v>
      </c>
      <c r="E69" t="s">
        <v>109</v>
      </c>
      <c r="G69" t="s">
        <v>137</v>
      </c>
      <c r="H69" s="16">
        <v>43447</v>
      </c>
      <c r="I69">
        <v>20</v>
      </c>
      <c r="J69" s="3" t="s">
        <v>142</v>
      </c>
      <c r="K69" t="s">
        <v>109</v>
      </c>
    </row>
    <row r="70" spans="2:11" x14ac:dyDescent="0.3">
      <c r="B70" s="16">
        <v>43452</v>
      </c>
      <c r="C70">
        <v>20</v>
      </c>
      <c r="D70" s="3" t="s">
        <v>142</v>
      </c>
      <c r="E70" t="s">
        <v>109</v>
      </c>
      <c r="G70" t="s">
        <v>133</v>
      </c>
      <c r="H70" s="16">
        <v>43448</v>
      </c>
      <c r="I70">
        <v>0</v>
      </c>
      <c r="J70" s="3"/>
    </row>
    <row r="71" spans="2:11" x14ac:dyDescent="0.3">
      <c r="B71" s="16">
        <v>43454</v>
      </c>
      <c r="C71">
        <v>20</v>
      </c>
      <c r="D71" s="3" t="s">
        <v>142</v>
      </c>
      <c r="E71" t="s">
        <v>109</v>
      </c>
      <c r="G71" t="s">
        <v>137</v>
      </c>
      <c r="H71" s="16">
        <v>43449</v>
      </c>
      <c r="I71">
        <v>20</v>
      </c>
      <c r="J71" s="3" t="s">
        <v>142</v>
      </c>
      <c r="K71" t="s">
        <v>109</v>
      </c>
    </row>
    <row r="72" spans="2:11" x14ac:dyDescent="0.3">
      <c r="B72" s="16">
        <v>43456</v>
      </c>
      <c r="C72">
        <v>20</v>
      </c>
      <c r="D72" s="3" t="s">
        <v>142</v>
      </c>
      <c r="E72" t="s">
        <v>109</v>
      </c>
      <c r="G72" t="s">
        <v>133</v>
      </c>
      <c r="H72" s="16">
        <v>43450</v>
      </c>
      <c r="I72">
        <v>0</v>
      </c>
      <c r="J72" s="3"/>
    </row>
    <row r="73" spans="2:11" x14ac:dyDescent="0.3">
      <c r="B73" s="16">
        <v>43459</v>
      </c>
      <c r="C73">
        <v>20</v>
      </c>
      <c r="D73" s="3" t="s">
        <v>142</v>
      </c>
      <c r="E73" t="s">
        <v>109</v>
      </c>
      <c r="G73" t="s">
        <v>137</v>
      </c>
      <c r="H73" s="16">
        <v>43451</v>
      </c>
      <c r="I73">
        <v>20</v>
      </c>
      <c r="J73" s="3" t="s">
        <v>142</v>
      </c>
      <c r="K73" t="s">
        <v>109</v>
      </c>
    </row>
    <row r="74" spans="2:11" x14ac:dyDescent="0.3">
      <c r="B74" s="16">
        <v>43461</v>
      </c>
      <c r="C74">
        <v>20</v>
      </c>
      <c r="D74" s="3" t="s">
        <v>142</v>
      </c>
      <c r="E74" t="s">
        <v>109</v>
      </c>
      <c r="G74" t="s">
        <v>133</v>
      </c>
      <c r="H74" s="16">
        <v>43452</v>
      </c>
      <c r="I74">
        <v>0</v>
      </c>
      <c r="J74" s="3"/>
    </row>
    <row r="75" spans="2:11" x14ac:dyDescent="0.3">
      <c r="B75" s="16">
        <v>43463</v>
      </c>
      <c r="C75">
        <v>20</v>
      </c>
      <c r="D75" s="3" t="s">
        <v>142</v>
      </c>
      <c r="E75" t="s">
        <v>109</v>
      </c>
      <c r="G75" t="s">
        <v>137</v>
      </c>
      <c r="H75" s="16">
        <v>43453</v>
      </c>
      <c r="I75">
        <v>20</v>
      </c>
      <c r="J75" s="3" t="s">
        <v>142</v>
      </c>
      <c r="K75" t="s">
        <v>109</v>
      </c>
    </row>
    <row r="76" spans="2:11" x14ac:dyDescent="0.3">
      <c r="B76" s="16">
        <v>43466</v>
      </c>
      <c r="C76">
        <v>0</v>
      </c>
      <c r="D76" s="3" t="s">
        <v>141</v>
      </c>
      <c r="E76" t="s">
        <v>177</v>
      </c>
      <c r="G76" t="s">
        <v>133</v>
      </c>
      <c r="H76" s="16">
        <v>43454</v>
      </c>
      <c r="I76">
        <v>0</v>
      </c>
      <c r="J76" s="3"/>
    </row>
    <row r="77" spans="2:11" x14ac:dyDescent="0.3">
      <c r="B77" s="16">
        <v>43468</v>
      </c>
      <c r="C77">
        <v>20</v>
      </c>
      <c r="D77" s="3" t="s">
        <v>142</v>
      </c>
      <c r="E77" t="s">
        <v>109</v>
      </c>
      <c r="G77" t="s">
        <v>137</v>
      </c>
      <c r="H77" s="16">
        <v>43455</v>
      </c>
      <c r="I77">
        <v>20</v>
      </c>
      <c r="J77" s="3" t="s">
        <v>142</v>
      </c>
      <c r="K77" t="s">
        <v>109</v>
      </c>
    </row>
    <row r="78" spans="2:11" x14ac:dyDescent="0.3">
      <c r="B78" s="16">
        <v>43470</v>
      </c>
      <c r="C78">
        <v>20</v>
      </c>
      <c r="D78" s="3" t="s">
        <v>142</v>
      </c>
      <c r="E78" t="s">
        <v>109</v>
      </c>
      <c r="G78" t="s">
        <v>133</v>
      </c>
      <c r="H78" s="16">
        <v>43456</v>
      </c>
      <c r="I78">
        <v>0</v>
      </c>
      <c r="J78" s="3"/>
    </row>
    <row r="79" spans="2:11" x14ac:dyDescent="0.3">
      <c r="B79" s="16">
        <v>43473</v>
      </c>
      <c r="C79">
        <v>20</v>
      </c>
      <c r="D79" s="3" t="s">
        <v>142</v>
      </c>
      <c r="E79" t="s">
        <v>109</v>
      </c>
      <c r="G79" t="s">
        <v>137</v>
      </c>
      <c r="H79" s="16">
        <v>43457</v>
      </c>
      <c r="I79">
        <v>20</v>
      </c>
      <c r="J79" s="3" t="s">
        <v>142</v>
      </c>
      <c r="K79" t="s">
        <v>109</v>
      </c>
    </row>
    <row r="80" spans="2:11" x14ac:dyDescent="0.3">
      <c r="B80" s="16">
        <v>43475</v>
      </c>
      <c r="C80">
        <v>20</v>
      </c>
      <c r="D80" s="3" t="s">
        <v>142</v>
      </c>
      <c r="E80" t="s">
        <v>109</v>
      </c>
      <c r="G80" t="s">
        <v>133</v>
      </c>
      <c r="H80" s="16">
        <v>43458</v>
      </c>
      <c r="I80">
        <v>0</v>
      </c>
      <c r="J80" s="3"/>
    </row>
    <row r="81" spans="2:11" x14ac:dyDescent="0.3">
      <c r="B81" s="16">
        <v>43477</v>
      </c>
      <c r="C81">
        <v>20</v>
      </c>
      <c r="D81" s="3" t="s">
        <v>142</v>
      </c>
      <c r="E81" t="s">
        <v>109</v>
      </c>
      <c r="G81" t="s">
        <v>137</v>
      </c>
      <c r="H81" s="16">
        <v>43459</v>
      </c>
      <c r="I81">
        <v>20</v>
      </c>
      <c r="J81" s="3" t="s">
        <v>142</v>
      </c>
      <c r="K81" t="s">
        <v>109</v>
      </c>
    </row>
    <row r="82" spans="2:11" x14ac:dyDescent="0.3">
      <c r="B82" s="16">
        <v>43480</v>
      </c>
      <c r="C82">
        <v>20</v>
      </c>
      <c r="D82" s="3" t="s">
        <v>142</v>
      </c>
      <c r="E82" t="s">
        <v>109</v>
      </c>
      <c r="G82" t="s">
        <v>133</v>
      </c>
      <c r="H82" s="16">
        <v>43460</v>
      </c>
      <c r="I82">
        <v>0</v>
      </c>
      <c r="J82" s="3"/>
    </row>
    <row r="83" spans="2:11" x14ac:dyDescent="0.3">
      <c r="B83" s="16">
        <v>43482</v>
      </c>
      <c r="C83">
        <v>20</v>
      </c>
      <c r="D83" s="3" t="s">
        <v>142</v>
      </c>
      <c r="E83" t="s">
        <v>109</v>
      </c>
      <c r="G83" t="s">
        <v>137</v>
      </c>
      <c r="H83" s="16">
        <v>43461</v>
      </c>
      <c r="I83">
        <v>20</v>
      </c>
      <c r="J83" s="3" t="s">
        <v>142</v>
      </c>
      <c r="K83" t="s">
        <v>109</v>
      </c>
    </row>
    <row r="84" spans="2:11" x14ac:dyDescent="0.3">
      <c r="B84" s="16">
        <v>43484</v>
      </c>
      <c r="C84">
        <v>20</v>
      </c>
      <c r="D84" s="3" t="s">
        <v>142</v>
      </c>
      <c r="E84" t="s">
        <v>109</v>
      </c>
      <c r="G84" t="s">
        <v>133</v>
      </c>
      <c r="H84" s="16">
        <v>43462</v>
      </c>
      <c r="I84">
        <v>0</v>
      </c>
      <c r="J84" s="3"/>
    </row>
    <row r="85" spans="2:11" x14ac:dyDescent="0.3">
      <c r="B85" s="16">
        <v>43487</v>
      </c>
      <c r="C85">
        <v>20</v>
      </c>
      <c r="D85" s="3" t="s">
        <v>142</v>
      </c>
      <c r="E85" t="s">
        <v>109</v>
      </c>
      <c r="G85" t="s">
        <v>137</v>
      </c>
      <c r="H85" s="16">
        <v>43463</v>
      </c>
      <c r="I85">
        <v>20</v>
      </c>
      <c r="J85" s="3" t="s">
        <v>142</v>
      </c>
      <c r="K85" t="s">
        <v>109</v>
      </c>
    </row>
    <row r="86" spans="2:11" x14ac:dyDescent="0.3">
      <c r="B86" s="16">
        <v>43489</v>
      </c>
      <c r="C86">
        <v>20</v>
      </c>
      <c r="D86" s="3" t="s">
        <v>142</v>
      </c>
      <c r="E86" t="s">
        <v>109</v>
      </c>
      <c r="G86" t="s">
        <v>133</v>
      </c>
      <c r="H86" s="16">
        <v>43464</v>
      </c>
      <c r="I86">
        <v>0</v>
      </c>
      <c r="J86" s="3"/>
    </row>
    <row r="87" spans="2:11" x14ac:dyDescent="0.3">
      <c r="B87" s="16">
        <v>43490</v>
      </c>
      <c r="C87">
        <v>20</v>
      </c>
      <c r="D87" s="3" t="s">
        <v>142</v>
      </c>
      <c r="E87" t="s">
        <v>109</v>
      </c>
      <c r="G87" t="s">
        <v>137</v>
      </c>
      <c r="H87" s="16">
        <v>43465</v>
      </c>
      <c r="I87">
        <v>20</v>
      </c>
      <c r="J87" s="3" t="s">
        <v>142</v>
      </c>
      <c r="K87" t="s">
        <v>109</v>
      </c>
    </row>
    <row r="88" spans="2:11" x14ac:dyDescent="0.3">
      <c r="B88" s="16">
        <v>43494</v>
      </c>
      <c r="C88">
        <v>20</v>
      </c>
      <c r="D88" s="3" t="s">
        <v>142</v>
      </c>
      <c r="E88" t="s">
        <v>109</v>
      </c>
      <c r="G88" t="s">
        <v>133</v>
      </c>
      <c r="H88" s="16">
        <v>43466</v>
      </c>
      <c r="I88">
        <v>0</v>
      </c>
      <c r="J88" s="3"/>
    </row>
    <row r="89" spans="2:11" x14ac:dyDescent="0.3">
      <c r="B89" s="16">
        <v>43496</v>
      </c>
      <c r="C89">
        <v>20</v>
      </c>
      <c r="D89" s="3" t="s">
        <v>142</v>
      </c>
      <c r="E89" t="s">
        <v>109</v>
      </c>
      <c r="G89" t="s">
        <v>137</v>
      </c>
      <c r="H89" s="16">
        <v>43467</v>
      </c>
      <c r="I89">
        <v>20</v>
      </c>
      <c r="J89" s="3" t="s">
        <v>141</v>
      </c>
    </row>
    <row r="90" spans="2:11" ht="28.8" x14ac:dyDescent="0.3">
      <c r="B90" s="16">
        <v>43498</v>
      </c>
      <c r="C90">
        <v>0</v>
      </c>
      <c r="D90" s="3" t="s">
        <v>141</v>
      </c>
      <c r="E90" s="1" t="s">
        <v>178</v>
      </c>
      <c r="G90" t="s">
        <v>133</v>
      </c>
      <c r="H90" s="16">
        <v>43468</v>
      </c>
      <c r="I90">
        <v>0</v>
      </c>
      <c r="J90" s="3"/>
    </row>
    <row r="91" spans="2:11" x14ac:dyDescent="0.3">
      <c r="B91" s="16">
        <v>43501</v>
      </c>
      <c r="C91">
        <v>20</v>
      </c>
      <c r="D91" s="3" t="s">
        <v>142</v>
      </c>
      <c r="E91" t="s">
        <v>109</v>
      </c>
      <c r="G91" t="s">
        <v>137</v>
      </c>
      <c r="H91" s="16">
        <v>43469</v>
      </c>
      <c r="I91">
        <v>20</v>
      </c>
      <c r="J91" s="3" t="s">
        <v>141</v>
      </c>
    </row>
    <row r="92" spans="2:11" x14ac:dyDescent="0.3">
      <c r="B92" s="16">
        <v>43503</v>
      </c>
      <c r="C92">
        <v>20</v>
      </c>
      <c r="D92" s="3" t="s">
        <v>142</v>
      </c>
      <c r="G92" t="s">
        <v>133</v>
      </c>
      <c r="H92" s="16">
        <v>43470</v>
      </c>
      <c r="I92">
        <v>0</v>
      </c>
      <c r="J92" s="3"/>
    </row>
    <row r="93" spans="2:11" x14ac:dyDescent="0.3">
      <c r="B93" s="16">
        <v>43505</v>
      </c>
      <c r="C93">
        <v>20</v>
      </c>
      <c r="D93" s="3" t="s">
        <v>142</v>
      </c>
      <c r="G93" t="s">
        <v>137</v>
      </c>
      <c r="H93" s="16">
        <v>43471</v>
      </c>
      <c r="I93">
        <v>20</v>
      </c>
      <c r="J93" s="3" t="s">
        <v>141</v>
      </c>
    </row>
    <row r="94" spans="2:11" ht="32.25" customHeight="1" x14ac:dyDescent="0.3">
      <c r="B94" s="16">
        <v>43508</v>
      </c>
      <c r="C94">
        <v>20</v>
      </c>
      <c r="D94" s="3" t="s">
        <v>142</v>
      </c>
      <c r="E94" s="1" t="s">
        <v>179</v>
      </c>
      <c r="G94" t="s">
        <v>133</v>
      </c>
      <c r="H94" s="16">
        <v>43472</v>
      </c>
      <c r="I94">
        <v>0</v>
      </c>
      <c r="J94" s="3"/>
    </row>
  </sheetData>
  <conditionalFormatting sqref="D68:D94 J68:J94">
    <cfRule type="cellIs" dxfId="6" priority="1" operator="equal">
      <formula>"WIP"</formula>
    </cfRule>
    <cfRule type="cellIs" dxfId="5" priority="2" operator="equal">
      <formula>"Done"</formula>
    </cfRule>
    <cfRule type="cellIs" dxfId="4" priority="3" operator="equal">
      <formula>"Pending"</formula>
    </cfRule>
  </conditionalFormatting>
  <pageMargins left="0.7" right="0.7" top="0.75" bottom="0.75" header="0.3" footer="0.3"/>
  <pageSetup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E8015-2787-4EF5-A71B-5BAAFFA417AB}">
  <dimension ref="C2:H22"/>
  <sheetViews>
    <sheetView topLeftCell="B1" workbookViewId="0">
      <selection activeCell="H8" sqref="H8"/>
    </sheetView>
  </sheetViews>
  <sheetFormatPr defaultRowHeight="14.4" x14ac:dyDescent="0.3"/>
  <cols>
    <col min="3" max="3" width="24.6640625" customWidth="1"/>
    <col min="4" max="4" width="28.44140625" customWidth="1"/>
    <col min="5" max="5" width="14.88671875" customWidth="1"/>
    <col min="6" max="6" width="15.5546875" customWidth="1"/>
    <col min="7" max="7" width="15.109375" customWidth="1"/>
    <col min="8" max="8" width="18.44140625" bestFit="1" customWidth="1"/>
  </cols>
  <sheetData>
    <row r="2" spans="3:8" x14ac:dyDescent="0.3">
      <c r="C2" s="49" t="s">
        <v>50</v>
      </c>
      <c r="D2" s="49"/>
      <c r="E2">
        <f xml:space="preserve"> 6300 * 12</f>
        <v>75600</v>
      </c>
    </row>
    <row r="3" spans="3:8" x14ac:dyDescent="0.3">
      <c r="C3" s="49" t="s">
        <v>51</v>
      </c>
      <c r="D3" s="49"/>
      <c r="E3" s="4">
        <f xml:space="preserve"> (E2 - '2018 Spendings'!F3) / 12</f>
        <v>1873.8666666666668</v>
      </c>
      <c r="F3" s="4"/>
    </row>
    <row r="4" spans="3:8" x14ac:dyDescent="0.3">
      <c r="C4" s="49" t="s">
        <v>62</v>
      </c>
      <c r="D4" s="49"/>
      <c r="E4">
        <v>5000</v>
      </c>
    </row>
    <row r="5" spans="3:8" x14ac:dyDescent="0.3">
      <c r="C5" s="49" t="s">
        <v>61</v>
      </c>
      <c r="D5" s="49"/>
      <c r="E5" s="8">
        <v>0</v>
      </c>
      <c r="F5" t="s">
        <v>63</v>
      </c>
    </row>
    <row r="6" spans="3:8" x14ac:dyDescent="0.3">
      <c r="C6" s="49" t="s">
        <v>68</v>
      </c>
      <c r="D6" s="49"/>
      <c r="E6">
        <v>15000</v>
      </c>
      <c r="F6" t="s">
        <v>82</v>
      </c>
    </row>
    <row r="8" spans="3:8" ht="43.2" x14ac:dyDescent="0.3">
      <c r="D8" s="2" t="s">
        <v>45</v>
      </c>
      <c r="E8" s="3" t="s">
        <v>65</v>
      </c>
      <c r="F8" s="2" t="s">
        <v>64</v>
      </c>
      <c r="G8" s="3" t="s">
        <v>66</v>
      </c>
      <c r="H8" s="3" t="s">
        <v>67</v>
      </c>
    </row>
    <row r="9" spans="3:8" x14ac:dyDescent="0.3">
      <c r="D9" s="6">
        <v>43647</v>
      </c>
      <c r="E9" s="4">
        <f>E$3</f>
        <v>1873.8666666666668</v>
      </c>
      <c r="F9" s="4">
        <v>15000</v>
      </c>
      <c r="G9">
        <f xml:space="preserve"> IF(ISBLANK(Table2519[[#This Row],[Bank amount]]), G8, Table2519[[#This Row],[Bank amount]] - E$6)</f>
        <v>0</v>
      </c>
      <c r="H9">
        <v>0</v>
      </c>
    </row>
    <row r="10" spans="3:8" x14ac:dyDescent="0.3">
      <c r="D10" s="6">
        <v>43678</v>
      </c>
      <c r="E10" s="4">
        <f xml:space="preserve"> E9 + E$3</f>
        <v>3747.7333333333336</v>
      </c>
      <c r="F10" s="4"/>
      <c r="G10">
        <f xml:space="preserve"> IF(ISBLANK(Table2519[[#This Row],[Bank amount]]), G9, Table2519[[#This Row],[Bank amount]] - E$6)</f>
        <v>0</v>
      </c>
      <c r="H10">
        <f>Table2519[[#This Row],[Actual  
2018 saving
(Aggregated)]] - G9</f>
        <v>0</v>
      </c>
    </row>
    <row r="11" spans="3:8" x14ac:dyDescent="0.3">
      <c r="D11" s="6">
        <v>43709</v>
      </c>
      <c r="E11" s="4">
        <f t="shared" ref="E11:E20" si="0" xml:space="preserve"> E10 + E$3</f>
        <v>5621.6</v>
      </c>
      <c r="F11" s="4"/>
      <c r="G11">
        <f xml:space="preserve"> IF(ISBLANK(Table2519[[#This Row],[Bank amount]]), G10, Table2519[[#This Row],[Bank amount]] - E$6)</f>
        <v>0</v>
      </c>
      <c r="H11">
        <f>Table2519[[#This Row],[Actual  
2018 saving
(Aggregated)]] - G10</f>
        <v>0</v>
      </c>
    </row>
    <row r="12" spans="3:8" x14ac:dyDescent="0.3">
      <c r="D12" s="6">
        <v>43739</v>
      </c>
      <c r="E12" s="4">
        <f t="shared" si="0"/>
        <v>7495.4666666666672</v>
      </c>
      <c r="F12" s="4"/>
      <c r="G12">
        <f xml:space="preserve"> IF(ISBLANK(Table2519[[#This Row],[Bank amount]]), G11, Table2519[[#This Row],[Bank amount]] - E$6)</f>
        <v>0</v>
      </c>
      <c r="H12">
        <f>Table2519[[#This Row],[Actual  
2018 saving
(Aggregated)]] - G11</f>
        <v>0</v>
      </c>
    </row>
    <row r="13" spans="3:8" x14ac:dyDescent="0.3">
      <c r="D13" s="6">
        <v>43770</v>
      </c>
      <c r="E13" s="4">
        <f t="shared" si="0"/>
        <v>9369.3333333333339</v>
      </c>
      <c r="F13" s="4"/>
      <c r="G13">
        <f xml:space="preserve"> IF(ISBLANK(Table2519[[#This Row],[Bank amount]]), G12, Table2519[[#This Row],[Bank amount]] - E$6)</f>
        <v>0</v>
      </c>
      <c r="H13">
        <f>Table2519[[#This Row],[Actual  
2018 saving
(Aggregated)]] - G12</f>
        <v>0</v>
      </c>
    </row>
    <row r="14" spans="3:8" x14ac:dyDescent="0.3">
      <c r="D14" s="6">
        <v>43800</v>
      </c>
      <c r="E14" s="4">
        <f t="shared" si="0"/>
        <v>11243.2</v>
      </c>
      <c r="F14" s="4"/>
      <c r="G14">
        <f xml:space="preserve"> IF(ISBLANK(Table2519[[#This Row],[Bank amount]]), G13, Table2519[[#This Row],[Bank amount]] - E$6)</f>
        <v>0</v>
      </c>
      <c r="H14">
        <f>Table2519[[#This Row],[Actual  
2018 saving
(Aggregated)]] - G13</f>
        <v>0</v>
      </c>
    </row>
    <row r="15" spans="3:8" x14ac:dyDescent="0.3">
      <c r="D15" s="6">
        <v>43831</v>
      </c>
      <c r="E15" s="4">
        <f t="shared" si="0"/>
        <v>13117.066666666668</v>
      </c>
      <c r="F15" s="4"/>
      <c r="G15">
        <f xml:space="preserve"> IF(ISBLANK(Table2519[[#This Row],[Bank amount]]), G14, Table2519[[#This Row],[Bank amount]] - E$6)</f>
        <v>0</v>
      </c>
      <c r="H15">
        <f>Table2519[[#This Row],[Actual  
2018 saving
(Aggregated)]] - G14</f>
        <v>0</v>
      </c>
    </row>
    <row r="16" spans="3:8" x14ac:dyDescent="0.3">
      <c r="D16" s="6">
        <v>43862</v>
      </c>
      <c r="E16" s="4">
        <f t="shared" si="0"/>
        <v>14990.933333333334</v>
      </c>
      <c r="F16" s="4"/>
      <c r="G16">
        <f xml:space="preserve"> IF(ISBLANK(Table2519[[#This Row],[Bank amount]]), G15, Table2519[[#This Row],[Bank amount]] - E$6)</f>
        <v>0</v>
      </c>
      <c r="H16">
        <f>Table2519[[#This Row],[Actual  
2018 saving
(Aggregated)]] - G15</f>
        <v>0</v>
      </c>
    </row>
    <row r="17" spans="4:8" x14ac:dyDescent="0.3">
      <c r="D17" s="6">
        <v>43891</v>
      </c>
      <c r="E17" s="4">
        <f t="shared" si="0"/>
        <v>16864.800000000003</v>
      </c>
      <c r="F17" s="4"/>
      <c r="G17">
        <f xml:space="preserve"> IF(ISBLANK(Table2519[[#This Row],[Bank amount]]), G16, Table2519[[#This Row],[Bank amount]] - E$6)</f>
        <v>0</v>
      </c>
      <c r="H17">
        <f>Table2519[[#This Row],[Actual  
2018 saving
(Aggregated)]] - G16</f>
        <v>0</v>
      </c>
    </row>
    <row r="18" spans="4:8" x14ac:dyDescent="0.3">
      <c r="D18" s="6">
        <v>43922</v>
      </c>
      <c r="E18" s="4">
        <f t="shared" si="0"/>
        <v>18738.666666666672</v>
      </c>
      <c r="F18" s="4"/>
      <c r="G18">
        <f xml:space="preserve"> IF(ISBLANK(Table2519[[#This Row],[Bank amount]]), G17, Table2519[[#This Row],[Bank amount]] - E$6)</f>
        <v>0</v>
      </c>
      <c r="H18">
        <f>Table2519[[#This Row],[Actual  
2018 saving
(Aggregated)]] - G17</f>
        <v>0</v>
      </c>
    </row>
    <row r="19" spans="4:8" x14ac:dyDescent="0.3">
      <c r="D19" s="6">
        <v>43952</v>
      </c>
      <c r="E19" s="4">
        <f t="shared" si="0"/>
        <v>20612.53333333334</v>
      </c>
      <c r="F19" s="4"/>
      <c r="G19">
        <f xml:space="preserve"> IF(ISBLANK(Table2519[[#This Row],[Bank amount]]), G18, Table2519[[#This Row],[Bank amount]] - E$6)</f>
        <v>0</v>
      </c>
      <c r="H19">
        <f>Table2519[[#This Row],[Actual  
2018 saving
(Aggregated)]] - G18</f>
        <v>0</v>
      </c>
    </row>
    <row r="20" spans="4:8" x14ac:dyDescent="0.3">
      <c r="D20" s="6">
        <v>43983</v>
      </c>
      <c r="E20" s="4">
        <f t="shared" si="0"/>
        <v>22486.400000000009</v>
      </c>
      <c r="F20" s="4"/>
      <c r="G20">
        <f xml:space="preserve"> IF(ISBLANK(Table2519[[#This Row],[Bank amount]]), G19, Table2519[[#This Row],[Bank amount]] - E$6)</f>
        <v>0</v>
      </c>
      <c r="H20">
        <f>Table2519[[#This Row],[Actual  
2018 saving
(Aggregated)]] - G19</f>
        <v>0</v>
      </c>
    </row>
    <row r="21" spans="4:8" x14ac:dyDescent="0.3">
      <c r="E21" s="4"/>
      <c r="F21" s="4"/>
    </row>
    <row r="22" spans="4:8" x14ac:dyDescent="0.3">
      <c r="D22" s="7" t="s">
        <v>47</v>
      </c>
      <c r="E22" s="4">
        <f>E20 + $E$5</f>
        <v>22486.400000000009</v>
      </c>
      <c r="F22" s="4">
        <f>F20 + $E$5</f>
        <v>0</v>
      </c>
      <c r="G22" s="9">
        <f>G20 + $E$5</f>
        <v>0</v>
      </c>
    </row>
  </sheetData>
  <mergeCells count="5">
    <mergeCell ref="C2:D2"/>
    <mergeCell ref="C3:D3"/>
    <mergeCell ref="C4:D4"/>
    <mergeCell ref="C5:D5"/>
    <mergeCell ref="C6:D6"/>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BA27-F603-4D12-A171-2039373482A7}">
  <dimension ref="E3:L27"/>
  <sheetViews>
    <sheetView topLeftCell="D16" zoomScale="70" zoomScaleNormal="70" workbookViewId="0">
      <selection activeCell="F7" sqref="F7"/>
    </sheetView>
  </sheetViews>
  <sheetFormatPr defaultRowHeight="14.4" x14ac:dyDescent="0.3"/>
  <cols>
    <col min="2" max="2" width="32.109375" bestFit="1" customWidth="1"/>
    <col min="3" max="3" width="17.44140625" bestFit="1" customWidth="1"/>
    <col min="4" max="4" width="15" customWidth="1"/>
    <col min="5" max="5" width="39.5546875" customWidth="1"/>
    <col min="6" max="6" width="25.5546875" customWidth="1"/>
    <col min="7" max="7" width="30.109375" customWidth="1"/>
    <col min="8" max="8" width="32.5546875" bestFit="1" customWidth="1"/>
    <col min="9" max="9" width="24.5546875" customWidth="1"/>
    <col min="10" max="10" width="39.6640625" customWidth="1"/>
    <col min="11" max="11" width="75.5546875" customWidth="1"/>
    <col min="12" max="12" width="76.44140625" bestFit="1" customWidth="1"/>
  </cols>
  <sheetData>
    <row r="3" spans="5:12" x14ac:dyDescent="0.3">
      <c r="E3" s="5" t="s">
        <v>21</v>
      </c>
      <c r="F3">
        <f xml:space="preserve"> SUM(Table141520[Expense (TND)
- Forecasted -])</f>
        <v>55645</v>
      </c>
    </row>
    <row r="4" spans="5:12" x14ac:dyDescent="0.3">
      <c r="E4" s="5" t="s">
        <v>22</v>
      </c>
      <c r="F4" s="4">
        <f xml:space="preserve"> F3/12</f>
        <v>4637.083333333333</v>
      </c>
    </row>
    <row r="6" spans="5:12" ht="28.8" x14ac:dyDescent="0.3">
      <c r="E6" s="2" t="s">
        <v>49</v>
      </c>
      <c r="F6" s="3" t="s">
        <v>152</v>
      </c>
      <c r="G6" s="3" t="s">
        <v>153</v>
      </c>
      <c r="H6" s="3" t="s">
        <v>16</v>
      </c>
      <c r="I6" s="2" t="s">
        <v>5</v>
      </c>
      <c r="J6" s="2" t="s">
        <v>94</v>
      </c>
      <c r="K6" s="2" t="s">
        <v>2</v>
      </c>
      <c r="L6" s="2" t="s">
        <v>1</v>
      </c>
    </row>
    <row r="7" spans="5:12" s="14" customFormat="1" ht="28.8" x14ac:dyDescent="0.3">
      <c r="E7" s="14" t="s">
        <v>4</v>
      </c>
      <c r="F7" s="14">
        <v>600</v>
      </c>
      <c r="G7" s="14">
        <f>65</f>
        <v>65</v>
      </c>
      <c r="H7" s="17">
        <f>Table141520[[#This Row],[Expense (TND)
- Forecasted -]]/12</f>
        <v>50</v>
      </c>
      <c r="I7" s="14" t="s">
        <v>6</v>
      </c>
      <c r="J7" s="14" t="s">
        <v>96</v>
      </c>
      <c r="K7" s="14" t="s">
        <v>3</v>
      </c>
      <c r="L7" s="15" t="s">
        <v>57</v>
      </c>
    </row>
    <row r="8" spans="5:12" s="14" customFormat="1" ht="72" x14ac:dyDescent="0.3">
      <c r="E8" s="14" t="s">
        <v>17</v>
      </c>
      <c r="F8" s="14">
        <v>1420</v>
      </c>
      <c r="H8" s="17">
        <f>Table141520[[#This Row],[Expense (TND)
- Forecasted -]]/12</f>
        <v>118.33333333333333</v>
      </c>
      <c r="I8" s="14" t="s">
        <v>6</v>
      </c>
      <c r="J8" s="14" t="s">
        <v>96</v>
      </c>
      <c r="K8" s="14" t="s">
        <v>3</v>
      </c>
      <c r="L8" s="15" t="s">
        <v>56</v>
      </c>
    </row>
    <row r="9" spans="5:12" s="14" customFormat="1" ht="32.25" customHeight="1" x14ac:dyDescent="0.3">
      <c r="E9" s="14" t="s">
        <v>19</v>
      </c>
      <c r="F9" s="14">
        <f xml:space="preserve"> 60 + 60 +60</f>
        <v>180</v>
      </c>
      <c r="H9" s="17">
        <f>Table141520[[#This Row],[Expense (TND)
- Forecasted -]]/12</f>
        <v>15</v>
      </c>
      <c r="I9" s="14" t="s">
        <v>6</v>
      </c>
      <c r="J9" s="14" t="s">
        <v>96</v>
      </c>
      <c r="K9" s="14" t="s">
        <v>3</v>
      </c>
      <c r="L9" s="14" t="s">
        <v>25</v>
      </c>
    </row>
    <row r="10" spans="5:12" s="14" customFormat="1" ht="43.2" x14ac:dyDescent="0.3">
      <c r="E10" s="14" t="s">
        <v>7</v>
      </c>
      <c r="F10" s="14">
        <f xml:space="preserve"> (300 *4)*12</f>
        <v>14400</v>
      </c>
      <c r="G10" s="14">
        <f xml:space="preserve"> (300 *4)*12</f>
        <v>14400</v>
      </c>
      <c r="H10" s="17">
        <f>Table141520[[#This Row],[Expense (TND)
- Forecasted -]]/12</f>
        <v>1200</v>
      </c>
      <c r="I10" s="14" t="s">
        <v>6</v>
      </c>
      <c r="J10" s="14" t="s">
        <v>96</v>
      </c>
      <c r="K10" s="14" t="s">
        <v>3</v>
      </c>
      <c r="L10" s="15" t="s">
        <v>58</v>
      </c>
    </row>
    <row r="11" spans="5:12" s="14" customFormat="1" ht="43.2" x14ac:dyDescent="0.3">
      <c r="E11" s="14" t="s">
        <v>34</v>
      </c>
      <c r="F11" s="14">
        <v>1000</v>
      </c>
      <c r="H11" s="17">
        <f>Table141520[[#This Row],[Expense (TND)
- Forecasted -]]/12</f>
        <v>83.333333333333329</v>
      </c>
      <c r="I11" s="14" t="s">
        <v>6</v>
      </c>
      <c r="J11" s="14" t="s">
        <v>96</v>
      </c>
      <c r="K11" s="14" t="s">
        <v>3</v>
      </c>
      <c r="L11" s="15" t="s">
        <v>44</v>
      </c>
    </row>
    <row r="12" spans="5:12" s="14" customFormat="1" ht="28.8" x14ac:dyDescent="0.3">
      <c r="E12" s="14" t="s">
        <v>10</v>
      </c>
      <c r="F12" s="14">
        <f xml:space="preserve"> 200 * 12</f>
        <v>2400</v>
      </c>
      <c r="G12" s="14">
        <f xml:space="preserve"> 200 * 12</f>
        <v>2400</v>
      </c>
      <c r="H12" s="17">
        <f>Table141520[[#This Row],[Expense (TND)
- Forecasted -]]/12</f>
        <v>200</v>
      </c>
      <c r="I12" s="14" t="s">
        <v>8</v>
      </c>
      <c r="J12" s="14" t="s">
        <v>96</v>
      </c>
      <c r="K12" s="14" t="s">
        <v>3</v>
      </c>
      <c r="L12" s="15" t="s">
        <v>83</v>
      </c>
    </row>
    <row r="13" spans="5:12" s="14" customFormat="1" ht="28.8" x14ac:dyDescent="0.3">
      <c r="E13" s="14" t="s">
        <v>202</v>
      </c>
      <c r="F13" s="14">
        <f>1100*12</f>
        <v>13200</v>
      </c>
      <c r="G13" s="14">
        <f>1100*12</f>
        <v>13200</v>
      </c>
      <c r="H13" s="17">
        <f>Table141520[[#This Row],[Expense (TND)
- Forecasted -]]/12</f>
        <v>1100</v>
      </c>
      <c r="I13" s="14" t="s">
        <v>6</v>
      </c>
      <c r="J13" s="14" t="s">
        <v>96</v>
      </c>
      <c r="K13" s="14" t="s">
        <v>3</v>
      </c>
      <c r="L13" s="15" t="s">
        <v>35</v>
      </c>
    </row>
    <row r="14" spans="5:12" s="14" customFormat="1" ht="72" x14ac:dyDescent="0.3">
      <c r="E14" s="14" t="s">
        <v>203</v>
      </c>
      <c r="F14" s="14">
        <v>12000</v>
      </c>
      <c r="G14" s="14">
        <v>12000</v>
      </c>
      <c r="H14" s="17">
        <f>Table141520[[#This Row],[Expense (TND)
- Forecasted -]]/12</f>
        <v>1000</v>
      </c>
      <c r="L14" s="15" t="s">
        <v>204</v>
      </c>
    </row>
    <row r="15" spans="5:12" s="14" customFormat="1" ht="244.8" x14ac:dyDescent="0.3">
      <c r="E15" s="14" t="s">
        <v>11</v>
      </c>
      <c r="F15" s="14">
        <v>3000</v>
      </c>
      <c r="H15" s="17">
        <f>Table141520[[#This Row],[Expense (TND)
- Forecasted -]]/12</f>
        <v>250</v>
      </c>
      <c r="I15" s="14" t="s">
        <v>8</v>
      </c>
      <c r="J15" s="14" t="s">
        <v>95</v>
      </c>
      <c r="K15" s="14" t="s">
        <v>3</v>
      </c>
      <c r="L15" s="15" t="s">
        <v>201</v>
      </c>
    </row>
    <row r="16" spans="5:12" s="14" customFormat="1" ht="32.25" customHeight="1" x14ac:dyDescent="0.3">
      <c r="E16" s="14" t="s">
        <v>13</v>
      </c>
      <c r="F16" s="14">
        <f>50*4*12</f>
        <v>2400</v>
      </c>
      <c r="G16" s="14">
        <f>50*4*12</f>
        <v>2400</v>
      </c>
      <c r="H16" s="17">
        <f>Table141520[[#This Row],[Expense (TND)
- Forecasted -]]/12</f>
        <v>200</v>
      </c>
      <c r="I16" s="14" t="s">
        <v>8</v>
      </c>
      <c r="J16" s="14" t="s">
        <v>96</v>
      </c>
      <c r="K16" s="14" t="s">
        <v>3</v>
      </c>
      <c r="L16" s="14" t="s">
        <v>205</v>
      </c>
    </row>
    <row r="17" spans="5:12" s="14" customFormat="1" ht="27" customHeight="1" x14ac:dyDescent="0.3">
      <c r="E17" s="14" t="s">
        <v>15</v>
      </c>
      <c r="F17" s="14">
        <v>310</v>
      </c>
      <c r="G17" s="14">
        <v>310</v>
      </c>
      <c r="H17" s="17">
        <f>Table141520[[#This Row],[Expense (TND)
- Forecasted -]]/12</f>
        <v>25.833333333333332</v>
      </c>
      <c r="I17" s="14" t="s">
        <v>8</v>
      </c>
      <c r="J17" s="14" t="s">
        <v>96</v>
      </c>
      <c r="K17" s="14" t="s">
        <v>3</v>
      </c>
    </row>
    <row r="18" spans="5:12" s="14" customFormat="1" ht="29.25" customHeight="1" x14ac:dyDescent="0.3">
      <c r="E18" s="14" t="s">
        <v>33</v>
      </c>
      <c r="F18" s="14">
        <v>1100</v>
      </c>
      <c r="G18" s="14">
        <v>1100</v>
      </c>
      <c r="H18" s="17">
        <f>Table141520[[#This Row],[Expense (TND)
- Forecasted -]]/12</f>
        <v>91.666666666666671</v>
      </c>
      <c r="I18" s="14" t="s">
        <v>8</v>
      </c>
      <c r="J18" s="14" t="s">
        <v>96</v>
      </c>
      <c r="K18" s="14" t="s">
        <v>3</v>
      </c>
    </row>
    <row r="19" spans="5:12" s="14" customFormat="1" ht="28.8" x14ac:dyDescent="0.3">
      <c r="E19" s="14" t="s">
        <v>23</v>
      </c>
      <c r="F19" s="14">
        <f xml:space="preserve"> 35 *12</f>
        <v>420</v>
      </c>
      <c r="G19" s="14">
        <f xml:space="preserve"> 35 *12</f>
        <v>420</v>
      </c>
      <c r="H19" s="17">
        <f>Table141520[[#This Row],[Expense (TND)
- Forecasted -]]/12</f>
        <v>35</v>
      </c>
      <c r="I19" s="14" t="s">
        <v>6</v>
      </c>
      <c r="J19" s="14" t="s">
        <v>96</v>
      </c>
      <c r="K19" s="14" t="s">
        <v>3</v>
      </c>
      <c r="L19" s="15" t="s">
        <v>20</v>
      </c>
    </row>
    <row r="20" spans="5:12" s="14" customFormat="1" ht="43.2" x14ac:dyDescent="0.3">
      <c r="E20" s="14" t="s">
        <v>26</v>
      </c>
      <c r="F20" s="14">
        <v>200</v>
      </c>
      <c r="G20" s="14">
        <v>100</v>
      </c>
      <c r="H20" s="17">
        <f>Table141520[[#This Row],[Expense (TND)
- Forecasted -]]/12</f>
        <v>16.666666666666668</v>
      </c>
      <c r="I20" s="14" t="s">
        <v>8</v>
      </c>
      <c r="J20" s="14" t="s">
        <v>96</v>
      </c>
      <c r="K20" s="14" t="s">
        <v>3</v>
      </c>
      <c r="L20" s="15" t="s">
        <v>154</v>
      </c>
    </row>
    <row r="21" spans="5:12" s="14" customFormat="1" ht="57.6" x14ac:dyDescent="0.3">
      <c r="E21" s="14" t="s">
        <v>30</v>
      </c>
      <c r="F21" s="14">
        <f xml:space="preserve"> 150 + 150</f>
        <v>300</v>
      </c>
      <c r="G21" s="14">
        <v>300</v>
      </c>
      <c r="H21" s="17">
        <f>Table141520[[#This Row],[Expense (TND)
- Forecasted -]]/12</f>
        <v>25</v>
      </c>
      <c r="I21" s="14" t="s">
        <v>6</v>
      </c>
      <c r="J21" s="14" t="s">
        <v>96</v>
      </c>
      <c r="K21" s="14" t="s">
        <v>3</v>
      </c>
      <c r="L21" s="15" t="s">
        <v>42</v>
      </c>
    </row>
    <row r="22" spans="5:12" s="14" customFormat="1" ht="28.8" x14ac:dyDescent="0.3">
      <c r="E22" s="14" t="s">
        <v>27</v>
      </c>
      <c r="F22" s="14">
        <f xml:space="preserve"> 30 * 6</f>
        <v>180</v>
      </c>
      <c r="G22" s="14">
        <v>250</v>
      </c>
      <c r="H22" s="17">
        <f>Table141520[[#This Row],[Expense (TND)
- Forecasted -]]/12</f>
        <v>15</v>
      </c>
      <c r="I22" s="14" t="s">
        <v>6</v>
      </c>
      <c r="J22" s="14" t="s">
        <v>96</v>
      </c>
      <c r="K22" s="14" t="s">
        <v>3</v>
      </c>
      <c r="L22" s="15" t="s">
        <v>37</v>
      </c>
    </row>
    <row r="23" spans="5:12" s="14" customFormat="1" ht="57.6" x14ac:dyDescent="0.3">
      <c r="E23" s="14" t="s">
        <v>28</v>
      </c>
      <c r="F23" s="14">
        <v>1135</v>
      </c>
      <c r="G23" s="14">
        <v>898</v>
      </c>
      <c r="H23" s="17">
        <f>Table141520[[#This Row],[Expense (TND)
- Forecasted -]]/12</f>
        <v>94.583333333333329</v>
      </c>
      <c r="I23" s="14" t="s">
        <v>6</v>
      </c>
      <c r="J23" s="14" t="s">
        <v>96</v>
      </c>
      <c r="K23" s="14" t="s">
        <v>3</v>
      </c>
      <c r="L23" s="15" t="s">
        <v>59</v>
      </c>
    </row>
    <row r="24" spans="5:12" s="14" customFormat="1" ht="28.8" x14ac:dyDescent="0.3">
      <c r="E24" s="14" t="s">
        <v>32</v>
      </c>
      <c r="F24" s="14">
        <v>100</v>
      </c>
      <c r="H24" s="17">
        <f>Table141520[[#This Row],[Expense (TND)
- Forecasted -]]/12</f>
        <v>8.3333333333333339</v>
      </c>
      <c r="I24" s="14" t="s">
        <v>6</v>
      </c>
      <c r="J24" s="14" t="s">
        <v>96</v>
      </c>
      <c r="K24" s="14" t="s">
        <v>3</v>
      </c>
      <c r="L24" s="15" t="s">
        <v>73</v>
      </c>
    </row>
    <row r="25" spans="5:12" s="14" customFormat="1" ht="30.75" customHeight="1" x14ac:dyDescent="0.3">
      <c r="E25" s="14" t="s">
        <v>86</v>
      </c>
      <c r="F25" s="14">
        <v>900</v>
      </c>
      <c r="G25" s="14">
        <v>900</v>
      </c>
      <c r="H25" s="17">
        <f>Table141520[[#This Row],[Expense (TND)
- Forecasted -]]/12</f>
        <v>75</v>
      </c>
      <c r="I25" s="14" t="s">
        <v>6</v>
      </c>
      <c r="J25" s="14" t="s">
        <v>95</v>
      </c>
      <c r="K25" s="14" t="s">
        <v>3</v>
      </c>
      <c r="L25" s="14" t="s">
        <v>92</v>
      </c>
    </row>
    <row r="26" spans="5:12" s="14" customFormat="1" x14ac:dyDescent="0.3">
      <c r="E26" s="14" t="s">
        <v>87</v>
      </c>
      <c r="F26" s="14">
        <v>100</v>
      </c>
      <c r="G26" s="14">
        <v>250</v>
      </c>
      <c r="H26" s="17">
        <f>Table141520[[#This Row],[Expense (TND)
- Forecasted -]]/12</f>
        <v>8.3333333333333339</v>
      </c>
      <c r="I26" s="14" t="s">
        <v>6</v>
      </c>
      <c r="J26" s="14" t="s">
        <v>95</v>
      </c>
      <c r="K26" s="14" t="s">
        <v>3</v>
      </c>
      <c r="L26" s="15" t="s">
        <v>88</v>
      </c>
    </row>
    <row r="27" spans="5:12" s="14" customFormat="1" ht="28.8" x14ac:dyDescent="0.3">
      <c r="E27" s="15" t="s">
        <v>97</v>
      </c>
      <c r="F27" s="14">
        <v>300</v>
      </c>
      <c r="G27" s="14">
        <v>375</v>
      </c>
      <c r="H27" s="17">
        <f>Table141520[[#This Row],[Expense (TND)
- Forecasted -]]/12</f>
        <v>25</v>
      </c>
      <c r="I27" s="14" t="s">
        <v>6</v>
      </c>
      <c r="J27" s="14" t="s">
        <v>95</v>
      </c>
      <c r="K27" s="14" t="s">
        <v>3</v>
      </c>
      <c r="L27" s="15" t="s">
        <v>99</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CD054-ADD1-4C4A-B77C-D7A360453B0A}">
  <dimension ref="C2:L23"/>
  <sheetViews>
    <sheetView topLeftCell="D6" workbookViewId="0">
      <selection activeCell="F12" sqref="F12"/>
    </sheetView>
  </sheetViews>
  <sheetFormatPr defaultRowHeight="14.4" x14ac:dyDescent="0.3"/>
  <cols>
    <col min="3" max="3" width="24.6640625" customWidth="1"/>
    <col min="4" max="4" width="28.44140625" customWidth="1"/>
    <col min="5" max="5" width="23.33203125" customWidth="1"/>
    <col min="6" max="6" width="15.5546875" customWidth="1"/>
    <col min="7" max="7" width="15.109375" customWidth="1"/>
    <col min="8" max="8" width="23.5546875" customWidth="1"/>
    <col min="9" max="9" width="30.109375" customWidth="1"/>
    <col min="10" max="11" width="24.88671875" customWidth="1"/>
    <col min="12" max="12" width="53.5546875" bestFit="1" customWidth="1"/>
  </cols>
  <sheetData>
    <row r="2" spans="3:12" x14ac:dyDescent="0.3">
      <c r="C2" s="49" t="s">
        <v>50</v>
      </c>
      <c r="D2" s="49"/>
      <c r="E2">
        <f xml:space="preserve"> 6350 * 12</f>
        <v>76200</v>
      </c>
    </row>
    <row r="3" spans="3:12" x14ac:dyDescent="0.3">
      <c r="C3" s="49" t="s">
        <v>51</v>
      </c>
      <c r="D3" s="49"/>
      <c r="E3" s="4">
        <f xml:space="preserve"> (E2 - '2020 Spendings'!F3) / 12</f>
        <v>1712.9166666666667</v>
      </c>
      <c r="F3" s="4"/>
    </row>
    <row r="4" spans="3:12" x14ac:dyDescent="0.3">
      <c r="C4" s="49" t="s">
        <v>62</v>
      </c>
      <c r="D4" s="49"/>
      <c r="E4">
        <v>5000</v>
      </c>
    </row>
    <row r="5" spans="3:12" x14ac:dyDescent="0.3">
      <c r="C5" s="49" t="s">
        <v>61</v>
      </c>
      <c r="D5" s="49"/>
      <c r="E5" s="8">
        <v>0</v>
      </c>
      <c r="F5" t="s">
        <v>63</v>
      </c>
    </row>
    <row r="6" spans="3:12" x14ac:dyDescent="0.3">
      <c r="C6" s="49" t="s">
        <v>206</v>
      </c>
      <c r="D6" s="49"/>
      <c r="E6">
        <v>0</v>
      </c>
      <c r="F6" t="s">
        <v>208</v>
      </c>
    </row>
    <row r="8" spans="3:12" ht="51.75" customHeight="1" x14ac:dyDescent="0.3">
      <c r="D8" s="2" t="s">
        <v>45</v>
      </c>
      <c r="E8" s="3" t="s">
        <v>209</v>
      </c>
      <c r="F8" s="2" t="s">
        <v>64</v>
      </c>
      <c r="G8" s="3" t="s">
        <v>207</v>
      </c>
      <c r="H8" s="3" t="s">
        <v>67</v>
      </c>
      <c r="I8" s="3" t="s">
        <v>223</v>
      </c>
      <c r="J8" s="3" t="s">
        <v>214</v>
      </c>
      <c r="K8" s="3" t="s">
        <v>219</v>
      </c>
      <c r="L8" s="3" t="s">
        <v>1</v>
      </c>
    </row>
    <row r="9" spans="3:12" x14ac:dyDescent="0.3">
      <c r="D9" s="6">
        <v>43732</v>
      </c>
      <c r="E9" s="4">
        <f>E$3</f>
        <v>1712.9166666666667</v>
      </c>
      <c r="F9" s="4">
        <v>4212</v>
      </c>
      <c r="G9">
        <f xml:space="preserve"> IF(ISBLANK(Table251924[[#This Row],[Bank amount]]), G8, Table251924[[#This Row],[Bank amount]] - E$6)</f>
        <v>4212</v>
      </c>
      <c r="H9">
        <f>Table251924[[#This Row],[Actual  
2020 saving
(Aggregated)]] - Table251924[[#This Row],[Money in 
(exceptional in TND)]]</f>
        <v>3212</v>
      </c>
      <c r="I9">
        <f>Table251924[[#This Row],[Actual  
2020 saving
(Aggregated)]]</f>
        <v>4212</v>
      </c>
      <c r="J9">
        <v>1000</v>
      </c>
      <c r="L9" t="s">
        <v>215</v>
      </c>
    </row>
    <row r="10" spans="3:12" x14ac:dyDescent="0.3">
      <c r="D10" s="6">
        <v>43762</v>
      </c>
      <c r="E10" s="4">
        <f xml:space="preserve"> E9 + E$3</f>
        <v>3425.8333333333335</v>
      </c>
      <c r="F10" s="4">
        <v>8190</v>
      </c>
      <c r="G10">
        <f xml:space="preserve"> IF(ISBLANK(Table251924[[#This Row],[Bank amount]]), G9, Table251924[[#This Row],[Bank amount]] - E$6)</f>
        <v>8190</v>
      </c>
      <c r="H10">
        <f>Table251924[[#This Row],[Actual  
2020 saving
(Aggregated)]] - G9 - Table251924[[#This Row],[Money in 
(exceptional in TND)]]</f>
        <v>2978</v>
      </c>
      <c r="I10">
        <f>Table251924[[#This Row],[Actual  
2020 saving
(Aggregated)]] - G9</f>
        <v>3978</v>
      </c>
      <c r="J10">
        <v>1000</v>
      </c>
      <c r="L10" t="s">
        <v>216</v>
      </c>
    </row>
    <row r="11" spans="3:12" x14ac:dyDescent="0.3">
      <c r="D11" s="6">
        <v>43793</v>
      </c>
      <c r="E11" s="4">
        <f t="shared" ref="E11:E21" si="0" xml:space="preserve"> E10 + E$3</f>
        <v>5138.75</v>
      </c>
      <c r="F11" s="4">
        <v>15763</v>
      </c>
      <c r="G11">
        <f xml:space="preserve"> IF(ISBLANK(Table251924[[#This Row],[Bank amount]]), G10, Table251924[[#This Row],[Bank amount]] - E$6)</f>
        <v>15763</v>
      </c>
      <c r="H11">
        <f>Table251924[[#This Row],[Actual  
2020 saving
(Aggregated)]] - G10 - Table251924[[#This Row],[Money in 
(exceptional in TND)]]</f>
        <v>2893</v>
      </c>
      <c r="I11">
        <f>Table251924[[#This Row],[Actual  
2020 saving
(Aggregated)]] - G10</f>
        <v>7573</v>
      </c>
      <c r="J11">
        <v>4680</v>
      </c>
      <c r="K11" t="s">
        <v>221</v>
      </c>
      <c r="L11" t="s">
        <v>217</v>
      </c>
    </row>
    <row r="12" spans="3:12" x14ac:dyDescent="0.3">
      <c r="D12" s="6">
        <v>43823</v>
      </c>
      <c r="E12" s="4">
        <f t="shared" si="0"/>
        <v>6851.666666666667</v>
      </c>
      <c r="F12" s="4"/>
      <c r="G12">
        <f xml:space="preserve"> IF(ISBLANK(Table251924[[#This Row],[Bank amount]]), G11, Table251924[[#This Row],[Bank amount]] - E$6)</f>
        <v>15763</v>
      </c>
      <c r="H12">
        <f>Table251924[[#This Row],[Actual  
2020 saving
(Aggregated)]] - G11 - Table251924[[#This Row],[Money in 
(exceptional in TND)]]</f>
        <v>-350</v>
      </c>
      <c r="I12">
        <f>Table251924[[#This Row],[Actual  
2020 saving
(Aggregated)]] - G11</f>
        <v>0</v>
      </c>
      <c r="J12">
        <v>350</v>
      </c>
      <c r="K12" t="s">
        <v>220</v>
      </c>
      <c r="L12" t="s">
        <v>218</v>
      </c>
    </row>
    <row r="13" spans="3:12" x14ac:dyDescent="0.3">
      <c r="D13" s="6">
        <v>43854</v>
      </c>
      <c r="E13" s="4">
        <f t="shared" si="0"/>
        <v>8564.5833333333339</v>
      </c>
      <c r="F13" s="4"/>
      <c r="G13">
        <f xml:space="preserve"> IF(ISBLANK(Table251924[[#This Row],[Bank amount]]), G12, Table251924[[#This Row],[Bank amount]] - E$6)</f>
        <v>15763</v>
      </c>
      <c r="H13">
        <f>Table251924[[#This Row],[Actual  
2020 saving
(Aggregated)]] - G12 - Table251924[[#This Row],[Money in 
(exceptional in TND)]]</f>
        <v>0</v>
      </c>
      <c r="I13">
        <f>Table251924[[#This Row],[Actual  
2020 saving
(Aggregated)]] - G12</f>
        <v>0</v>
      </c>
      <c r="K13" t="s">
        <v>222</v>
      </c>
    </row>
    <row r="14" spans="3:12" x14ac:dyDescent="0.3">
      <c r="D14" s="6">
        <v>43885</v>
      </c>
      <c r="E14" s="4">
        <f t="shared" si="0"/>
        <v>10277.5</v>
      </c>
      <c r="F14" s="4"/>
      <c r="G14">
        <f xml:space="preserve"> IF(ISBLANK(Table251924[[#This Row],[Bank amount]]), G13, Table251924[[#This Row],[Bank amount]] - E$6)</f>
        <v>15763</v>
      </c>
      <c r="H14">
        <f>Table251924[[#This Row],[Actual  
2020 saving
(Aggregated)]] - G13 - Table251924[[#This Row],[Money in 
(exceptional in TND)]]</f>
        <v>0</v>
      </c>
      <c r="I14">
        <f>Table251924[[#This Row],[Actual  
2020 saving
(Aggregated)]] - G13</f>
        <v>0</v>
      </c>
    </row>
    <row r="15" spans="3:12" x14ac:dyDescent="0.3">
      <c r="D15" s="6">
        <v>43914</v>
      </c>
      <c r="E15" s="4">
        <f t="shared" si="0"/>
        <v>11990.416666666666</v>
      </c>
      <c r="F15" s="4"/>
      <c r="G15">
        <f xml:space="preserve"> IF(ISBLANK(Table251924[[#This Row],[Bank amount]]), G14, Table251924[[#This Row],[Bank amount]] - E$6)</f>
        <v>15763</v>
      </c>
      <c r="H15">
        <f>Table251924[[#This Row],[Actual  
2020 saving
(Aggregated)]] - G14 - Table251924[[#This Row],[Money in 
(exceptional in TND)]]</f>
        <v>0</v>
      </c>
      <c r="I15">
        <f>Table251924[[#This Row],[Actual  
2020 saving
(Aggregated)]] - G14</f>
        <v>0</v>
      </c>
    </row>
    <row r="16" spans="3:12" x14ac:dyDescent="0.3">
      <c r="D16" s="6">
        <v>43945</v>
      </c>
      <c r="E16" s="4">
        <f t="shared" si="0"/>
        <v>13703.333333333332</v>
      </c>
      <c r="F16" s="4"/>
      <c r="G16">
        <f xml:space="preserve"> IF(ISBLANK(Table251924[[#This Row],[Bank amount]]), G15, Table251924[[#This Row],[Bank amount]] - E$6)</f>
        <v>15763</v>
      </c>
      <c r="H16">
        <f>Table251924[[#This Row],[Actual  
2020 saving
(Aggregated)]] - G15 - Table251924[[#This Row],[Money in 
(exceptional in TND)]]</f>
        <v>0</v>
      </c>
      <c r="I16">
        <f>Table251924[[#This Row],[Actual  
2020 saving
(Aggregated)]] - G15</f>
        <v>0</v>
      </c>
    </row>
    <row r="17" spans="4:9" x14ac:dyDescent="0.3">
      <c r="D17" s="6">
        <v>43975</v>
      </c>
      <c r="E17" s="4">
        <f t="shared" si="0"/>
        <v>15416.249999999998</v>
      </c>
      <c r="F17" s="4"/>
      <c r="G17">
        <f xml:space="preserve"> IF(ISBLANK(Table251924[[#This Row],[Bank amount]]), G16, Table251924[[#This Row],[Bank amount]] - E$6)</f>
        <v>15763</v>
      </c>
      <c r="H17">
        <f>Table251924[[#This Row],[Actual  
2020 saving
(Aggregated)]] - G16 - Table251924[[#This Row],[Money in 
(exceptional in TND)]]</f>
        <v>0</v>
      </c>
      <c r="I17">
        <f>Table251924[[#This Row],[Actual  
2020 saving
(Aggregated)]] - G16</f>
        <v>0</v>
      </c>
    </row>
    <row r="18" spans="4:9" x14ac:dyDescent="0.3">
      <c r="D18" s="6">
        <v>44006</v>
      </c>
      <c r="E18" s="4">
        <f t="shared" si="0"/>
        <v>17129.166666666664</v>
      </c>
      <c r="F18" s="4"/>
      <c r="G18">
        <f xml:space="preserve"> IF(ISBLANK(Table251924[[#This Row],[Bank amount]]), G17, Table251924[[#This Row],[Bank amount]] - E$6)</f>
        <v>15763</v>
      </c>
      <c r="H18">
        <f>Table251924[[#This Row],[Actual  
2020 saving
(Aggregated)]] - G17 - Table251924[[#This Row],[Money in 
(exceptional in TND)]]</f>
        <v>0</v>
      </c>
      <c r="I18">
        <f>Table251924[[#This Row],[Actual  
2020 saving
(Aggregated)]] - G17</f>
        <v>0</v>
      </c>
    </row>
    <row r="19" spans="4:9" x14ac:dyDescent="0.3">
      <c r="D19" s="6">
        <v>44036</v>
      </c>
      <c r="E19" s="4">
        <f t="shared" si="0"/>
        <v>18842.083333333332</v>
      </c>
      <c r="F19" s="4"/>
      <c r="G19">
        <f xml:space="preserve"> IF(ISBLANK(Table251924[[#This Row],[Bank amount]]), G18, Table251924[[#This Row],[Bank amount]] - E$6)</f>
        <v>15763</v>
      </c>
      <c r="H19">
        <f>Table251924[[#This Row],[Actual  
2020 saving
(Aggregated)]] - G18 - Table251924[[#This Row],[Money in 
(exceptional in TND)]]</f>
        <v>0</v>
      </c>
      <c r="I19">
        <f>Table251924[[#This Row],[Actual  
2020 saving
(Aggregated)]] - G18</f>
        <v>0</v>
      </c>
    </row>
    <row r="20" spans="4:9" x14ac:dyDescent="0.3">
      <c r="D20" s="6">
        <v>44067</v>
      </c>
      <c r="E20" s="4">
        <f t="shared" si="0"/>
        <v>20555</v>
      </c>
      <c r="F20" s="4"/>
      <c r="G20">
        <f xml:space="preserve"> IF(ISBLANK(Table251924[[#This Row],[Bank amount]]), G19, Table251924[[#This Row],[Bank amount]] - E$6)</f>
        <v>15763</v>
      </c>
      <c r="H20">
        <f>Table251924[[#This Row],[Actual  
2020 saving
(Aggregated)]] - G19 - Table251924[[#This Row],[Money in 
(exceptional in TND)]]</f>
        <v>0</v>
      </c>
      <c r="I20">
        <f>Table251924[[#This Row],[Actual  
2020 saving
(Aggregated)]] - G19</f>
        <v>0</v>
      </c>
    </row>
    <row r="21" spans="4:9" x14ac:dyDescent="0.3">
      <c r="D21" s="6">
        <v>44098</v>
      </c>
      <c r="E21" s="4">
        <f t="shared" si="0"/>
        <v>22267.916666666668</v>
      </c>
      <c r="F21" s="4"/>
      <c r="G21">
        <f xml:space="preserve"> IF(ISBLANK(Table251924[[#This Row],[Bank amount]]), G20, Table251924[[#This Row],[Bank amount]] - E$6)</f>
        <v>15763</v>
      </c>
      <c r="H21">
        <f>Table251924[[#This Row],[Actual  
2020 saving
(Aggregated)]] - G20 - Table251924[[#This Row],[Money in 
(exceptional in TND)]]</f>
        <v>0</v>
      </c>
      <c r="I21">
        <f>Table251924[[#This Row],[Actual  
2020 saving
(Aggregated)]] - G20</f>
        <v>0</v>
      </c>
    </row>
    <row r="22" spans="4:9" x14ac:dyDescent="0.3">
      <c r="D22" s="6"/>
      <c r="E22" s="4"/>
      <c r="F22" s="4"/>
    </row>
    <row r="23" spans="4:9" x14ac:dyDescent="0.3">
      <c r="D23" s="7" t="s">
        <v>47</v>
      </c>
      <c r="E23" s="4">
        <f>E21 + $E$5</f>
        <v>22267.916666666668</v>
      </c>
      <c r="F23" s="4">
        <f>F21 + $E$5</f>
        <v>0</v>
      </c>
      <c r="G23" s="9">
        <f>G21 + $E$5</f>
        <v>15763</v>
      </c>
    </row>
  </sheetData>
  <mergeCells count="5">
    <mergeCell ref="C2:D2"/>
    <mergeCell ref="C3:D3"/>
    <mergeCell ref="C4:D4"/>
    <mergeCell ref="C5:D5"/>
    <mergeCell ref="C6:D6"/>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B0E1-7282-42B2-91CE-39120273BF6A}">
  <dimension ref="D3:F10"/>
  <sheetViews>
    <sheetView topLeftCell="A9" workbookViewId="0">
      <selection activeCell="I13" sqref="I13"/>
    </sheetView>
  </sheetViews>
  <sheetFormatPr defaultRowHeight="14.4" x14ac:dyDescent="0.3"/>
  <cols>
    <col min="4" max="4" width="42.88671875" customWidth="1"/>
    <col min="5" max="5" width="15.44140625" customWidth="1"/>
    <col min="6" max="6" width="36.44140625" customWidth="1"/>
  </cols>
  <sheetData>
    <row r="3" spans="4:6" ht="86.4" x14ac:dyDescent="0.3">
      <c r="D3" s="23" t="s">
        <v>232</v>
      </c>
    </row>
    <row r="5" spans="4:6" x14ac:dyDescent="0.3">
      <c r="D5" t="s">
        <v>229</v>
      </c>
      <c r="E5" t="s">
        <v>224</v>
      </c>
      <c r="F5" t="s">
        <v>225</v>
      </c>
    </row>
    <row r="6" spans="4:6" ht="28.8" x14ac:dyDescent="0.3">
      <c r="D6" s="1" t="s">
        <v>230</v>
      </c>
      <c r="E6" s="4">
        <v>70000</v>
      </c>
      <c r="F6" s="4">
        <f>E6*((1+0.1)^5)</f>
        <v>112735.70000000004</v>
      </c>
    </row>
    <row r="7" spans="4:6" ht="72" x14ac:dyDescent="0.3">
      <c r="D7" s="1" t="s">
        <v>226</v>
      </c>
      <c r="E7">
        <f>1000*(20/((1+0.1)^2) + 30/((1+0.1)^3) + 40/((1+0.1)^4) + 50/((1+0.1)^5))</f>
        <v>97434.974014442603</v>
      </c>
      <c r="F7" s="4">
        <f>E$6 + 20000 + 30000 + 40000 + 50000</f>
        <v>210000</v>
      </c>
    </row>
    <row r="8" spans="4:6" ht="72" x14ac:dyDescent="0.3">
      <c r="D8" s="1" t="s">
        <v>227</v>
      </c>
      <c r="E8">
        <f>1000*(20/((1+0.1)^3) + 30/((1+0.1)^4) + 40/((1+0.1)^5))</f>
        <v>60353.55260134986</v>
      </c>
      <c r="F8" s="4">
        <f>E$6 + 20000 + 30000 + 40000</f>
        <v>160000</v>
      </c>
    </row>
    <row r="9" spans="4:6" ht="72" x14ac:dyDescent="0.3">
      <c r="D9" s="1" t="s">
        <v>228</v>
      </c>
      <c r="E9">
        <f>1000*(20/((1+0.1)^4) + 30/((1+0.1)^5))</f>
        <v>32287.908799076064</v>
      </c>
      <c r="F9" s="4">
        <f>E$6 + 20000 + 30000</f>
        <v>120000</v>
      </c>
    </row>
    <row r="10" spans="4:6" ht="72" x14ac:dyDescent="0.3">
      <c r="D10" s="1" t="s">
        <v>231</v>
      </c>
      <c r="E10">
        <f>1000*(20/((1+0.1)^5))</f>
        <v>12418.426461183099</v>
      </c>
      <c r="F10" s="4">
        <f>E$6 + 20000</f>
        <v>90000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2017 Spendings</vt:lpstr>
      <vt:lpstr>2017 Savings</vt:lpstr>
      <vt:lpstr>2018 Spendings</vt:lpstr>
      <vt:lpstr>2018 Savings</vt:lpstr>
      <vt:lpstr>2019 Spendings</vt:lpstr>
      <vt:lpstr>2019 Savings</vt:lpstr>
      <vt:lpstr>2020 Spendings</vt:lpstr>
      <vt:lpstr>2020 Savings</vt:lpstr>
      <vt:lpstr>economic study</vt:lpstr>
      <vt:lpstr>Forecast_new</vt:lpstr>
      <vt:lpstr>2020-2021</vt:lpstr>
      <vt:lpstr>Father</vt:lpstr>
      <vt:lpstr>Borj_Cedria</vt:lpstr>
      <vt:lpstr>Rue AlMaktar - Dokken</vt:lpstr>
      <vt:lpstr>affaire_maison_bizerte</vt:lpstr>
      <vt:lpstr>dar_allouche</vt:lpstr>
      <vt:lpstr>family_spendings_2025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Zairi, Sofien</dc:creator>
  <cp:lastModifiedBy>Zairi, Sofien</cp:lastModifiedBy>
  <dcterms:created xsi:type="dcterms:W3CDTF">2017-10-15T10:30:29Z</dcterms:created>
  <dcterms:modified xsi:type="dcterms:W3CDTF">2025-08-30T11:39:50Z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1e58c1-766d-4ff4-9619-b604fc37898b_Enabled">
    <vt:lpwstr>true</vt:lpwstr>
  </property>
  <property fmtid="{D5CDD505-2E9C-101B-9397-08002B2CF9AE}" pid="3" name="MSIP_Label_9e1e58c1-766d-4ff4-9619-b604fc37898b_SetDate">
    <vt:lpwstr>2023-04-05T07:24:54Z</vt:lpwstr>
  </property>
  <property fmtid="{D5CDD505-2E9C-101B-9397-08002B2CF9AE}" pid="4" name="MSIP_Label_9e1e58c1-766d-4ff4-9619-b604fc37898b_Method">
    <vt:lpwstr>Standard</vt:lpwstr>
  </property>
  <property fmtid="{D5CDD505-2E9C-101B-9397-08002B2CF9AE}" pid="5" name="MSIP_Label_9e1e58c1-766d-4ff4-9619-b604fc37898b_Name">
    <vt:lpwstr>Internal Use</vt:lpwstr>
  </property>
  <property fmtid="{D5CDD505-2E9C-101B-9397-08002B2CF9AE}" pid="6" name="MSIP_Label_9e1e58c1-766d-4ff4-9619-b604fc37898b_SiteId">
    <vt:lpwstr>e3ff91d8-34c8-4b15-a0b4-18910a6ac575</vt:lpwstr>
  </property>
  <property fmtid="{D5CDD505-2E9C-101B-9397-08002B2CF9AE}" pid="7" name="MSIP_Label_9e1e58c1-766d-4ff4-9619-b604fc37898b_ActionId">
    <vt:lpwstr>2d917ef9-5210-4223-84a3-c1c952158fe3</vt:lpwstr>
  </property>
  <property fmtid="{D5CDD505-2E9C-101B-9397-08002B2CF9AE}" pid="8" name="MSIP_Label_9e1e58c1-766d-4ff4-9619-b604fc37898b_ContentBits">
    <vt:lpwstr>0</vt:lpwstr>
  </property>
</Properties>
</file>