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e1079458\work\PTD\SGW\MGMT\perso\finance\"/>
    </mc:Choice>
  </mc:AlternateContent>
  <xr:revisionPtr revIDLastSave="0" documentId="13_ncr:1_{2B226832-B12E-4AF1-9C54-F7C103849590}" xr6:coauthVersionLast="36" xr6:coauthVersionMax="36" xr10:uidLastSave="{00000000-0000-0000-0000-000000000000}"/>
  <bookViews>
    <workbookView xWindow="0" yWindow="0" windowWidth="20490" windowHeight="6630" firstSheet="1" activeTab="6" xr2:uid="{00000000-000D-0000-FFFF-FFFF00000000}"/>
  </bookViews>
  <sheets>
    <sheet name="2017 Spendings" sheetId="1" r:id="rId1"/>
    <sheet name="2017 Savings" sheetId="2" r:id="rId2"/>
    <sheet name="2018 Spendings" sheetId="3" r:id="rId3"/>
    <sheet name="2018 Savings" sheetId="4" r:id="rId4"/>
    <sheet name="2019 Spendings" sheetId="6" r:id="rId5"/>
    <sheet name="2019 Savings" sheetId="7" r:id="rId6"/>
    <sheet name="Forecast"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15" i="5" l="1"/>
  <c r="W15" i="5"/>
  <c r="U15" i="5"/>
  <c r="T15" i="5"/>
  <c r="F22" i="7"/>
  <c r="E22" i="7"/>
  <c r="E2" i="7"/>
  <c r="E3" i="7" s="1"/>
  <c r="E9" i="7" s="1"/>
  <c r="E10" i="7" s="1"/>
  <c r="E11" i="7" s="1"/>
  <c r="E12" i="7" s="1"/>
  <c r="E13" i="7" s="1"/>
  <c r="E14" i="7" s="1"/>
  <c r="E15" i="7" s="1"/>
  <c r="E16" i="7" s="1"/>
  <c r="E17" i="7" s="1"/>
  <c r="E18" i="7" s="1"/>
  <c r="E19" i="7" s="1"/>
  <c r="E20" i="7" s="1"/>
  <c r="G9" i="7"/>
  <c r="G10" i="7" s="1"/>
  <c r="G11" i="7" s="1"/>
  <c r="G12" i="7" s="1"/>
  <c r="G13" i="7" s="1"/>
  <c r="G14" i="7" s="1"/>
  <c r="J50" i="6"/>
  <c r="I50" i="6"/>
  <c r="J49" i="6"/>
  <c r="I49" i="6"/>
  <c r="J47" i="6"/>
  <c r="I47" i="6"/>
  <c r="J46" i="6"/>
  <c r="I46" i="6"/>
  <c r="J45" i="6"/>
  <c r="I45" i="6"/>
  <c r="J41" i="6"/>
  <c r="I41" i="6"/>
  <c r="J40" i="6"/>
  <c r="I40" i="6"/>
  <c r="J38" i="6"/>
  <c r="I38" i="6"/>
  <c r="J36" i="6"/>
  <c r="G28" i="6" s="1"/>
  <c r="I36" i="6"/>
  <c r="H30" i="6"/>
  <c r="H29" i="6"/>
  <c r="F28" i="6"/>
  <c r="H28" i="6" s="1"/>
  <c r="H27" i="6"/>
  <c r="H26" i="6"/>
  <c r="G26" i="6"/>
  <c r="H25" i="6"/>
  <c r="H24" i="6"/>
  <c r="H23" i="6"/>
  <c r="F22" i="6"/>
  <c r="H22" i="6" s="1"/>
  <c r="F21" i="6"/>
  <c r="H21" i="6" s="1"/>
  <c r="F20" i="6"/>
  <c r="H20" i="6" s="1"/>
  <c r="H19" i="6"/>
  <c r="G19" i="6"/>
  <c r="H18" i="6"/>
  <c r="G18" i="6"/>
  <c r="F18" i="6"/>
  <c r="H17" i="6"/>
  <c r="H16" i="6"/>
  <c r="H15" i="6"/>
  <c r="G15" i="6"/>
  <c r="F15" i="6"/>
  <c r="H14" i="6"/>
  <c r="G14" i="6"/>
  <c r="G13" i="6"/>
  <c r="F13" i="6"/>
  <c r="H13" i="6" s="1"/>
  <c r="H12" i="6"/>
  <c r="G12" i="6"/>
  <c r="F12" i="6"/>
  <c r="H11" i="6"/>
  <c r="H10" i="6"/>
  <c r="G10" i="6"/>
  <c r="F10" i="6"/>
  <c r="H9" i="6"/>
  <c r="G9" i="6"/>
  <c r="F9" i="6"/>
  <c r="H8" i="6"/>
  <c r="G8" i="6"/>
  <c r="H7" i="6"/>
  <c r="G15" i="7" l="1"/>
  <c r="G16" i="7" s="1"/>
  <c r="G17" i="7" s="1"/>
  <c r="G18" i="7" s="1"/>
  <c r="H11" i="7"/>
  <c r="H13" i="7"/>
  <c r="H10" i="7"/>
  <c r="H14" i="7"/>
  <c r="H12" i="7"/>
  <c r="F3" i="6"/>
  <c r="F4" i="6" s="1"/>
  <c r="F23" i="4"/>
  <c r="E23" i="4"/>
  <c r="G21" i="4"/>
  <c r="G19" i="7" l="1"/>
  <c r="G20" i="7" s="1"/>
  <c r="H18" i="7"/>
  <c r="H16" i="7"/>
  <c r="H17" i="7"/>
  <c r="H15" i="7"/>
  <c r="K11" i="5"/>
  <c r="K12" i="5"/>
  <c r="K13" i="5"/>
  <c r="K14" i="5"/>
  <c r="K10" i="5"/>
  <c r="K9" i="5"/>
  <c r="G22" i="7" l="1"/>
  <c r="H20" i="7"/>
  <c r="H19" i="7"/>
  <c r="G20" i="4"/>
  <c r="G14" i="3" l="1"/>
  <c r="G19" i="4"/>
  <c r="G18" i="4" l="1"/>
  <c r="F18" i="4"/>
  <c r="W11" i="5" l="1"/>
  <c r="W10" i="5"/>
  <c r="W9" i="5"/>
  <c r="W14" i="5" s="1"/>
  <c r="W8" i="5"/>
  <c r="W7" i="5"/>
  <c r="H14" i="5"/>
  <c r="H13" i="5"/>
  <c r="H12" i="5"/>
  <c r="H11" i="5"/>
  <c r="H10" i="5"/>
  <c r="H9" i="5"/>
  <c r="H30" i="3"/>
  <c r="J41" i="3" l="1"/>
  <c r="I41" i="3"/>
  <c r="G17" i="4" l="1"/>
  <c r="G26" i="3" l="1"/>
  <c r="J45" i="3" l="1"/>
  <c r="G16" i="4"/>
  <c r="J50" i="3" l="1"/>
  <c r="I50" i="3"/>
  <c r="G19" i="3" l="1"/>
  <c r="G18" i="3"/>
  <c r="G15" i="3"/>
  <c r="G13" i="3"/>
  <c r="G12" i="3"/>
  <c r="G9" i="3"/>
  <c r="G10" i="3"/>
  <c r="G8" i="3"/>
  <c r="I47" i="3"/>
  <c r="J47" i="3"/>
  <c r="I45" i="3"/>
  <c r="J38" i="3"/>
  <c r="J49" i="3"/>
  <c r="I49" i="3"/>
  <c r="H29" i="3"/>
  <c r="I46" i="3" l="1"/>
  <c r="I36" i="3"/>
  <c r="J36" i="3"/>
  <c r="G28" i="3" s="1"/>
  <c r="J46" i="3"/>
  <c r="J40" i="3"/>
  <c r="I40" i="3" l="1"/>
  <c r="I38" i="3"/>
  <c r="F28" i="3" s="1"/>
  <c r="H26" i="3"/>
  <c r="H27" i="3"/>
  <c r="H28" i="3" l="1"/>
  <c r="G15" i="4"/>
  <c r="G14" i="4"/>
  <c r="V11" i="5" l="1"/>
  <c r="V10" i="5"/>
  <c r="V9" i="5"/>
  <c r="V8" i="5"/>
  <c r="V7" i="5"/>
  <c r="V14" i="5" l="1"/>
  <c r="H25" i="3"/>
  <c r="H24" i="3"/>
  <c r="G13" i="4"/>
  <c r="G12" i="4" l="1"/>
  <c r="U11" i="5" l="1"/>
  <c r="T11" i="5"/>
  <c r="U7" i="5"/>
  <c r="U10" i="5"/>
  <c r="U9" i="5"/>
  <c r="U8" i="5"/>
  <c r="T10" i="5"/>
  <c r="T9" i="5"/>
  <c r="T8" i="5"/>
  <c r="T7" i="5"/>
  <c r="U14" i="5" l="1"/>
  <c r="T14" i="5"/>
  <c r="G11" i="4"/>
  <c r="G9" i="4" l="1"/>
  <c r="G10" i="4" s="1"/>
  <c r="G26" i="1"/>
  <c r="G25" i="1"/>
  <c r="G24" i="1"/>
  <c r="G20" i="1"/>
  <c r="G18" i="1"/>
  <c r="G17" i="1"/>
  <c r="G15" i="1"/>
  <c r="G12" i="1"/>
  <c r="G11" i="1"/>
  <c r="G7" i="1"/>
  <c r="H13" i="4" l="1"/>
  <c r="H11" i="4"/>
  <c r="H10" i="4"/>
  <c r="H12" i="4"/>
  <c r="H14" i="4" l="1"/>
  <c r="H15" i="4"/>
  <c r="H16" i="4" l="1"/>
  <c r="H17" i="4" l="1"/>
  <c r="H18" i="4" l="1"/>
  <c r="H19" i="4" l="1"/>
  <c r="H20" i="4" l="1"/>
  <c r="H21" i="4" l="1"/>
  <c r="G23" i="4"/>
  <c r="H23" i="3" l="1"/>
  <c r="F22" i="3"/>
  <c r="F21" i="3"/>
  <c r="F20" i="3"/>
  <c r="H19" i="3"/>
  <c r="F18" i="3"/>
  <c r="H17" i="3"/>
  <c r="H16" i="3"/>
  <c r="F15" i="3"/>
  <c r="H14" i="3"/>
  <c r="F13" i="3"/>
  <c r="F12" i="3"/>
  <c r="H11" i="3"/>
  <c r="F10" i="3"/>
  <c r="F9" i="3"/>
  <c r="F3" i="3" s="1"/>
  <c r="H8" i="3"/>
  <c r="H7" i="3"/>
  <c r="H15" i="3" l="1"/>
  <c r="H22" i="3"/>
  <c r="H12" i="3"/>
  <c r="H20" i="3"/>
  <c r="H10" i="3"/>
  <c r="H18" i="3"/>
  <c r="H9" i="3"/>
  <c r="H13" i="3"/>
  <c r="H21" i="3"/>
  <c r="F4" i="3"/>
  <c r="E3" i="4"/>
  <c r="E9" i="4" s="1"/>
  <c r="E10" i="4" s="1"/>
  <c r="E11" i="4" s="1"/>
  <c r="E12" i="4" s="1"/>
  <c r="E13" i="4" s="1"/>
  <c r="E14" i="4" s="1"/>
  <c r="E15" i="4" s="1"/>
  <c r="E16" i="4" s="1"/>
  <c r="E17" i="4" s="1"/>
  <c r="E18" i="4" s="1"/>
  <c r="E19" i="4" s="1"/>
  <c r="E20" i="4" s="1"/>
  <c r="E21" i="4" s="1"/>
  <c r="F22" i="2"/>
  <c r="G20" i="2" l="1"/>
  <c r="G13" i="2"/>
  <c r="G14" i="2"/>
  <c r="G15" i="2"/>
  <c r="G16" i="2"/>
  <c r="G17" i="2"/>
  <c r="G18" i="2"/>
  <c r="G19" i="2"/>
  <c r="G12" i="2"/>
  <c r="G11" i="2"/>
  <c r="G10" i="2"/>
  <c r="F10" i="1" l="1"/>
  <c r="G10" i="1" s="1"/>
  <c r="F8" i="1"/>
  <c r="G8" i="1" s="1"/>
  <c r="F21" i="1" l="1"/>
  <c r="G21" i="1" s="1"/>
  <c r="F22" i="1"/>
  <c r="G22" i="1" s="1"/>
  <c r="F23" i="1"/>
  <c r="G23" i="1" s="1"/>
  <c r="F19" i="1"/>
  <c r="G19" i="1" s="1"/>
  <c r="F9" i="1"/>
  <c r="G9" i="1" s="1"/>
  <c r="F16" i="1"/>
  <c r="G16" i="1" s="1"/>
  <c r="F14" i="1"/>
  <c r="G14" i="1" s="1"/>
  <c r="F13" i="1"/>
  <c r="G13" i="1" s="1"/>
  <c r="F3" i="1" l="1"/>
  <c r="F4" i="1" l="1"/>
  <c r="E3" i="2"/>
  <c r="E8" i="2" s="1"/>
  <c r="E9" i="2" s="1"/>
  <c r="E10" i="2" s="1"/>
  <c r="E11" i="2" s="1"/>
  <c r="E12" i="2" s="1"/>
  <c r="E13" i="2" s="1"/>
  <c r="E14" i="2" s="1"/>
  <c r="E15" i="2" s="1"/>
  <c r="E16" i="2" s="1"/>
  <c r="E17" i="2" s="1"/>
  <c r="E18" i="2" s="1"/>
  <c r="E19" i="2" s="1"/>
  <c r="E20" i="2" l="1"/>
  <c r="E22" i="2" s="1"/>
</calcChain>
</file>

<file path=xl/sharedStrings.xml><?xml version="1.0" encoding="utf-8"?>
<sst xmlns="http://schemas.openxmlformats.org/spreadsheetml/2006/main" count="885" uniqueCount="204">
  <si>
    <t>Expense (TND)</t>
  </si>
  <si>
    <t>Comments</t>
  </si>
  <si>
    <t>Payed by</t>
  </si>
  <si>
    <t>Sofiane</t>
  </si>
  <si>
    <t>Annual olive oil badget</t>
  </si>
  <si>
    <t>Type</t>
  </si>
  <si>
    <t>Family</t>
  </si>
  <si>
    <t>Groceries / Annual badget</t>
  </si>
  <si>
    <t>Personal</t>
  </si>
  <si>
    <t>* Personal monthly contribution for the Banque de l'Habitat loans = 200 TND
* Annual loan contrib. = (Monthly contrib.)*12</t>
  </si>
  <si>
    <t xml:space="preserve">BH / Annual loan contrib. </t>
  </si>
  <si>
    <t>Car / Maintenance</t>
  </si>
  <si>
    <t>* Annual service once or twice + frais at Ennakl Co. about 500 TND</t>
  </si>
  <si>
    <t>Car / Petrol</t>
  </si>
  <si>
    <t>* Annual car gas consumption = ((Weekly(i.e. 30TND))*4 )*12</t>
  </si>
  <si>
    <t>Car / Road tax (Vignette)</t>
  </si>
  <si>
    <t>Monthly Expense (TND)
(Average)</t>
  </si>
  <si>
    <t>Steg / Annual expense</t>
  </si>
  <si>
    <t>Annual Steg expense = Jan bill + May bill + Sept. bill</t>
  </si>
  <si>
    <t>Sonede / Annual expense</t>
  </si>
  <si>
    <t>* Monthly Syndic exepense. = 35 TND
* Annual Syndic. expense = Monthly expense * 12</t>
  </si>
  <si>
    <t xml:space="preserve">Annual Total = </t>
  </si>
  <si>
    <t xml:space="preserve">Monthly Average = </t>
  </si>
  <si>
    <t>Flat / Syndic annual expense</t>
  </si>
  <si>
    <t>BIAT / Annual loan contrib.</t>
  </si>
  <si>
    <t>* Annual Sonede expense = Jan bill + May bill + Sept. bill</t>
  </si>
  <si>
    <t>Miscellanous</t>
  </si>
  <si>
    <t>Family / Occasional outings</t>
  </si>
  <si>
    <t>Maghrebia / Annual contrib.</t>
  </si>
  <si>
    <t>Flat / Moustiquere assembly</t>
  </si>
  <si>
    <t>Family / Miscellanous</t>
  </si>
  <si>
    <t>Flat / Kitchen window (Fer Ferforge)</t>
  </si>
  <si>
    <t>Flat / Zibla et Kharouba</t>
  </si>
  <si>
    <t>Car / GAT insurance</t>
  </si>
  <si>
    <t>Summer / Outings and events</t>
  </si>
  <si>
    <t>* Monthly payment for accomodation loan ~ 1100 TND
* Annual loan = Monthly * 12</t>
  </si>
  <si>
    <t>* Including:
   - Dresses ~ 400</t>
  </si>
  <si>
    <t>* Occasional outings once every two months ~ 30 * 6
* Take aways ~ 10 * 6</t>
  </si>
  <si>
    <t>Includes:
* Forcasted doctor + medecine contribut. until year end = My Annual Payed medecine - Reimbursed part from Maghrebia
* Maghrebia membership fees: My annual membership with Sungard (25TND * 12)</t>
  </si>
  <si>
    <t>* Biill from the artisan - Amount = 1300 TND</t>
  </si>
  <si>
    <t>* Weekly supermarket + average (Monthly meat + chicken + fish + medecine not getting re-imbursed) + Additional expenses within the week
*Annual badget =  (Weekly(i.e. ~ 270TND) * 4)*12</t>
  </si>
  <si>
    <t>* Assuming a price of 1 litre = 10 TND
* Forecast annual expense = 8 * 10</t>
  </si>
  <si>
    <t xml:space="preserve">   * Including:
   - Occasional trips expenses (Petrol, etc) ~ 150
   - Occasional handy man to fix and maintain (Air conditioning, Heater, sink fixing, etc) ~ 150 TND annualy </t>
  </si>
  <si>
    <t>* Frais de la municipalite - Forecasted from previous bill</t>
  </si>
  <si>
    <t>* Special little events for summer during 3-4 months, including:
    * Summer trip expenses, grillade events, etc
    * Rents, food, and fun spendings</t>
  </si>
  <si>
    <t>Month</t>
  </si>
  <si>
    <t>Actual</t>
  </si>
  <si>
    <t>Tot =</t>
  </si>
  <si>
    <t>Planned</t>
  </si>
  <si>
    <t>Simu</t>
  </si>
  <si>
    <t>Yearly =</t>
  </si>
  <si>
    <t>Forecasted Saving Avg (Monthly) =</t>
  </si>
  <si>
    <t>Forecasted Bonus Base =</t>
  </si>
  <si>
    <t>Actual (Monthly)</t>
  </si>
  <si>
    <t xml:space="preserve">Actual = </t>
  </si>
  <si>
    <t>Trip to London</t>
  </si>
  <si>
    <t>Annual Steg expense = Jan bill + May bill + Sept. bill
* Jan bill ~ 420 TND
* May bill ~ 600 TND
* Sept (forecast) = 400 TND
Total (forecast) = 1420</t>
  </si>
  <si>
    <t>* Assuming a price of 1 litre = 10 TND
* Forecast annual expense = 10 * 10</t>
  </si>
  <si>
    <t>* Weekly supermarket + average (Monthly meat + chicken + fish + medecine not getting re-imbursed) + Additional expenses within the week
*Annual badget =  (Weekly(i.e. ~ 300TND) * 4)*12</t>
  </si>
  <si>
    <t>Includes:
* Forcasted doctor + medecine contribut. until year end = My Annual Payed medecine - Reimbursed part from Maghrebia = 700 TND (Forecast)
* Maghrebia membership fees = 0 TND</t>
  </si>
  <si>
    <t xml:space="preserve">* Flight ticket~ 750 TND
* Timbre fiscal = 60 TND
* Change = 2000 TND
* Miscellanous ~ 200 TND
</t>
  </si>
  <si>
    <t xml:space="preserve">Actual bonus (2018) = </t>
  </si>
  <si>
    <t>Forecasted Bonus (Net) =</t>
  </si>
  <si>
    <r>
      <rPr>
        <b/>
        <sz val="11"/>
        <color theme="1"/>
        <rFont val="Calibri"/>
        <family val="2"/>
        <scheme val="minor"/>
      </rPr>
      <t>NB</t>
    </r>
    <r>
      <rPr>
        <sz val="11"/>
        <color theme="1"/>
        <rFont val="Calibri"/>
        <family val="2"/>
        <scheme val="minor"/>
      </rPr>
      <t>: 0 the bonus amount if all goes to GAT insurance group</t>
    </r>
  </si>
  <si>
    <t>Bank amount</t>
  </si>
  <si>
    <t>Planned monthly 
saving</t>
  </si>
  <si>
    <t>Actual  
2018 saving
(Aggregated)</t>
  </si>
  <si>
    <t>Actual  saving 
(Monthly)</t>
  </si>
  <si>
    <t xml:space="preserve">Bank amount as per June 1st 2017 (i.e. Offset amount) =  </t>
  </si>
  <si>
    <t>Portfolio item</t>
  </si>
  <si>
    <t>SICAV</t>
  </si>
  <si>
    <t>Bank account</t>
  </si>
  <si>
    <t>Year end</t>
  </si>
  <si>
    <t>* Frais de la municipalite - Forecasted from previous bill
* Unexpectedly, an arrear of 5 years had to be payed this year</t>
  </si>
  <si>
    <t>2018 Amount
 (Aggregated)</t>
  </si>
  <si>
    <t>Bank</t>
  </si>
  <si>
    <t>GAT (FIS grp life insurance)</t>
  </si>
  <si>
    <t>GAT (FIS group life insurance)</t>
  </si>
  <si>
    <t>Compte de placement</t>
  </si>
  <si>
    <t>N/A</t>
  </si>
  <si>
    <t>Compte de placement a terme</t>
  </si>
  <si>
    <t xml:space="preserve">Total yearly (TND) = </t>
  </si>
  <si>
    <t>Forecast</t>
  </si>
  <si>
    <r>
      <rPr>
        <b/>
        <sz val="11"/>
        <color theme="1"/>
        <rFont val="Calibri"/>
        <family val="2"/>
        <scheme val="minor"/>
      </rPr>
      <t>NB</t>
    </r>
    <r>
      <rPr>
        <sz val="11"/>
        <color theme="1"/>
        <rFont val="Calibri"/>
        <family val="2"/>
        <scheme val="minor"/>
      </rPr>
      <t>: It was actually 24727, but dedcued the 20000 amount of the "Compte de placement" to allow for simple processing by direcly reading from BIATNET account</t>
    </r>
  </si>
  <si>
    <t>* Personal monthly contribution for the Banque de l'Habitat loans = 200 TND/month
* Annual loan contrib. = (Monthly contrib.)*12</t>
  </si>
  <si>
    <t>Projet avenir (Skander)</t>
  </si>
  <si>
    <t>Projet avenir (Skander)*</t>
  </si>
  <si>
    <t>Swimming subscription (Adam)</t>
  </si>
  <si>
    <t>Swimming tools (Adam)</t>
  </si>
  <si>
    <t>* Buying swimming tools for Adam for the exercise (Goggles, Hair cover, Planche, Chleka…)</t>
  </si>
  <si>
    <t>2019 Forecast Amount
 (Aggregated)</t>
  </si>
  <si>
    <t>2020 Forecast Amount
 (Aggregated)</t>
  </si>
  <si>
    <r>
      <t xml:space="preserve">* </t>
    </r>
    <r>
      <rPr>
        <b/>
        <sz val="11"/>
        <color theme="1"/>
        <rFont val="Calibri"/>
        <family val="2"/>
        <scheme val="minor"/>
      </rPr>
      <t>NB</t>
    </r>
    <r>
      <rPr>
        <sz val="11"/>
        <color theme="1"/>
        <rFont val="Calibri"/>
        <family val="2"/>
        <scheme val="minor"/>
      </rPr>
      <t xml:space="preserve">: 
1. Projet avenir is for Skander and hence not accounted for in the total below
2. Forcasted figures below do not account for any more additional investments plan to keep it more realistic. Forcated figures below may grow if we invest along
</t>
    </r>
  </si>
  <si>
    <t>* Membership fees to Gamarth swimming club (Aqua Viva) (2 days a week)</t>
  </si>
  <si>
    <t>Sister's wedding</t>
  </si>
  <si>
    <t>Context</t>
  </si>
  <si>
    <t>Unplanned</t>
  </si>
  <si>
    <t>Forecasted</t>
  </si>
  <si>
    <t>Adam new Year swimming training 
(Stage a l'hotel)</t>
  </si>
  <si>
    <t>Father leg trauma (Operation and fees, etc)</t>
  </si>
  <si>
    <t>* Swimming training - 4 nights in a Hotel at Sousse (Sea water swimming pool, Full course)
75*4=300</t>
  </si>
  <si>
    <t>* Cycling accident leading to a leg operation (Broken bone - Plaquette a clous)</t>
  </si>
  <si>
    <t>Item</t>
  </si>
  <si>
    <t>Fees</t>
  </si>
  <si>
    <t>Staus</t>
  </si>
  <si>
    <t>Kine sessions</t>
  </si>
  <si>
    <t>Glucometre</t>
  </si>
  <si>
    <t>Fees (TND)</t>
  </si>
  <si>
    <t>Diabete</t>
  </si>
  <si>
    <t>Post-operation</t>
  </si>
  <si>
    <t>Payed</t>
  </si>
  <si>
    <t>Nuppies</t>
  </si>
  <si>
    <t>Deambulateur</t>
  </si>
  <si>
    <t>* Facture
* All in one AcuCheck</t>
  </si>
  <si>
    <t>* Forecasting 15 sessions 
at a 20 TND each</t>
  </si>
  <si>
    <t>Hospital operation</t>
  </si>
  <si>
    <t>Radiographies</t>
  </si>
  <si>
    <t>x-Rays at hospital (Pre-operation)</t>
  </si>
  <si>
    <t>x-Rays at hospital (Post-operation), 
i.e. Control</t>
  </si>
  <si>
    <t>* x-Rays pre-operation</t>
  </si>
  <si>
    <t>Registration fees</t>
  </si>
  <si>
    <t>Operation fees (At hospital)</t>
  </si>
  <si>
    <t>Hospital registration</t>
  </si>
  <si>
    <t>Infirmier</t>
  </si>
  <si>
    <t>Various fees</t>
  </si>
  <si>
    <t>To reamburse (Possibly)</t>
  </si>
  <si>
    <t>Yes</t>
  </si>
  <si>
    <t>No</t>
  </si>
  <si>
    <t>Medecine</t>
  </si>
  <si>
    <t>* Forfeiture op. fees (Operation)
* Staying at hospital (Bed + Food + Analysis, Medecine, etc)</t>
  </si>
  <si>
    <t>Hick-up</t>
  </si>
  <si>
    <t>* Mongi coming at home 
to change the plast and
adminster medecine (Seringe, etc)
* Agreed 20 TND (Pensement + Seringe)</t>
  </si>
  <si>
    <t>Date</t>
  </si>
  <si>
    <t>Task</t>
  </si>
  <si>
    <t>Seringe</t>
  </si>
  <si>
    <t>Nurse fees</t>
  </si>
  <si>
    <t>Kine session
Date</t>
  </si>
  <si>
    <t>Kine fees</t>
  </si>
  <si>
    <t>Plaster change and Seringe</t>
  </si>
  <si>
    <t>Fees (TND)
- Forescasted -</t>
  </si>
  <si>
    <t>Fees (TND)
- Actual -</t>
  </si>
  <si>
    <t>Status</t>
  </si>
  <si>
    <t>Pending</t>
  </si>
  <si>
    <t>Done</t>
  </si>
  <si>
    <t>Hick-up consultation (Doctor)</t>
  </si>
  <si>
    <t>Payement staus</t>
  </si>
  <si>
    <t>Payment status</t>
  </si>
  <si>
    <t>* Contribution of 600 TND to change the tiles of the outer bathroom</t>
  </si>
  <si>
    <t>Radio</t>
  </si>
  <si>
    <t>Radio to have fun</t>
  </si>
  <si>
    <t>* Bought a radio for father to keep him comapny:
   - Radio device = 35 TND
   - Charger plug = 4 TND</t>
  </si>
  <si>
    <t>* Nuppies:
  - 15
  - 20
  - 20</t>
  </si>
  <si>
    <t>* Fees for sister incuding Taxi etc,: 50(TND)*2
* Various fees including Lingettes, etc
* Car gas
* Parfume = 5 TND
* Deo = 8 TND
* Desodorizer = 3 TND</t>
  </si>
  <si>
    <t>Expense (TND)
- Forecasted -</t>
  </si>
  <si>
    <t>Expense (TND)
- Actual -</t>
  </si>
  <si>
    <t>* Including:
   - Dresses: 400
   - Shooes: 100</t>
  </si>
  <si>
    <t>Flat / Bathroom renovation</t>
  </si>
  <si>
    <t>Clothes</t>
  </si>
  <si>
    <t>* Clothes (55 (Jogging) + 40 (Miscellanous) + 15 (Pantoufle)</t>
  </si>
  <si>
    <t>Changing his dress</t>
  </si>
  <si>
    <t>Mobile phone charger</t>
  </si>
  <si>
    <t>Lost charger</t>
  </si>
  <si>
    <t>* Consultation a domicile (~ 80 TND) + medecine (~ 70 TND)
* Following the operation, father didn't feel well
* Bringing him to a doctor…
* Payed a medecine only (Ipproten) -- already accounted up in (Medecine section)</t>
  </si>
  <si>
    <t>Anti-pipi under bed tissue</t>
  </si>
  <si>
    <t>Large anti pipi tissue</t>
  </si>
  <si>
    <t>* An additional anti pipi au lit for father post trauma</t>
  </si>
  <si>
    <t>Restaurant (Machaoui Achem)</t>
  </si>
  <si>
    <t>Get him out to chill out and cut his hair…</t>
  </si>
  <si>
    <t>* Get out for lunch at mixed grill restau</t>
  </si>
  <si>
    <t>Hair dresser</t>
  </si>
  <si>
    <t>Hairdresser</t>
  </si>
  <si>
    <t>* Getting him out to the hairdresser to cut his hair, and to
* Shave his barb</t>
  </si>
  <si>
    <t>* x-Rays post-operation on Jan 03rd (Posponed from Dec 31st appointment due to unavailability of the system)</t>
  </si>
  <si>
    <t>* Frais d'admission a l'hopital = 10 TND
* Frais de la visite de control = 0 TND</t>
  </si>
  <si>
    <t>Flat assistant (Radiah)</t>
  </si>
  <si>
    <t>* Fees for Radiah to assist with common tasks including:
    - Food warming and serving
    - Cleaning table…</t>
  </si>
  <si>
    <t>Flat assistant</t>
  </si>
  <si>
    <t>* 500 TND gift 
* Car decoration = 100
* Petrol to Nabeul… = 60
* Wedding dress - Leila had to pay 50 TND
* Car cleaning = 20 TND = 15 cleaning + 5 TND tip
* Car board brightner = 7 TND</t>
  </si>
  <si>
    <t>Kine did not come (Bank holiday)</t>
  </si>
  <si>
    <t>Cancelled :: father noth feeling well (Cold and fiever)</t>
  </si>
  <si>
    <t>Kine confirms that father is up and running and that he is ready to wlk freely</t>
  </si>
  <si>
    <t>x-Rays private (Post-operation), 
i.e. 2nd Control</t>
  </si>
  <si>
    <t>* Last x-Ray post operation to bring him to doctor</t>
  </si>
  <si>
    <t>Orthopedist</t>
  </si>
  <si>
    <t>Visit the doctor for checks about father's leg status</t>
  </si>
  <si>
    <t>Doctor / Ortho visit to check the status of the operation</t>
  </si>
  <si>
    <t>Doctor / Generalist / Checking health deteriaoration following bad flu</t>
  </si>
  <si>
    <t>Generalist coming home to check on father's health state</t>
  </si>
  <si>
    <t>Labo / Ana</t>
  </si>
  <si>
    <t>Average and day analysis of the diabetic figures</t>
  </si>
  <si>
    <t>* Post_operation medecine from hospital (103 TND)
* Hick-up gastric medecine (10 TND) -- Ipproten
* Medecine for blood circulation -- (1 pack for two days:16 TND on Thursday - Dec 20th
* Medecine for blood circulation (48 = 3*16 TND for 6 days on Saturday - Dec 22nd
* Antiseptic = 2.6 TND
* Medecine for blood circulation (32 = 2*16 TND for 4 days on Thursday - Dec 28th
* Medecine for constipation = 12.5 TND
* Jan 1st &gt;&gt; Medecine for blood circulation (16 TND) for 2 days, Seringes (5.5TND), Insulin bottle (~ 6.5 TND) --&gt; Sum ~ 28 TND
* Jan 3rd &gt;&gt; Ipproten after farther insisting it's suitable for his wellbeing... (11.5 TND)
* Vaseline = 7.0 TND
* Cold, Cough and fiever (Fervex + Doliprane + Cough sirop) ~ 14 TND
* Following health deteriarioation after the Flu, the generalist has administred vitamins and proteins to my father = 50 TND
* The pivate orthopedist has administered medecine to father = 50 TND</t>
  </si>
  <si>
    <t>* Couette X 1
* Mattress cover X 1
* Cotton like bed cloth X 2</t>
  </si>
  <si>
    <t>Bed set…</t>
  </si>
  <si>
    <t>Provide clean bed set for father ahead of the forseen eye operation quite soon</t>
  </si>
  <si>
    <t>Quad cane adjustable</t>
  </si>
  <si>
    <t>Kine needs his cane back; bought new one for father</t>
  </si>
  <si>
    <t>2021 Forecast Amount
 (Aggregated)</t>
  </si>
  <si>
    <t>Lending money to HM*</t>
  </si>
  <si>
    <t>Lending money to HM*
* Amount: 7000 TND
* Lending date: 19/Feb/2019
* Agreement: 2 years lending agreement - Plan is to be returned by Jan/Feb 2021 - 0% Interest rate</t>
  </si>
  <si>
    <t>HM lending</t>
  </si>
  <si>
    <t>"- 7000" !!</t>
  </si>
  <si>
    <t>"+ 7000 should be returned - Amound is already counted in above"</t>
  </si>
  <si>
    <t>* &gt;&gt; Done -- Annual service once or twice + frais at Ennakl Co. about 500 TND
* &gt;&gt; Done -- Changing the roof = 100
* &gt;&gt; Done -- Actual 150 TND -- Fixing the Break system (Disfunctional Break button) (Forecast) = 500 TND 
* Planned - Additional expected due to car aging (Forecat) = 500 TND
* &gt;&gt; Done -- Changing 1st Xenon bubble = 630 TND
* Unplanned for 2019  -- Changing 2nd Xenon bubble = 630 TND
* Unplanned for 2019 -- Changing couroix de distribution (Ennakl quote estimated to 1200 TND)
* Unplanned for 2019 -- Changing air evacuation syetm revealed by the bleeping coil like indicator (1400 TND)
* Only 1600 TND was forecasted intially
* Total (Forecasted) =  300 TND (Car service) + 630 (Replace 1st Xenon bulb) + 630 (Replace 2nd Xenon bulb) + 1200 (Replace couroix de distribution when reaching 203 km mileage) + 500 (Fixing the break system &amp; motor distribution clean-up,...) + 1400 (Changing air evacuation syetm revealed by the bleeping coil like indicator)</t>
  </si>
  <si>
    <t xml:space="preserve">Total (Not bloqued) yearly (TND)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</si>
</sst>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Red]0.00"/>
    <numFmt numFmtId="166" formatCode="[$-F800]dddd\,\ mmmm\ dd\,\ yyyy"/>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2" fontId="0" fillId="0" borderId="0" xfId="0" applyNumberFormat="1"/>
    <xf numFmtId="0" fontId="0" fillId="2" borderId="0" xfId="0" applyFill="1" applyAlignment="1">
      <alignment horizontal="right"/>
    </xf>
    <xf numFmtId="164" fontId="0" fillId="0" borderId="0" xfId="0" applyNumberFormat="1"/>
    <xf numFmtId="0" fontId="0" fillId="0" borderId="0" xfId="0" applyAlignment="1">
      <alignment horizontal="right"/>
    </xf>
    <xf numFmtId="0" fontId="0" fillId="2" borderId="0" xfId="0" applyFill="1"/>
    <xf numFmtId="2" fontId="1" fillId="3" borderId="0" xfId="0" applyNumberFormat="1" applyFont="1" applyFill="1"/>
    <xf numFmtId="0" fontId="0" fillId="0" borderId="0" xfId="0" applyFill="1"/>
    <xf numFmtId="0" fontId="0" fillId="0" borderId="0" xfId="0" applyAlignment="1">
      <alignment horizontal="right"/>
    </xf>
    <xf numFmtId="0" fontId="0" fillId="0" borderId="0" xfId="0" applyAlignment="1"/>
    <xf numFmtId="2" fontId="0" fillId="0" borderId="0" xfId="0" applyNumberFormat="1" applyAlignment="1"/>
    <xf numFmtId="165" fontId="0" fillId="0" borderId="0" xfId="0" applyNumberFormat="1"/>
    <xf numFmtId="0" fontId="2" fillId="4" borderId="0" xfId="0" applyFont="1" applyFill="1" applyAlignment="1">
      <alignment horizontal="right"/>
    </xf>
    <xf numFmtId="0" fontId="1" fillId="3" borderId="0" xfId="0" applyFont="1" applyFill="1" applyAlignment="1">
      <alignment horizontal="right"/>
    </xf>
    <xf numFmtId="0" fontId="2" fillId="0" borderId="0" xfId="0" applyFont="1" applyFill="1" applyAlignment="1">
      <alignment horizontal="right"/>
    </xf>
    <xf numFmtId="0" fontId="1" fillId="0" borderId="0" xfId="0" applyFont="1" applyFill="1" applyAlignment="1">
      <alignment horizontal="left"/>
    </xf>
    <xf numFmtId="0" fontId="0" fillId="0" borderId="0" xfId="0" applyNumberFormat="1"/>
    <xf numFmtId="0" fontId="0" fillId="0" borderId="0" xfId="0" applyAlignment="1">
      <alignment vertical="center"/>
    </xf>
    <xf numFmtId="0" fontId="0" fillId="0" borderId="0" xfId="0" applyAlignment="1">
      <alignment vertical="center" wrapText="1"/>
    </xf>
    <xf numFmtId="166" fontId="0" fillId="0" borderId="0" xfId="0" applyNumberFormat="1"/>
    <xf numFmtId="2" fontId="0" fillId="0" borderId="0" xfId="0" applyNumberFormat="1" applyAlignment="1">
      <alignment vertical="center"/>
    </xf>
    <xf numFmtId="0" fontId="0" fillId="0" borderId="0" xfId="0" applyFill="1" applyAlignment="1">
      <alignment vertical="center" wrapText="1"/>
    </xf>
    <xf numFmtId="0" fontId="0" fillId="0" borderId="0" xfId="0" applyFont="1" applyAlignment="1">
      <alignment vertical="center" wrapText="1"/>
    </xf>
    <xf numFmtId="0" fontId="0" fillId="2" borderId="0" xfId="0" applyNumberFormat="1" applyFill="1"/>
    <xf numFmtId="0" fontId="0" fillId="0" borderId="0" xfId="0" applyAlignment="1">
      <alignment horizontal="right"/>
    </xf>
    <xf numFmtId="0" fontId="0" fillId="0" borderId="0" xfId="0" applyAlignment="1">
      <alignment horizontal="right"/>
    </xf>
    <xf numFmtId="0" fontId="0" fillId="2" borderId="0" xfId="0" applyFill="1" applyAlignment="1">
      <alignment horizontal="center" vertical="center" textRotation="45" wrapText="1"/>
    </xf>
    <xf numFmtId="0" fontId="0" fillId="2" borderId="0" xfId="0" applyFill="1" applyAlignment="1">
      <alignment horizontal="left" wrapText="1"/>
    </xf>
  </cellXfs>
  <cellStyles count="1">
    <cellStyle name="Normal" xfId="0" builtinId="0"/>
  </cellStyles>
  <dxfs count="71">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numFmt numFmtId="0" formatCode="General"/>
    </dxf>
    <dxf>
      <numFmt numFmtId="2" formatCode="0.00"/>
    </dxf>
    <dxf>
      <numFmt numFmtId="2" formatCode="0.00"/>
    </dxf>
    <dxf>
      <numFmt numFmtId="164" formatCode="[$-409]d\-mmm\-yyyy;@"/>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6" formatCode="[$-F800]dddd\,\ mmmm\ dd\,\ yyyy"/>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2" formatCode="0.00"/>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center" vertic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alignment horizontal="center" vertical="center" textRotation="0" indent="0" justifyLastLine="0" shrinkToFit="0" readingOrder="0"/>
    </dxf>
    <dxf>
      <numFmt numFmtId="0" formatCode="General"/>
    </dxf>
    <dxf>
      <numFmt numFmtId="2" formatCode="0.00"/>
    </dxf>
    <dxf>
      <numFmt numFmtId="2" formatCode="0.00"/>
    </dxf>
    <dxf>
      <numFmt numFmtId="164" formatCode="[$-409]d\-mmm\-yyyy;@"/>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6" formatCode="[$-F800]dddd\,\ mmmm\ dd\,\ yyyy"/>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2" formatCode="0.00"/>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center" vertical="center" textRotation="0" indent="0" justifyLastLine="0" shrinkToFit="0" readingOrder="0"/>
    </dxf>
    <dxf>
      <numFmt numFmtId="2" formatCode="0.00"/>
    </dxf>
    <dxf>
      <numFmt numFmtId="164" formatCode="[$-409]d\-mmm\-yyyy;@"/>
    </dxf>
    <dxf>
      <numFmt numFmtId="165" formatCode="0.00;[Red]0.00"/>
    </dxf>
    <dxf>
      <numFmt numFmtId="2" formatCode="0.0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E6:J26" totalsRowShown="0" headerRowDxfId="70">
  <autoFilter ref="E6:J26" xr:uid="{00000000-0009-0000-0100-000001000000}"/>
  <tableColumns count="6">
    <tableColumn id="1" xr3:uid="{00000000-0010-0000-0000-000001000000}" name="Simu"/>
    <tableColumn id="2" xr3:uid="{00000000-0010-0000-0000-000002000000}" name="Expense (TND)" dataDxfId="69"/>
    <tableColumn id="6" xr3:uid="{00000000-0010-0000-0000-000006000000}" name="Monthly Expense (TND)_x000a_(Average)" dataDxfId="68">
      <calculatedColumnFormula xml:space="preserve"> Table1[[#This Row],[Expense (TND)]]/12</calculatedColumnFormula>
    </tableColumn>
    <tableColumn id="3" xr3:uid="{00000000-0010-0000-0000-000003000000}" name="Type"/>
    <tableColumn id="4" xr3:uid="{00000000-0010-0000-0000-000004000000}" name="Payed by"/>
    <tableColumn id="5" xr3:uid="{00000000-0010-0000-0000-000005000000}" name="Comment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CBF412F-A5CE-43A0-88FD-20F2525BADF9}" name="Table1217" displayName="Table1217" ref="G67:K94" totalsRowShown="0">
  <autoFilter ref="G67:K94" xr:uid="{00000000-0009-0000-0100-00000C000000}"/>
  <tableColumns count="5">
    <tableColumn id="1" xr3:uid="{C1BC8952-3AD4-4E2A-98D5-486595EA2D62}" name="Task"/>
    <tableColumn id="2" xr3:uid="{15B07699-A321-4637-90C3-10743CC3E8A8}" name="Date" dataDxfId="13"/>
    <tableColumn id="3" xr3:uid="{F55A38FE-7AD4-4453-BE09-52B23523630C}" name="Fees"/>
    <tableColumn id="4" xr3:uid="{E38D7387-E40C-4D50-8E34-91A076D70665}" name="Status" dataDxfId="12"/>
    <tableColumn id="5" xr3:uid="{E8B2801F-1B6D-499B-B3D3-6FB2AC26FB31}" name="Payement sta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6F48BC4-CF3A-49D9-A397-6AA4F2F841D7}" name="Table1318" displayName="Table1318" ref="B67:E94" totalsRowShown="0">
  <autoFilter ref="B67:E94" xr:uid="{00000000-0009-0000-0100-00000D000000}"/>
  <tableColumns count="4">
    <tableColumn id="1" xr3:uid="{EBBF01A5-765D-493E-85E3-6A0732A92023}" name="Kine session_x000a_Date"/>
    <tableColumn id="2" xr3:uid="{F885AF4A-07FF-4F6D-95EA-9188ABB95F44}" name="Fees (TND)"/>
    <tableColumn id="3" xr3:uid="{E1AEBAD1-86CC-41E8-A5B2-104E644125F2}" name="Status" dataDxfId="11"/>
    <tableColumn id="4" xr3:uid="{3454F54F-93D3-44E0-8411-BB8AB7A63087}" name="Payment statu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BB6F3A9-C399-4FDE-804E-4C8D0D553019}" name="Table2519" displayName="Table2519" ref="D8:H20" totalsRowShown="0" headerRowDxfId="10">
  <autoFilter ref="D8:H20" xr:uid="{00000000-0009-0000-0100-000004000000}"/>
  <tableColumns count="5">
    <tableColumn id="1" xr3:uid="{6AC3DCA5-7A04-4033-AD1E-28DDA0CCD598}" name="Month" dataDxfId="9"/>
    <tableColumn id="2" xr3:uid="{627B7918-8038-481F-A827-ABF1BAF6CC9A}" name="Planned monthly _x000a_saving" dataDxfId="8"/>
    <tableColumn id="5" xr3:uid="{771318F5-9596-43EA-93E1-940AC5BFE043}" name="Bank amount" dataDxfId="7"/>
    <tableColumn id="3" xr3:uid="{B4428D67-EB46-40DD-B359-D913BD8CBC42}" name="Actual  _x000a_2018 saving_x000a_(Aggregated)" dataDxfId="6">
      <calculatedColumnFormula xml:space="preserve"> IF(ISBLANK(Table2519[[#This Row],[Bank amount]]), G8, Table2519[[#This Row],[Bank amount]] - E$6)</calculatedColumnFormula>
    </tableColumn>
    <tableColumn id="4" xr3:uid="{6404AEA4-3231-496E-958D-60814D37AB81}" name="Actual  saving _x000a_(Monthl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Table5" displayName="Table5" ref="S6:W12" totalsRowShown="0" headerRowDxfId="38">
  <autoFilter ref="S6:W12" xr:uid="{00000000-0009-0000-0100-000005000000}"/>
  <tableColumns count="5">
    <tableColumn id="2" xr3:uid="{00000000-0010-0000-0700-000002000000}" name="Portfolio item"/>
    <tableColumn id="3" xr3:uid="{00000000-0010-0000-0700-000003000000}" name="2018 Amount_x000a_ (Aggregated)"/>
    <tableColumn id="1" xr3:uid="{00000000-0010-0000-0700-000001000000}" name="2019 Forecast Amount_x000a_ (Aggregated)" dataDxfId="37">
      <calculatedColumnFormula>H9</calculatedColumnFormula>
    </tableColumn>
    <tableColumn id="4" xr3:uid="{00000000-0010-0000-0700-000004000000}" name="2020 Forecast Amount_x000a_ (Aggregated)"/>
    <tableColumn id="5" xr3:uid="{4776F9A3-2AB0-4560-A0FB-4CE0E0D745AA}" name="2021 Forecast Amount_x000a_ (Aggregate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SICAV" displayName="SICAV" ref="D6:E14" totalsRowShown="0">
  <autoFilter ref="D6:E14" xr:uid="{00000000-0009-0000-0100-000006000000}"/>
  <tableColumns count="2">
    <tableColumn id="1" xr3:uid="{00000000-0010-0000-0800-000001000000}" name="Year end"/>
    <tableColumn id="2" xr3:uid="{00000000-0010-0000-0800-000002000000}" name="SICAV"/>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9000000}" name="Bank" displayName="Bank" ref="G6:H14" totalsRowShown="0">
  <autoFilter ref="G6:H14" xr:uid="{00000000-0009-0000-0100-000007000000}"/>
  <tableColumns count="2">
    <tableColumn id="1" xr3:uid="{00000000-0010-0000-0900-000001000000}" name="Year end"/>
    <tableColumn id="2" xr3:uid="{00000000-0010-0000-0900-000002000000}" name="Bank" dataDxfId="3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A000000}" name="Bank9" displayName="Bank9" ref="J6:K14" totalsRowShown="0">
  <autoFilter ref="J6:K14" xr:uid="{00000000-0009-0000-0100-000008000000}"/>
  <tableColumns count="2">
    <tableColumn id="1" xr3:uid="{00000000-0010-0000-0A00-000001000000}" name="Year end"/>
    <tableColumn id="2" xr3:uid="{00000000-0010-0000-0A00-000002000000}" name="GAT (FIS grp life insurance)" dataDxfId="3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B000000}" name="Bank910" displayName="Bank910" ref="M6:N14" totalsRowShown="0">
  <autoFilter ref="M6:N14" xr:uid="{00000000-0009-0000-0100-000009000000}"/>
  <tableColumns count="2">
    <tableColumn id="1" xr3:uid="{00000000-0010-0000-0B00-000001000000}" name="Year end"/>
    <tableColumn id="2" xr3:uid="{00000000-0010-0000-0B00-000002000000}" name="Compte de placement" dataDxfId="3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C000000}" name="Bank91011" displayName="Bank91011" ref="P6:Q14" totalsRowShown="0">
  <autoFilter ref="P6:Q14" xr:uid="{00000000-0009-0000-0100-00000A000000}"/>
  <tableColumns count="2">
    <tableColumn id="1" xr3:uid="{00000000-0010-0000-0C00-000001000000}" name="Year end"/>
    <tableColumn id="2" xr3:uid="{00000000-0010-0000-0C00-000002000000}" name="Projet avenir (Skander)"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D7:G20" totalsRowShown="0">
  <autoFilter ref="D7:G20" xr:uid="{00000000-0009-0000-0100-000002000000}"/>
  <tableColumns count="4">
    <tableColumn id="1" xr3:uid="{00000000-0010-0000-0100-000001000000}" name="Month" dataDxfId="67"/>
    <tableColumn id="2" xr3:uid="{00000000-0010-0000-0100-000002000000}" name="Planned" dataDxfId="66"/>
    <tableColumn id="3" xr3:uid="{00000000-0010-0000-0100-000003000000}" name="Actual"/>
    <tableColumn id="4" xr3:uid="{00000000-0010-0000-0100-000004000000}" name="Actual (Monthl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E6:L30" totalsRowShown="0" headerRowDxfId="65" dataDxfId="64">
  <autoFilter ref="E6:L30" xr:uid="{00000000-0009-0000-0100-000003000000}"/>
  <tableColumns count="8">
    <tableColumn id="1" xr3:uid="{00000000-0010-0000-0200-000001000000}" name="Simu" dataDxfId="63"/>
    <tableColumn id="2" xr3:uid="{00000000-0010-0000-0200-000002000000}" name="Expense (TND)_x000a_- Forecasted -" dataDxfId="62"/>
    <tableColumn id="8" xr3:uid="{00000000-0010-0000-0200-000008000000}" name="Expense (TND)_x000a_- Actual -" dataDxfId="61"/>
    <tableColumn id="6" xr3:uid="{00000000-0010-0000-0200-000006000000}" name="Monthly Expense (TND)_x000a_(Average)" dataDxfId="60">
      <calculatedColumnFormula>Table14[[#This Row],[Expense (TND)
- Forecasted -]]/12</calculatedColumnFormula>
    </tableColumn>
    <tableColumn id="3" xr3:uid="{00000000-0010-0000-0200-000003000000}" name="Type" dataDxfId="59"/>
    <tableColumn id="7" xr3:uid="{00000000-0010-0000-0200-000007000000}" name="Context" dataDxfId="58"/>
    <tableColumn id="4" xr3:uid="{00000000-0010-0000-0200-000004000000}" name="Payed by" dataDxfId="57"/>
    <tableColumn id="5" xr3:uid="{00000000-0010-0000-0200-000005000000}" name="Comments" dataDxfId="5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3000000}" name="Table11" displayName="Table11" ref="E35:K60" totalsRowShown="0" headerRowDxfId="55" dataDxfId="54">
  <autoFilter ref="E35:K60" xr:uid="{00000000-0009-0000-0100-00000B000000}"/>
  <tableColumns count="7">
    <tableColumn id="1" xr3:uid="{00000000-0010-0000-0300-000001000000}" name="Item" dataDxfId="53"/>
    <tableColumn id="2" xr3:uid="{00000000-0010-0000-0300-000002000000}" name="Staus" dataDxfId="52"/>
    <tableColumn id="3" xr3:uid="{00000000-0010-0000-0300-000003000000}" name="To reamburse (Possibly)" dataDxfId="51"/>
    <tableColumn id="4" xr3:uid="{00000000-0010-0000-0300-000004000000}" name="Context" dataDxfId="50"/>
    <tableColumn id="5" xr3:uid="{00000000-0010-0000-0300-000005000000}" name="Fees (TND)_x000a_- Forescasted -" dataDxfId="49"/>
    <tableColumn id="6" xr3:uid="{00000000-0010-0000-0300-000006000000}" name="Fees (TND)_x000a_- Actual -" dataDxfId="48"/>
    <tableColumn id="7" xr3:uid="{00000000-0010-0000-0300-000007000000}" name="Comments" dataDxfId="4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4000000}" name="Table12" displayName="Table12" ref="G67:K94" totalsRowShown="0">
  <autoFilter ref="G67:K94" xr:uid="{00000000-0009-0000-0100-00000C000000}"/>
  <tableColumns count="5">
    <tableColumn id="1" xr3:uid="{00000000-0010-0000-0400-000001000000}" name="Task"/>
    <tableColumn id="2" xr3:uid="{00000000-0010-0000-0400-000002000000}" name="Date" dataDxfId="46"/>
    <tableColumn id="3" xr3:uid="{00000000-0010-0000-0400-000003000000}" name="Fees"/>
    <tableColumn id="4" xr3:uid="{00000000-0010-0000-0400-000004000000}" name="Status" dataDxfId="45"/>
    <tableColumn id="5" xr3:uid="{00000000-0010-0000-0400-000005000000}" name="Payement sta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13" displayName="Table13" ref="B67:E94" totalsRowShown="0">
  <autoFilter ref="B67:E94" xr:uid="{00000000-0009-0000-0100-00000D000000}"/>
  <tableColumns count="4">
    <tableColumn id="1" xr3:uid="{00000000-0010-0000-0500-000001000000}" name="Kine session_x000a_Date"/>
    <tableColumn id="2" xr3:uid="{00000000-0010-0000-0500-000002000000}" name="Fees (TND)"/>
    <tableColumn id="3" xr3:uid="{00000000-0010-0000-0500-000003000000}" name="Status" dataDxfId="44"/>
    <tableColumn id="4" xr3:uid="{00000000-0010-0000-0500-000004000000}" name="Payment statu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e25" displayName="Table25" ref="D8:H21" totalsRowShown="0" headerRowDxfId="43">
  <autoFilter ref="D8:H21" xr:uid="{00000000-0009-0000-0100-000004000000}"/>
  <tableColumns count="5">
    <tableColumn id="1" xr3:uid="{00000000-0010-0000-0600-000001000000}" name="Month" dataDxfId="42"/>
    <tableColumn id="2" xr3:uid="{00000000-0010-0000-0600-000002000000}" name="Planned monthly _x000a_saving" dataDxfId="41"/>
    <tableColumn id="5" xr3:uid="{00000000-0010-0000-0600-000005000000}" name="Bank amount" dataDxfId="40"/>
    <tableColumn id="3" xr3:uid="{00000000-0010-0000-0600-000003000000}" name="Actual  _x000a_2018 saving_x000a_(Aggregated)" dataDxfId="39">
      <calculatedColumnFormula xml:space="preserve"> IF(ISBLANK(Table25[[#This Row],[Bank amount]]), G8, Table25[[#This Row],[Bank amount]] - E$6)</calculatedColumnFormula>
    </tableColumn>
    <tableColumn id="4" xr3:uid="{00000000-0010-0000-0600-000004000000}" name="Actual  saving _x000a_(Monthl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B79BE60-9E62-4A56-ACF1-1C271036744B}" name="Table1415" displayName="Table1415" ref="E6:L30" totalsRowShown="0" headerRowDxfId="32" dataDxfId="31">
  <autoFilter ref="E6:L30" xr:uid="{00000000-0009-0000-0100-000003000000}"/>
  <tableColumns count="8">
    <tableColumn id="1" xr3:uid="{FF9332AE-3375-4CFB-A692-A250AAD20604}" name="Simu" dataDxfId="30"/>
    <tableColumn id="2" xr3:uid="{AA9FDF0D-7DF8-4240-A78D-B3655D6B7A2F}" name="Expense (TND)_x000a_- Forecasted -" dataDxfId="29"/>
    <tableColumn id="8" xr3:uid="{6E889196-B034-407F-AE68-ECDA68FE80CE}" name="Expense (TND)_x000a_- Actual -" dataDxfId="28"/>
    <tableColumn id="6" xr3:uid="{9B4762CC-3858-4CD8-9E6B-53D990D4946A}" name="Monthly Expense (TND)_x000a_(Average)" dataDxfId="27">
      <calculatedColumnFormula>Table1415[[#This Row],[Expense (TND)
- Forecasted -]]/12</calculatedColumnFormula>
    </tableColumn>
    <tableColumn id="3" xr3:uid="{0D6CADB2-5263-4D11-8E6C-B2C56DDDC50A}" name="Type" dataDxfId="26"/>
    <tableColumn id="7" xr3:uid="{7389FD02-4352-41CB-9AFF-20A9485E33F2}" name="Context" dataDxfId="25"/>
    <tableColumn id="4" xr3:uid="{811C7F05-8A33-401A-846C-F490DFCF59E8}" name="Payed by" dataDxfId="24"/>
    <tableColumn id="5" xr3:uid="{D38E8482-BA28-4317-B85A-6C6FDFCBC594}" name="Comments" dataDxfId="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30F066E-453C-4327-99D5-9EE948D05527}" name="Table1116" displayName="Table1116" ref="E35:K60" totalsRowShown="0" headerRowDxfId="22" dataDxfId="21">
  <autoFilter ref="E35:K60" xr:uid="{00000000-0009-0000-0100-00000B000000}"/>
  <tableColumns count="7">
    <tableColumn id="1" xr3:uid="{C48B5A3B-76B0-47BE-AF35-07F8039E3A91}" name="Item" dataDxfId="20"/>
    <tableColumn id="2" xr3:uid="{6F265AF7-4A24-41C1-9CD3-090F0FBDFE79}" name="Staus" dataDxfId="19"/>
    <tableColumn id="3" xr3:uid="{371F7A3E-6D59-4F4F-BF7B-6153399DB753}" name="To reamburse (Possibly)" dataDxfId="18"/>
    <tableColumn id="4" xr3:uid="{979132A8-D0A4-43F3-A08B-D5315909F4E7}" name="Context" dataDxfId="17"/>
    <tableColumn id="5" xr3:uid="{B6081521-6D06-4FBC-B78A-DF9C918F04DA}" name="Fees (TND)_x000a_- Forescasted -" dataDxfId="16"/>
    <tableColumn id="6" xr3:uid="{78615AD1-E966-4DE0-908C-AF2F9C6D547C}" name="Fees (TND)_x000a_- Actual -" dataDxfId="15"/>
    <tableColumn id="7" xr3:uid="{03BEC8BD-23C1-434C-AFF5-E932DBD7853C}" name="Comments"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7.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E3:J26"/>
  <sheetViews>
    <sheetView zoomScale="85" zoomScaleNormal="85" workbookViewId="0">
      <selection activeCell="G26" sqref="G26"/>
    </sheetView>
  </sheetViews>
  <sheetFormatPr defaultRowHeight="15" x14ac:dyDescent="0.25"/>
  <cols>
    <col min="5" max="5" width="33.5703125" customWidth="1"/>
    <col min="6" max="6" width="16.140625" customWidth="1"/>
    <col min="7" max="7" width="21.140625" customWidth="1"/>
    <col min="8" max="8" width="11" customWidth="1"/>
    <col min="9" max="9" width="18.5703125" customWidth="1"/>
    <col min="10" max="10" width="71.140625" customWidth="1"/>
  </cols>
  <sheetData>
    <row r="3" spans="5:10" x14ac:dyDescent="0.25">
      <c r="E3" s="5" t="s">
        <v>21</v>
      </c>
      <c r="F3">
        <f xml:space="preserve"> SUM(Table1[Expense (TND)])</f>
        <v>43502</v>
      </c>
    </row>
    <row r="4" spans="5:10" x14ac:dyDescent="0.25">
      <c r="E4" s="5" t="s">
        <v>22</v>
      </c>
      <c r="F4" s="4">
        <f xml:space="preserve"> F3/12</f>
        <v>3625.1666666666665</v>
      </c>
    </row>
    <row r="6" spans="5:10" ht="45" x14ac:dyDescent="0.25">
      <c r="E6" s="2" t="s">
        <v>49</v>
      </c>
      <c r="F6" s="2" t="s">
        <v>0</v>
      </c>
      <c r="G6" s="3" t="s">
        <v>16</v>
      </c>
      <c r="H6" s="2" t="s">
        <v>5</v>
      </c>
      <c r="I6" s="2" t="s">
        <v>2</v>
      </c>
      <c r="J6" s="2" t="s">
        <v>1</v>
      </c>
    </row>
    <row r="7" spans="5:10" ht="30" x14ac:dyDescent="0.25">
      <c r="E7" t="s">
        <v>4</v>
      </c>
      <c r="F7" s="4">
        <v>1000</v>
      </c>
      <c r="G7" s="14">
        <f xml:space="preserve"> Table1[[#This Row],[Expense (TND)]]/12</f>
        <v>83.333333333333329</v>
      </c>
      <c r="H7" t="s">
        <v>6</v>
      </c>
      <c r="I7" t="s">
        <v>3</v>
      </c>
      <c r="J7" s="1" t="s">
        <v>41</v>
      </c>
    </row>
    <row r="8" spans="5:10" x14ac:dyDescent="0.25">
      <c r="E8" t="s">
        <v>17</v>
      </c>
      <c r="F8" s="4">
        <f xml:space="preserve"> 250 + 650 + 412</f>
        <v>1312</v>
      </c>
      <c r="G8" s="14">
        <f xml:space="preserve"> Table1[[#This Row],[Expense (TND)]]/12</f>
        <v>109.33333333333333</v>
      </c>
      <c r="H8" t="s">
        <v>6</v>
      </c>
      <c r="I8" t="s">
        <v>3</v>
      </c>
      <c r="J8" t="s">
        <v>18</v>
      </c>
    </row>
    <row r="9" spans="5:10" x14ac:dyDescent="0.25">
      <c r="E9" t="s">
        <v>19</v>
      </c>
      <c r="F9" s="4">
        <f xml:space="preserve"> 60 + 60 +60</f>
        <v>180</v>
      </c>
      <c r="G9" s="14">
        <f xml:space="preserve"> Table1[[#This Row],[Expense (TND)]]/12</f>
        <v>15</v>
      </c>
      <c r="H9" t="s">
        <v>6</v>
      </c>
      <c r="I9" t="s">
        <v>3</v>
      </c>
      <c r="J9" t="s">
        <v>25</v>
      </c>
    </row>
    <row r="10" spans="5:10" ht="45" x14ac:dyDescent="0.25">
      <c r="E10" t="s">
        <v>7</v>
      </c>
      <c r="F10" s="4">
        <f xml:space="preserve"> (300 *4)*12</f>
        <v>14400</v>
      </c>
      <c r="G10" s="14">
        <f xml:space="preserve"> Table1[[#This Row],[Expense (TND)]]/12</f>
        <v>1200</v>
      </c>
      <c r="H10" t="s">
        <v>6</v>
      </c>
      <c r="I10" t="s">
        <v>3</v>
      </c>
      <c r="J10" s="1" t="s">
        <v>40</v>
      </c>
    </row>
    <row r="11" spans="5:10" ht="75" x14ac:dyDescent="0.25">
      <c r="E11" s="12" t="s">
        <v>55</v>
      </c>
      <c r="F11" s="13">
        <v>3000</v>
      </c>
      <c r="G11" s="14">
        <f xml:space="preserve"> Table1[[#This Row],[Expense (TND)]]/12</f>
        <v>250</v>
      </c>
      <c r="H11" s="12" t="s">
        <v>6</v>
      </c>
      <c r="I11" s="12" t="s">
        <v>3</v>
      </c>
      <c r="J11" s="1" t="s">
        <v>60</v>
      </c>
    </row>
    <row r="12" spans="5:10" ht="45" x14ac:dyDescent="0.25">
      <c r="E12" t="s">
        <v>34</v>
      </c>
      <c r="F12" s="4">
        <v>1000</v>
      </c>
      <c r="G12" s="14">
        <f xml:space="preserve"> Table1[[#This Row],[Expense (TND)]]/12</f>
        <v>83.333333333333329</v>
      </c>
      <c r="H12" t="s">
        <v>6</v>
      </c>
      <c r="I12" t="s">
        <v>3</v>
      </c>
      <c r="J12" s="1" t="s">
        <v>44</v>
      </c>
    </row>
    <row r="13" spans="5:10" ht="30" x14ac:dyDescent="0.25">
      <c r="E13" t="s">
        <v>10</v>
      </c>
      <c r="F13" s="4">
        <f xml:space="preserve"> 200 * 12</f>
        <v>2400</v>
      </c>
      <c r="G13" s="14">
        <f xml:space="preserve"> Table1[[#This Row],[Expense (TND)]]/12</f>
        <v>200</v>
      </c>
      <c r="H13" t="s">
        <v>8</v>
      </c>
      <c r="I13" t="s">
        <v>3</v>
      </c>
      <c r="J13" s="1" t="s">
        <v>9</v>
      </c>
    </row>
    <row r="14" spans="5:10" ht="30" x14ac:dyDescent="0.25">
      <c r="E14" t="s">
        <v>24</v>
      </c>
      <c r="F14" s="4">
        <f>1100*12</f>
        <v>13200</v>
      </c>
      <c r="G14" s="14">
        <f xml:space="preserve"> Table1[[#This Row],[Expense (TND)]]/12</f>
        <v>1100</v>
      </c>
      <c r="H14" t="s">
        <v>6</v>
      </c>
      <c r="I14" t="s">
        <v>3</v>
      </c>
      <c r="J14" s="1" t="s">
        <v>35</v>
      </c>
    </row>
    <row r="15" spans="5:10" x14ac:dyDescent="0.25">
      <c r="E15" t="s">
        <v>11</v>
      </c>
      <c r="F15" s="4">
        <v>500</v>
      </c>
      <c r="G15" s="14">
        <f xml:space="preserve"> Table1[[#This Row],[Expense (TND)]]/12</f>
        <v>41.666666666666664</v>
      </c>
      <c r="H15" t="s">
        <v>8</v>
      </c>
      <c r="I15" t="s">
        <v>3</v>
      </c>
      <c r="J15" t="s">
        <v>12</v>
      </c>
    </row>
    <row r="16" spans="5:10" x14ac:dyDescent="0.25">
      <c r="E16" t="s">
        <v>13</v>
      </c>
      <c r="F16" s="4">
        <f>30*4*12</f>
        <v>1440</v>
      </c>
      <c r="G16" s="14">
        <f xml:space="preserve"> Table1[[#This Row],[Expense (TND)]]/12</f>
        <v>120</v>
      </c>
      <c r="H16" t="s">
        <v>8</v>
      </c>
      <c r="I16" t="s">
        <v>3</v>
      </c>
      <c r="J16" t="s">
        <v>14</v>
      </c>
    </row>
    <row r="17" spans="5:10" x14ac:dyDescent="0.25">
      <c r="E17" t="s">
        <v>15</v>
      </c>
      <c r="F17" s="4">
        <v>310</v>
      </c>
      <c r="G17" s="14">
        <f xml:space="preserve"> Table1[[#This Row],[Expense (TND)]]/12</f>
        <v>25.833333333333332</v>
      </c>
      <c r="H17" t="s">
        <v>8</v>
      </c>
      <c r="I17" t="s">
        <v>3</v>
      </c>
    </row>
    <row r="18" spans="5:10" x14ac:dyDescent="0.25">
      <c r="E18" t="s">
        <v>33</v>
      </c>
      <c r="F18" s="4">
        <v>1100</v>
      </c>
      <c r="G18" s="14">
        <f xml:space="preserve"> Table1[[#This Row],[Expense (TND)]]/12</f>
        <v>91.666666666666671</v>
      </c>
      <c r="H18" t="s">
        <v>8</v>
      </c>
      <c r="I18" t="s">
        <v>3</v>
      </c>
    </row>
    <row r="19" spans="5:10" ht="30" x14ac:dyDescent="0.25">
      <c r="E19" t="s">
        <v>23</v>
      </c>
      <c r="F19" s="4">
        <f xml:space="preserve"> 35 *12</f>
        <v>420</v>
      </c>
      <c r="G19" s="14">
        <f xml:space="preserve"> Table1[[#This Row],[Expense (TND)]]/12</f>
        <v>35</v>
      </c>
      <c r="H19" t="s">
        <v>6</v>
      </c>
      <c r="I19" t="s">
        <v>3</v>
      </c>
      <c r="J19" s="1" t="s">
        <v>20</v>
      </c>
    </row>
    <row r="20" spans="5:10" ht="30" x14ac:dyDescent="0.25">
      <c r="E20" t="s">
        <v>26</v>
      </c>
      <c r="F20" s="4">
        <v>500</v>
      </c>
      <c r="G20" s="14">
        <f xml:space="preserve"> Table1[[#This Row],[Expense (TND)]]/12</f>
        <v>41.666666666666664</v>
      </c>
      <c r="H20" t="s">
        <v>8</v>
      </c>
      <c r="I20" t="s">
        <v>3</v>
      </c>
      <c r="J20" s="1" t="s">
        <v>36</v>
      </c>
    </row>
    <row r="21" spans="5:10" ht="60" x14ac:dyDescent="0.25">
      <c r="E21" t="s">
        <v>30</v>
      </c>
      <c r="F21" s="4">
        <f xml:space="preserve"> 150 + 150</f>
        <v>300</v>
      </c>
      <c r="G21" s="14">
        <f xml:space="preserve"> Table1[[#This Row],[Expense (TND)]]/12</f>
        <v>25</v>
      </c>
      <c r="H21" t="s">
        <v>6</v>
      </c>
      <c r="I21" t="s">
        <v>3</v>
      </c>
      <c r="J21" s="1" t="s">
        <v>42</v>
      </c>
    </row>
    <row r="22" spans="5:10" ht="30" x14ac:dyDescent="0.25">
      <c r="E22" t="s">
        <v>27</v>
      </c>
      <c r="F22" s="4">
        <f xml:space="preserve"> 30 * 6</f>
        <v>180</v>
      </c>
      <c r="G22" s="14">
        <f xml:space="preserve"> Table1[[#This Row],[Expense (TND)]]/12</f>
        <v>15</v>
      </c>
      <c r="H22" t="s">
        <v>6</v>
      </c>
      <c r="I22" t="s">
        <v>3</v>
      </c>
      <c r="J22" s="1" t="s">
        <v>37</v>
      </c>
    </row>
    <row r="23" spans="5:10" ht="75" x14ac:dyDescent="0.25">
      <c r="E23" t="s">
        <v>28</v>
      </c>
      <c r="F23" s="4">
        <f xml:space="preserve"> 1900 - 1500 + (25*12)</f>
        <v>700</v>
      </c>
      <c r="G23" s="14">
        <f xml:space="preserve"> Table1[[#This Row],[Expense (TND)]]/12</f>
        <v>58.333333333333336</v>
      </c>
      <c r="H23" t="s">
        <v>6</v>
      </c>
      <c r="I23" t="s">
        <v>3</v>
      </c>
      <c r="J23" s="1" t="s">
        <v>38</v>
      </c>
    </row>
    <row r="24" spans="5:10" x14ac:dyDescent="0.25">
      <c r="E24" t="s">
        <v>29</v>
      </c>
      <c r="F24" s="4">
        <v>1300</v>
      </c>
      <c r="G24" s="14">
        <f xml:space="preserve"> Table1[[#This Row],[Expense (TND)]]/12</f>
        <v>108.33333333333333</v>
      </c>
      <c r="H24" t="s">
        <v>6</v>
      </c>
      <c r="I24" t="s">
        <v>3</v>
      </c>
      <c r="J24" t="s">
        <v>39</v>
      </c>
    </row>
    <row r="25" spans="5:10" x14ac:dyDescent="0.25">
      <c r="E25" t="s">
        <v>31</v>
      </c>
      <c r="F25" s="4">
        <v>160</v>
      </c>
      <c r="G25" s="14">
        <f xml:space="preserve"> Table1[[#This Row],[Expense (TND)]]/12</f>
        <v>13.333333333333334</v>
      </c>
      <c r="H25" t="s">
        <v>6</v>
      </c>
      <c r="I25" t="s">
        <v>3</v>
      </c>
    </row>
    <row r="26" spans="5:10" x14ac:dyDescent="0.25">
      <c r="E26" t="s">
        <v>32</v>
      </c>
      <c r="F26" s="4">
        <v>100</v>
      </c>
      <c r="G26" s="14">
        <f xml:space="preserve"> Table1[[#This Row],[Expense (TND)]]/12</f>
        <v>8.3333333333333339</v>
      </c>
      <c r="H26" t="s">
        <v>6</v>
      </c>
      <c r="I26" t="s">
        <v>3</v>
      </c>
      <c r="J26" t="s">
        <v>43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C2:G22"/>
  <sheetViews>
    <sheetView topLeftCell="A2" workbookViewId="0">
      <selection activeCell="F9" sqref="F9"/>
    </sheetView>
  </sheetViews>
  <sheetFormatPr defaultRowHeight="15" x14ac:dyDescent="0.25"/>
  <cols>
    <col min="3" max="3" width="20" customWidth="1"/>
    <col min="4" max="4" width="13.42578125" customWidth="1"/>
    <col min="5" max="5" width="12.7109375" customWidth="1"/>
    <col min="6" max="6" width="10.85546875" customWidth="1"/>
    <col min="7" max="7" width="18.42578125" bestFit="1" customWidth="1"/>
  </cols>
  <sheetData>
    <row r="2" spans="3:7" x14ac:dyDescent="0.25">
      <c r="C2" s="28" t="s">
        <v>50</v>
      </c>
      <c r="D2" s="28"/>
      <c r="E2">
        <v>60000</v>
      </c>
    </row>
    <row r="3" spans="3:7" x14ac:dyDescent="0.25">
      <c r="C3" s="28" t="s">
        <v>51</v>
      </c>
      <c r="D3" s="28"/>
      <c r="E3" s="4">
        <f xml:space="preserve"> (E2 - '2017 Spendings'!F3) / 12</f>
        <v>1374.8333333333333</v>
      </c>
    </row>
    <row r="4" spans="3:7" x14ac:dyDescent="0.25">
      <c r="C4" s="28" t="s">
        <v>52</v>
      </c>
      <c r="D4" s="28"/>
      <c r="E4">
        <v>5000</v>
      </c>
    </row>
    <row r="5" spans="3:7" x14ac:dyDescent="0.25">
      <c r="C5" s="28" t="s">
        <v>54</v>
      </c>
      <c r="D5" s="28"/>
      <c r="E5">
        <v>6943.058</v>
      </c>
    </row>
    <row r="7" spans="3:7" x14ac:dyDescent="0.25">
      <c r="D7" t="s">
        <v>45</v>
      </c>
      <c r="E7" t="s">
        <v>48</v>
      </c>
      <c r="F7" t="s">
        <v>46</v>
      </c>
      <c r="G7" t="s">
        <v>53</v>
      </c>
    </row>
    <row r="8" spans="3:7" x14ac:dyDescent="0.25">
      <c r="D8" s="6">
        <v>42887</v>
      </c>
      <c r="E8" s="4">
        <f>E$3</f>
        <v>1374.8333333333333</v>
      </c>
      <c r="F8">
        <v>0</v>
      </c>
      <c r="G8">
        <v>0</v>
      </c>
    </row>
    <row r="9" spans="3:7" x14ac:dyDescent="0.25">
      <c r="D9" s="6">
        <v>42917</v>
      </c>
      <c r="E9" s="4">
        <f xml:space="preserve"> E8 + E$3</f>
        <v>2749.6666666666665</v>
      </c>
      <c r="F9">
        <v>1000</v>
      </c>
      <c r="G9">
        <v>1000</v>
      </c>
    </row>
    <row r="10" spans="3:7" x14ac:dyDescent="0.25">
      <c r="D10" s="6">
        <v>42948</v>
      </c>
      <c r="E10" s="4">
        <f t="shared" ref="E10:E20" si="0" xml:space="preserve"> E9 + E$3</f>
        <v>4124.5</v>
      </c>
      <c r="F10">
        <v>2500</v>
      </c>
      <c r="G10">
        <f>Table2[[#This Row],[Actual]] - F9</f>
        <v>1500</v>
      </c>
    </row>
    <row r="11" spans="3:7" x14ac:dyDescent="0.25">
      <c r="D11" s="6">
        <v>42979</v>
      </c>
      <c r="E11" s="4">
        <f t="shared" si="0"/>
        <v>5499.333333333333</v>
      </c>
      <c r="F11">
        <v>4000</v>
      </c>
      <c r="G11">
        <f>Table2[[#This Row],[Actual]] - F10</f>
        <v>1500</v>
      </c>
    </row>
    <row r="12" spans="3:7" x14ac:dyDescent="0.25">
      <c r="D12" s="6">
        <v>43009</v>
      </c>
      <c r="E12" s="4">
        <f t="shared" si="0"/>
        <v>6874.1666666666661</v>
      </c>
      <c r="F12">
        <v>5500</v>
      </c>
      <c r="G12">
        <f>Table2[[#This Row],[Actual]] - F11</f>
        <v>1500</v>
      </c>
    </row>
    <row r="13" spans="3:7" x14ac:dyDescent="0.25">
      <c r="D13" s="6">
        <v>43040</v>
      </c>
      <c r="E13" s="4">
        <f t="shared" si="0"/>
        <v>8249</v>
      </c>
      <c r="F13">
        <v>7000</v>
      </c>
      <c r="G13">
        <f>Table2[[#This Row],[Actual]] - F12</f>
        <v>1500</v>
      </c>
    </row>
    <row r="14" spans="3:7" x14ac:dyDescent="0.25">
      <c r="D14" s="6">
        <v>43070</v>
      </c>
      <c r="E14" s="4">
        <f t="shared" si="0"/>
        <v>9623.8333333333339</v>
      </c>
      <c r="F14">
        <v>8500</v>
      </c>
      <c r="G14">
        <f>Table2[[#This Row],[Actual]] - F13</f>
        <v>1500</v>
      </c>
    </row>
    <row r="15" spans="3:7" x14ac:dyDescent="0.25">
      <c r="D15" s="6">
        <v>43101</v>
      </c>
      <c r="E15" s="4">
        <f t="shared" si="0"/>
        <v>10998.666666666668</v>
      </c>
      <c r="F15">
        <v>10000</v>
      </c>
      <c r="G15">
        <f>Table2[[#This Row],[Actual]] - F14</f>
        <v>1500</v>
      </c>
    </row>
    <row r="16" spans="3:7" x14ac:dyDescent="0.25">
      <c r="D16" s="6">
        <v>43132</v>
      </c>
      <c r="E16" s="4">
        <f t="shared" si="0"/>
        <v>12373.500000000002</v>
      </c>
      <c r="F16">
        <v>12000</v>
      </c>
      <c r="G16">
        <f>Table2[[#This Row],[Actual]] - F15</f>
        <v>2000</v>
      </c>
    </row>
    <row r="17" spans="4:7" x14ac:dyDescent="0.25">
      <c r="D17" s="6">
        <v>43160</v>
      </c>
      <c r="E17" s="4">
        <f t="shared" si="0"/>
        <v>13748.333333333336</v>
      </c>
      <c r="F17">
        <v>14500</v>
      </c>
      <c r="G17">
        <f>Table2[[#This Row],[Actual]] - F16</f>
        <v>2500</v>
      </c>
    </row>
    <row r="18" spans="4:7" x14ac:dyDescent="0.25">
      <c r="D18" s="6">
        <v>43191</v>
      </c>
      <c r="E18" s="4">
        <f t="shared" si="0"/>
        <v>15123.16666666667</v>
      </c>
      <c r="F18" s="10">
        <v>15500</v>
      </c>
      <c r="G18" s="10">
        <f>Table2[[#This Row],[Actual]] - F17</f>
        <v>1000</v>
      </c>
    </row>
    <row r="19" spans="4:7" x14ac:dyDescent="0.25">
      <c r="D19" s="6">
        <v>43221</v>
      </c>
      <c r="E19" s="4">
        <f t="shared" si="0"/>
        <v>16498.000000000004</v>
      </c>
      <c r="F19" s="10">
        <v>16900</v>
      </c>
      <c r="G19" s="10">
        <f>Table2[[#This Row],[Actual]] - F18</f>
        <v>1400</v>
      </c>
    </row>
    <row r="20" spans="4:7" x14ac:dyDescent="0.25">
      <c r="D20" s="6">
        <v>43252</v>
      </c>
      <c r="E20" s="4">
        <f t="shared" si="0"/>
        <v>17872.833333333336</v>
      </c>
      <c r="F20" s="10">
        <v>17800</v>
      </c>
      <c r="G20" s="10">
        <f>Table2[[#This Row],[Actual]] - F19</f>
        <v>900</v>
      </c>
    </row>
    <row r="21" spans="4:7" x14ac:dyDescent="0.25">
      <c r="E21" s="4"/>
    </row>
    <row r="22" spans="4:7" x14ac:dyDescent="0.25">
      <c r="D22" s="7" t="s">
        <v>47</v>
      </c>
      <c r="E22" s="4">
        <f xml:space="preserve"> E20 + $E$4</f>
        <v>22872.833333333336</v>
      </c>
      <c r="F22" s="9">
        <f xml:space="preserve"> F20 + $E$5</f>
        <v>24743.058000000001</v>
      </c>
    </row>
  </sheetData>
  <mergeCells count="4">
    <mergeCell ref="C3:D3"/>
    <mergeCell ref="C4:D4"/>
    <mergeCell ref="C2:D2"/>
    <mergeCell ref="C5:D5"/>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3:L94"/>
  <sheetViews>
    <sheetView topLeftCell="E1" zoomScale="70" zoomScaleNormal="70" workbookViewId="0">
      <selection activeCell="F3" sqref="F3"/>
    </sheetView>
  </sheetViews>
  <sheetFormatPr defaultRowHeight="15" x14ac:dyDescent="0.25"/>
  <cols>
    <col min="2" max="2" width="32.140625" bestFit="1" customWidth="1"/>
    <col min="3" max="3" width="17.42578125" bestFit="1" customWidth="1"/>
    <col min="4" max="4" width="15" customWidth="1"/>
    <col min="5" max="5" width="39.5703125" customWidth="1"/>
    <col min="6" max="6" width="25.5703125" customWidth="1"/>
    <col min="7" max="7" width="30.140625" customWidth="1"/>
    <col min="8" max="8" width="32.5703125" bestFit="1" customWidth="1"/>
    <col min="9" max="9" width="24.5703125" customWidth="1"/>
    <col min="10" max="10" width="39.7109375" customWidth="1"/>
    <col min="11" max="11" width="75.5703125" customWidth="1"/>
    <col min="12" max="12" width="76.42578125" bestFit="1" customWidth="1"/>
  </cols>
  <sheetData>
    <row r="3" spans="5:12" x14ac:dyDescent="0.25">
      <c r="E3" s="5" t="s">
        <v>21</v>
      </c>
      <c r="F3">
        <f xml:space="preserve"> SUM(Table14[Expense (TND)
- Forecasted -])</f>
        <v>53113.599999999999</v>
      </c>
    </row>
    <row r="4" spans="5:12" x14ac:dyDescent="0.25">
      <c r="E4" s="5" t="s">
        <v>22</v>
      </c>
      <c r="F4" s="4">
        <f xml:space="preserve"> F3/12</f>
        <v>4426.1333333333332</v>
      </c>
    </row>
    <row r="6" spans="5:12" ht="30" x14ac:dyDescent="0.25">
      <c r="E6" s="2" t="s">
        <v>49</v>
      </c>
      <c r="F6" s="3" t="s">
        <v>153</v>
      </c>
      <c r="G6" s="3" t="s">
        <v>154</v>
      </c>
      <c r="H6" s="3" t="s">
        <v>16</v>
      </c>
      <c r="I6" s="2" t="s">
        <v>5</v>
      </c>
      <c r="J6" s="2" t="s">
        <v>95</v>
      </c>
      <c r="K6" s="2" t="s">
        <v>2</v>
      </c>
      <c r="L6" s="2" t="s">
        <v>1</v>
      </c>
    </row>
    <row r="7" spans="5:12" s="20" customFormat="1" ht="150" x14ac:dyDescent="0.25">
      <c r="E7" s="20" t="s">
        <v>4</v>
      </c>
      <c r="F7" s="20">
        <v>1000</v>
      </c>
      <c r="G7" s="20">
        <v>700</v>
      </c>
      <c r="H7" s="23">
        <f>Table14[[#This Row],[Expense (TND)
- Forecasted -]]/12</f>
        <v>83.333333333333329</v>
      </c>
      <c r="I7" s="20" t="s">
        <v>6</v>
      </c>
      <c r="J7" s="20" t="s">
        <v>97</v>
      </c>
      <c r="K7" s="20" t="s">
        <v>3</v>
      </c>
      <c r="L7" s="21" t="s">
        <v>57</v>
      </c>
    </row>
    <row r="8" spans="5:12" s="20" customFormat="1" ht="300" x14ac:dyDescent="0.25">
      <c r="E8" s="20" t="s">
        <v>17</v>
      </c>
      <c r="F8" s="20">
        <v>1420</v>
      </c>
      <c r="G8" s="20">
        <f xml:space="preserve"> 290</f>
        <v>290</v>
      </c>
      <c r="H8" s="23">
        <f>Table14[[#This Row],[Expense (TND)
- Forecasted -]]/12</f>
        <v>118.33333333333333</v>
      </c>
      <c r="I8" s="20" t="s">
        <v>6</v>
      </c>
      <c r="J8" s="20" t="s">
        <v>97</v>
      </c>
      <c r="K8" s="20" t="s">
        <v>3</v>
      </c>
      <c r="L8" s="21" t="s">
        <v>56</v>
      </c>
    </row>
    <row r="9" spans="5:12" s="20" customFormat="1" ht="32.25" customHeight="1" x14ac:dyDescent="0.25">
      <c r="E9" s="20" t="s">
        <v>19</v>
      </c>
      <c r="F9" s="20">
        <f xml:space="preserve"> 60 + 60 +60</f>
        <v>180</v>
      </c>
      <c r="G9" s="20">
        <f xml:space="preserve"> 60 + 60 +60</f>
        <v>180</v>
      </c>
      <c r="H9" s="23">
        <f>Table14[[#This Row],[Expense (TND)
- Forecasted -]]/12</f>
        <v>15</v>
      </c>
      <c r="I9" s="20" t="s">
        <v>6</v>
      </c>
      <c r="J9" s="20" t="s">
        <v>97</v>
      </c>
      <c r="K9" s="20" t="s">
        <v>3</v>
      </c>
      <c r="L9" s="20" t="s">
        <v>25</v>
      </c>
    </row>
    <row r="10" spans="5:12" s="20" customFormat="1" ht="45" x14ac:dyDescent="0.25">
      <c r="E10" s="20" t="s">
        <v>7</v>
      </c>
      <c r="F10" s="20">
        <f xml:space="preserve"> (300 *4)*12</f>
        <v>14400</v>
      </c>
      <c r="G10" s="20">
        <f xml:space="preserve"> (300 *4)*12</f>
        <v>14400</v>
      </c>
      <c r="H10" s="23">
        <f>Table14[[#This Row],[Expense (TND)
- Forecasted -]]/12</f>
        <v>1200</v>
      </c>
      <c r="I10" s="20" t="s">
        <v>6</v>
      </c>
      <c r="J10" s="20" t="s">
        <v>97</v>
      </c>
      <c r="K10" s="20" t="s">
        <v>3</v>
      </c>
      <c r="L10" s="21" t="s">
        <v>58</v>
      </c>
    </row>
    <row r="11" spans="5:12" s="20" customFormat="1" ht="45" x14ac:dyDescent="0.25">
      <c r="E11" s="20" t="s">
        <v>34</v>
      </c>
      <c r="F11" s="20">
        <v>1000</v>
      </c>
      <c r="G11" s="20">
        <v>1000</v>
      </c>
      <c r="H11" s="23">
        <f>Table14[[#This Row],[Expense (TND)
- Forecasted -]]/12</f>
        <v>83.333333333333329</v>
      </c>
      <c r="I11" s="20" t="s">
        <v>6</v>
      </c>
      <c r="J11" s="20" t="s">
        <v>97</v>
      </c>
      <c r="K11" s="20" t="s">
        <v>3</v>
      </c>
      <c r="L11" s="21" t="s">
        <v>44</v>
      </c>
    </row>
    <row r="12" spans="5:12" s="20" customFormat="1" ht="45" x14ac:dyDescent="0.25">
      <c r="E12" s="20" t="s">
        <v>10</v>
      </c>
      <c r="F12" s="20">
        <f xml:space="preserve"> 200 * 12</f>
        <v>2400</v>
      </c>
      <c r="G12" s="20">
        <f xml:space="preserve"> 200 * 12</f>
        <v>2400</v>
      </c>
      <c r="H12" s="23">
        <f>Table14[[#This Row],[Expense (TND)
- Forecasted -]]/12</f>
        <v>200</v>
      </c>
      <c r="I12" s="20" t="s">
        <v>8</v>
      </c>
      <c r="J12" s="20" t="s">
        <v>97</v>
      </c>
      <c r="K12" s="20" t="s">
        <v>3</v>
      </c>
      <c r="L12" s="21" t="s">
        <v>84</v>
      </c>
    </row>
    <row r="13" spans="5:12" s="20" customFormat="1" ht="30" x14ac:dyDescent="0.25">
      <c r="E13" s="20" t="s">
        <v>24</v>
      </c>
      <c r="F13" s="20">
        <f>1100*12</f>
        <v>13200</v>
      </c>
      <c r="G13" s="20">
        <f>1100*12</f>
        <v>13200</v>
      </c>
      <c r="H13" s="23">
        <f>Table14[[#This Row],[Expense (TND)
- Forecasted -]]/12</f>
        <v>1100</v>
      </c>
      <c r="I13" s="20" t="s">
        <v>6</v>
      </c>
      <c r="J13" s="20" t="s">
        <v>97</v>
      </c>
      <c r="K13" s="20" t="s">
        <v>3</v>
      </c>
      <c r="L13" s="21" t="s">
        <v>35</v>
      </c>
    </row>
    <row r="14" spans="5:12" s="20" customFormat="1" ht="255" x14ac:dyDescent="0.25">
      <c r="E14" s="20" t="s">
        <v>11</v>
      </c>
      <c r="F14" s="20">
        <v>1600</v>
      </c>
      <c r="G14" s="20">
        <f xml:space="preserve">  300 + (630 * 2) + 1200 + 500 + 1400</f>
        <v>4660</v>
      </c>
      <c r="H14" s="23">
        <f>Table14[[#This Row],[Expense (TND)
- Forecasted -]]/12</f>
        <v>133.33333333333334</v>
      </c>
      <c r="I14" s="20" t="s">
        <v>8</v>
      </c>
      <c r="J14" s="20" t="s">
        <v>96</v>
      </c>
      <c r="K14" s="20" t="s">
        <v>3</v>
      </c>
      <c r="L14" s="21" t="s">
        <v>202</v>
      </c>
    </row>
    <row r="15" spans="5:12" s="20" customFormat="1" ht="32.25" customHeight="1" x14ac:dyDescent="0.25">
      <c r="E15" s="20" t="s">
        <v>13</v>
      </c>
      <c r="F15" s="20">
        <f>30*4*12</f>
        <v>1440</v>
      </c>
      <c r="G15" s="20">
        <f>30*4*12</f>
        <v>1440</v>
      </c>
      <c r="H15" s="23">
        <f>Table14[[#This Row],[Expense (TND)
- Forecasted -]]/12</f>
        <v>120</v>
      </c>
      <c r="I15" s="20" t="s">
        <v>8</v>
      </c>
      <c r="J15" s="20" t="s">
        <v>97</v>
      </c>
      <c r="K15" s="20" t="s">
        <v>3</v>
      </c>
      <c r="L15" s="20" t="s">
        <v>14</v>
      </c>
    </row>
    <row r="16" spans="5:12" s="20" customFormat="1" ht="27" customHeight="1" x14ac:dyDescent="0.25">
      <c r="E16" s="20" t="s">
        <v>15</v>
      </c>
      <c r="F16" s="20">
        <v>310</v>
      </c>
      <c r="G16" s="20">
        <v>310</v>
      </c>
      <c r="H16" s="23">
        <f>Table14[[#This Row],[Expense (TND)
- Forecasted -]]/12</f>
        <v>25.833333333333332</v>
      </c>
      <c r="I16" s="20" t="s">
        <v>8</v>
      </c>
      <c r="J16" s="20" t="s">
        <v>97</v>
      </c>
      <c r="K16" s="20" t="s">
        <v>3</v>
      </c>
    </row>
    <row r="17" spans="5:12" s="20" customFormat="1" ht="29.25" customHeight="1" x14ac:dyDescent="0.25">
      <c r="E17" s="20" t="s">
        <v>33</v>
      </c>
      <c r="F17" s="20">
        <v>1100</v>
      </c>
      <c r="G17" s="20">
        <v>1100</v>
      </c>
      <c r="H17" s="23">
        <f>Table14[[#This Row],[Expense (TND)
- Forecasted -]]/12</f>
        <v>91.666666666666671</v>
      </c>
      <c r="I17" s="20" t="s">
        <v>8</v>
      </c>
      <c r="J17" s="20" t="s">
        <v>97</v>
      </c>
      <c r="K17" s="20" t="s">
        <v>3</v>
      </c>
    </row>
    <row r="18" spans="5:12" s="20" customFormat="1" ht="30" x14ac:dyDescent="0.25">
      <c r="E18" s="20" t="s">
        <v>23</v>
      </c>
      <c r="F18" s="20">
        <f xml:space="preserve"> 35 *12</f>
        <v>420</v>
      </c>
      <c r="G18" s="20">
        <f xml:space="preserve"> 35 *12</f>
        <v>420</v>
      </c>
      <c r="H18" s="23">
        <f>Table14[[#This Row],[Expense (TND)
- Forecasted -]]/12</f>
        <v>35</v>
      </c>
      <c r="I18" s="20" t="s">
        <v>6</v>
      </c>
      <c r="J18" s="20" t="s">
        <v>97</v>
      </c>
      <c r="K18" s="20" t="s">
        <v>3</v>
      </c>
      <c r="L18" s="21" t="s">
        <v>20</v>
      </c>
    </row>
    <row r="19" spans="5:12" s="20" customFormat="1" ht="45" x14ac:dyDescent="0.25">
      <c r="E19" s="20" t="s">
        <v>26</v>
      </c>
      <c r="F19" s="20">
        <v>500</v>
      </c>
      <c r="G19" s="20">
        <f xml:space="preserve"> 400 + 200 + 100</f>
        <v>700</v>
      </c>
      <c r="H19" s="23">
        <f>Table14[[#This Row],[Expense (TND)
- Forecasted -]]/12</f>
        <v>41.666666666666664</v>
      </c>
      <c r="I19" s="20" t="s">
        <v>8</v>
      </c>
      <c r="J19" s="20" t="s">
        <v>97</v>
      </c>
      <c r="K19" s="20" t="s">
        <v>3</v>
      </c>
      <c r="L19" s="21" t="s">
        <v>155</v>
      </c>
    </row>
    <row r="20" spans="5:12" s="20" customFormat="1" ht="60" x14ac:dyDescent="0.25">
      <c r="E20" s="20" t="s">
        <v>30</v>
      </c>
      <c r="F20" s="20">
        <f xml:space="preserve"> 150 + 150</f>
        <v>300</v>
      </c>
      <c r="G20" s="20">
        <v>300</v>
      </c>
      <c r="H20" s="23">
        <f>Table14[[#This Row],[Expense (TND)
- Forecasted -]]/12</f>
        <v>25</v>
      </c>
      <c r="I20" s="20" t="s">
        <v>6</v>
      </c>
      <c r="J20" s="20" t="s">
        <v>97</v>
      </c>
      <c r="K20" s="20" t="s">
        <v>3</v>
      </c>
      <c r="L20" s="21" t="s">
        <v>42</v>
      </c>
    </row>
    <row r="21" spans="5:12" s="20" customFormat="1" ht="30" x14ac:dyDescent="0.25">
      <c r="E21" s="20" t="s">
        <v>27</v>
      </c>
      <c r="F21" s="20">
        <f xml:space="preserve"> 30 * 6</f>
        <v>180</v>
      </c>
      <c r="G21" s="20">
        <v>250</v>
      </c>
      <c r="H21" s="23">
        <f>Table14[[#This Row],[Expense (TND)
- Forecasted -]]/12</f>
        <v>15</v>
      </c>
      <c r="I21" s="20" t="s">
        <v>6</v>
      </c>
      <c r="J21" s="20" t="s">
        <v>97</v>
      </c>
      <c r="K21" s="20" t="s">
        <v>3</v>
      </c>
      <c r="L21" s="21" t="s">
        <v>37</v>
      </c>
    </row>
    <row r="22" spans="5:12" s="20" customFormat="1" ht="60" x14ac:dyDescent="0.25">
      <c r="E22" s="20" t="s">
        <v>28</v>
      </c>
      <c r="F22" s="20">
        <f xml:space="preserve"> 1900 - 1500 + (25*12)</f>
        <v>700</v>
      </c>
      <c r="G22" s="20">
        <v>898</v>
      </c>
      <c r="H22" s="23">
        <f>Table14[[#This Row],[Expense (TND)
- Forecasted -]]/12</f>
        <v>58.333333333333336</v>
      </c>
      <c r="I22" s="20" t="s">
        <v>6</v>
      </c>
      <c r="J22" s="20" t="s">
        <v>97</v>
      </c>
      <c r="K22" s="20" t="s">
        <v>3</v>
      </c>
      <c r="L22" s="21" t="s">
        <v>59</v>
      </c>
    </row>
    <row r="23" spans="5:12" s="20" customFormat="1" ht="30" x14ac:dyDescent="0.25">
      <c r="E23" s="20" t="s">
        <v>32</v>
      </c>
      <c r="F23" s="20">
        <v>500</v>
      </c>
      <c r="H23" s="23">
        <f>Table14[[#This Row],[Expense (TND)
- Forecasted -]]/12</f>
        <v>41.666666666666664</v>
      </c>
      <c r="I23" s="20" t="s">
        <v>6</v>
      </c>
      <c r="J23" s="20" t="s">
        <v>97</v>
      </c>
      <c r="K23" s="20" t="s">
        <v>3</v>
      </c>
      <c r="L23" s="21" t="s">
        <v>73</v>
      </c>
    </row>
    <row r="24" spans="5:12" s="20" customFormat="1" ht="30.75" customHeight="1" x14ac:dyDescent="0.25">
      <c r="E24" s="20" t="s">
        <v>87</v>
      </c>
      <c r="F24" s="20">
        <v>900</v>
      </c>
      <c r="G24" s="20">
        <v>900</v>
      </c>
      <c r="H24" s="23">
        <f>Table14[[#This Row],[Expense (TND)
- Forecasted -]]/12</f>
        <v>75</v>
      </c>
      <c r="I24" s="20" t="s">
        <v>6</v>
      </c>
      <c r="J24" s="20" t="s">
        <v>96</v>
      </c>
      <c r="K24" s="20" t="s">
        <v>3</v>
      </c>
      <c r="L24" s="20" t="s">
        <v>93</v>
      </c>
    </row>
    <row r="25" spans="5:12" s="20" customFormat="1" ht="30" x14ac:dyDescent="0.25">
      <c r="E25" s="20" t="s">
        <v>88</v>
      </c>
      <c r="F25" s="20">
        <v>300</v>
      </c>
      <c r="G25" s="20">
        <v>250</v>
      </c>
      <c r="H25" s="23">
        <f>Table14[[#This Row],[Expense (TND)
- Forecasted -]]/12</f>
        <v>25</v>
      </c>
      <c r="I25" s="20" t="s">
        <v>6</v>
      </c>
      <c r="J25" s="20" t="s">
        <v>96</v>
      </c>
      <c r="K25" s="20" t="s">
        <v>3</v>
      </c>
      <c r="L25" s="21" t="s">
        <v>89</v>
      </c>
    </row>
    <row r="26" spans="5:12" s="20" customFormat="1" ht="90" x14ac:dyDescent="0.25">
      <c r="E26" s="20" t="s">
        <v>94</v>
      </c>
      <c r="F26" s="20">
        <v>500</v>
      </c>
      <c r="G26" s="20">
        <f>500+ 100+60+50+20+7</f>
        <v>737</v>
      </c>
      <c r="H26" s="23">
        <f>Table14[[#This Row],[Expense (TND)
- Forecasted -]]/12</f>
        <v>41.666666666666664</v>
      </c>
      <c r="I26" s="20" t="s">
        <v>8</v>
      </c>
      <c r="J26" s="20" t="s">
        <v>96</v>
      </c>
      <c r="K26" s="20" t="s">
        <v>3</v>
      </c>
      <c r="L26" s="21" t="s">
        <v>177</v>
      </c>
    </row>
    <row r="27" spans="5:12" s="20" customFormat="1" ht="45" x14ac:dyDescent="0.25">
      <c r="E27" s="21" t="s">
        <v>98</v>
      </c>
      <c r="F27" s="20">
        <v>300</v>
      </c>
      <c r="G27" s="20">
        <v>375</v>
      </c>
      <c r="H27" s="23">
        <f>Table14[[#This Row],[Expense (TND)
- Forecasted -]]/12</f>
        <v>25</v>
      </c>
      <c r="I27" s="20" t="s">
        <v>6</v>
      </c>
      <c r="J27" s="20" t="s">
        <v>96</v>
      </c>
      <c r="K27" s="20" t="s">
        <v>3</v>
      </c>
      <c r="L27" s="21" t="s">
        <v>100</v>
      </c>
    </row>
    <row r="28" spans="5:12" s="20" customFormat="1" ht="25.5" customHeight="1" x14ac:dyDescent="0.25">
      <c r="E28" s="20" t="s">
        <v>99</v>
      </c>
      <c r="F28" s="20">
        <f>SUM(Table11[Fees (TND)
- Forescasted -])</f>
        <v>2863.6</v>
      </c>
      <c r="G28" s="20">
        <f>SUM(Table11[Fees (TND)
- Actual -])</f>
        <v>2585.6</v>
      </c>
      <c r="H28" s="23">
        <f>Table14[[#This Row],[Expense (TND)
- Forecasted -]]/12</f>
        <v>238.63333333333333</v>
      </c>
      <c r="I28" s="20" t="s">
        <v>8</v>
      </c>
      <c r="J28" s="20" t="s">
        <v>96</v>
      </c>
      <c r="K28" s="20" t="s">
        <v>3</v>
      </c>
      <c r="L28" s="20" t="s">
        <v>101</v>
      </c>
    </row>
    <row r="29" spans="5:12" s="20" customFormat="1" ht="30" customHeight="1" x14ac:dyDescent="0.25">
      <c r="E29" s="20" t="s">
        <v>156</v>
      </c>
      <c r="F29" s="20">
        <v>600</v>
      </c>
      <c r="G29" s="20">
        <v>600</v>
      </c>
      <c r="H29" s="23">
        <f>Table14[[#This Row],[Expense (TND)
- Forecasted -]]/12</f>
        <v>50</v>
      </c>
      <c r="I29" s="20" t="s">
        <v>6</v>
      </c>
      <c r="J29" s="20" t="s">
        <v>96</v>
      </c>
      <c r="K29" s="20" t="s">
        <v>3</v>
      </c>
      <c r="L29" s="20" t="s">
        <v>147</v>
      </c>
    </row>
    <row r="30" spans="5:12" ht="75" x14ac:dyDescent="0.25">
      <c r="E30" s="20" t="s">
        <v>197</v>
      </c>
      <c r="F30" s="20">
        <v>7000</v>
      </c>
      <c r="G30" s="20">
        <v>7000</v>
      </c>
      <c r="H30" s="23">
        <f>Table14[[#This Row],[Expense (TND)
- Forecasted -]]/12</f>
        <v>583.33333333333337</v>
      </c>
      <c r="I30" s="20" t="s">
        <v>199</v>
      </c>
      <c r="J30" s="20" t="s">
        <v>96</v>
      </c>
      <c r="K30" s="20" t="s">
        <v>3</v>
      </c>
      <c r="L30" s="25" t="s">
        <v>198</v>
      </c>
    </row>
    <row r="35" spans="5:11" ht="30" x14ac:dyDescent="0.25">
      <c r="E35" s="20" t="s">
        <v>102</v>
      </c>
      <c r="F35" s="20" t="s">
        <v>104</v>
      </c>
      <c r="G35" s="20" t="s">
        <v>125</v>
      </c>
      <c r="H35" s="20" t="s">
        <v>95</v>
      </c>
      <c r="I35" s="3" t="s">
        <v>139</v>
      </c>
      <c r="J35" s="3" t="s">
        <v>140</v>
      </c>
      <c r="K35" s="20" t="s">
        <v>1</v>
      </c>
    </row>
    <row r="36" spans="5:11" ht="35.25" customHeight="1" x14ac:dyDescent="0.25">
      <c r="E36" s="21" t="s">
        <v>105</v>
      </c>
      <c r="F36" s="21" t="s">
        <v>97</v>
      </c>
      <c r="G36" s="21" t="s">
        <v>126</v>
      </c>
      <c r="H36" s="21" t="s">
        <v>109</v>
      </c>
      <c r="I36" s="21">
        <f>SUM(Table13[Fees (TND)])</f>
        <v>500</v>
      </c>
      <c r="J36" s="21">
        <f>SUMIF(Table13[Status], "Done", Table13[Fees (TND)])</f>
        <v>500</v>
      </c>
      <c r="K36" s="21" t="s">
        <v>114</v>
      </c>
    </row>
    <row r="37" spans="5:11" ht="30" x14ac:dyDescent="0.25">
      <c r="E37" s="21" t="s">
        <v>106</v>
      </c>
      <c r="F37" s="21" t="s">
        <v>110</v>
      </c>
      <c r="G37" s="21" t="s">
        <v>126</v>
      </c>
      <c r="H37" s="21" t="s">
        <v>108</v>
      </c>
      <c r="I37" s="21">
        <v>95</v>
      </c>
      <c r="J37" s="21">
        <v>95</v>
      </c>
      <c r="K37" s="21" t="s">
        <v>113</v>
      </c>
    </row>
    <row r="38" spans="5:11" ht="29.25" customHeight="1" x14ac:dyDescent="0.25">
      <c r="E38" s="21" t="s">
        <v>111</v>
      </c>
      <c r="F38" s="21" t="s">
        <v>97</v>
      </c>
      <c r="G38" s="21" t="s">
        <v>127</v>
      </c>
      <c r="H38" s="21" t="s">
        <v>109</v>
      </c>
      <c r="I38" s="21">
        <f>20*4</f>
        <v>80</v>
      </c>
      <c r="J38" s="21">
        <f xml:space="preserve"> 15+20+20</f>
        <v>55</v>
      </c>
      <c r="K38" s="21" t="s">
        <v>151</v>
      </c>
    </row>
    <row r="39" spans="5:11" ht="30.75" customHeight="1" x14ac:dyDescent="0.25">
      <c r="E39" s="21" t="s">
        <v>112</v>
      </c>
      <c r="F39" s="21" t="s">
        <v>110</v>
      </c>
      <c r="G39" s="21" t="s">
        <v>126</v>
      </c>
      <c r="H39" s="21" t="s">
        <v>109</v>
      </c>
      <c r="I39" s="21">
        <v>65</v>
      </c>
      <c r="J39" s="21">
        <v>65</v>
      </c>
      <c r="K39" s="21"/>
    </row>
    <row r="40" spans="5:11" ht="41.25" customHeight="1" x14ac:dyDescent="0.25">
      <c r="E40" s="21" t="s">
        <v>121</v>
      </c>
      <c r="F40" s="21" t="s">
        <v>110</v>
      </c>
      <c r="G40" s="21" t="s">
        <v>126</v>
      </c>
      <c r="H40" s="21" t="s">
        <v>115</v>
      </c>
      <c r="I40" s="21">
        <f xml:space="preserve"> 40 + 60</f>
        <v>100</v>
      </c>
      <c r="J40" s="21">
        <f xml:space="preserve"> 40 + 60</f>
        <v>100</v>
      </c>
      <c r="K40" s="21" t="s">
        <v>129</v>
      </c>
    </row>
    <row r="41" spans="5:11" ht="128.25" customHeight="1" x14ac:dyDescent="0.25">
      <c r="E41" s="21" t="s">
        <v>128</v>
      </c>
      <c r="F41" s="21" t="s">
        <v>110</v>
      </c>
      <c r="G41" s="21" t="s">
        <v>126</v>
      </c>
      <c r="H41" s="21" t="s">
        <v>128</v>
      </c>
      <c r="I41" s="21">
        <f>103+10+16+48+2.6+32+12.5+28+11.5+7+14+50</f>
        <v>334.6</v>
      </c>
      <c r="J41" s="21">
        <f>103+10+16+48+2.6+32+12.5+28+11.5+7+14+50+50</f>
        <v>384.6</v>
      </c>
      <c r="K41" s="21" t="s">
        <v>190</v>
      </c>
    </row>
    <row r="42" spans="5:11" ht="34.5" customHeight="1" x14ac:dyDescent="0.25">
      <c r="E42" s="21" t="s">
        <v>117</v>
      </c>
      <c r="F42" s="21" t="s">
        <v>110</v>
      </c>
      <c r="G42" s="21" t="s">
        <v>126</v>
      </c>
      <c r="H42" s="21" t="s">
        <v>116</v>
      </c>
      <c r="I42" s="21">
        <v>86</v>
      </c>
      <c r="J42" s="21">
        <v>86</v>
      </c>
      <c r="K42" s="21" t="s">
        <v>119</v>
      </c>
    </row>
    <row r="43" spans="5:11" ht="30" x14ac:dyDescent="0.25">
      <c r="E43" s="21" t="s">
        <v>118</v>
      </c>
      <c r="F43" s="21" t="s">
        <v>110</v>
      </c>
      <c r="G43" s="21" t="s">
        <v>126</v>
      </c>
      <c r="H43" s="21" t="s">
        <v>116</v>
      </c>
      <c r="I43" s="21">
        <v>90</v>
      </c>
      <c r="J43" s="21">
        <v>37</v>
      </c>
      <c r="K43" s="21" t="s">
        <v>172</v>
      </c>
    </row>
    <row r="44" spans="5:11" ht="33" customHeight="1" x14ac:dyDescent="0.25">
      <c r="E44" s="21" t="s">
        <v>188</v>
      </c>
      <c r="F44" s="21" t="s">
        <v>110</v>
      </c>
      <c r="G44" s="21" t="s">
        <v>126</v>
      </c>
      <c r="H44" s="21" t="s">
        <v>189</v>
      </c>
      <c r="I44" s="21">
        <v>50</v>
      </c>
      <c r="J44" s="21">
        <v>50</v>
      </c>
      <c r="K44" s="21"/>
    </row>
    <row r="45" spans="5:11" ht="50.25" customHeight="1" x14ac:dyDescent="0.25">
      <c r="E45" s="21" t="s">
        <v>120</v>
      </c>
      <c r="F45" s="21" t="s">
        <v>110</v>
      </c>
      <c r="G45" s="21" t="s">
        <v>126</v>
      </c>
      <c r="H45" s="21" t="s">
        <v>122</v>
      </c>
      <c r="I45" s="21">
        <f>10 + 10</f>
        <v>20</v>
      </c>
      <c r="J45" s="21">
        <f>10</f>
        <v>10</v>
      </c>
      <c r="K45" s="21" t="s">
        <v>173</v>
      </c>
    </row>
    <row r="46" spans="5:11" ht="62.25" customHeight="1" x14ac:dyDescent="0.25">
      <c r="E46" s="21" t="s">
        <v>123</v>
      </c>
      <c r="F46" s="21" t="s">
        <v>97</v>
      </c>
      <c r="G46" s="21" t="s">
        <v>126</v>
      </c>
      <c r="H46" s="21" t="s">
        <v>123</v>
      </c>
      <c r="I46" s="21">
        <f>SUM(Table12[Fees])</f>
        <v>260</v>
      </c>
      <c r="J46" s="21">
        <f>SUMIF(Table12[Status], "Done", Table12[Fees])</f>
        <v>200</v>
      </c>
      <c r="K46" s="21" t="s">
        <v>131</v>
      </c>
    </row>
    <row r="47" spans="5:11" ht="50.25" customHeight="1" x14ac:dyDescent="0.25">
      <c r="E47" s="21" t="s">
        <v>26</v>
      </c>
      <c r="F47" s="21" t="s">
        <v>110</v>
      </c>
      <c r="G47" s="21" t="s">
        <v>127</v>
      </c>
      <c r="H47" s="21" t="s">
        <v>124</v>
      </c>
      <c r="I47" s="21">
        <f>(50*2)+200 + 5+8+3</f>
        <v>316</v>
      </c>
      <c r="J47" s="21">
        <f>(50*2)+200 + 5+8+3</f>
        <v>316</v>
      </c>
      <c r="K47" s="21" t="s">
        <v>152</v>
      </c>
    </row>
    <row r="48" spans="5:11" ht="92.25" customHeight="1" x14ac:dyDescent="0.25">
      <c r="E48" s="21" t="s">
        <v>144</v>
      </c>
      <c r="F48" s="21" t="s">
        <v>97</v>
      </c>
      <c r="G48" s="21" t="s">
        <v>127</v>
      </c>
      <c r="H48" s="21" t="s">
        <v>130</v>
      </c>
      <c r="I48" s="21">
        <v>150</v>
      </c>
      <c r="J48" s="21">
        <v>0</v>
      </c>
      <c r="K48" s="21" t="s">
        <v>162</v>
      </c>
    </row>
    <row r="49" spans="2:11" ht="45" x14ac:dyDescent="0.25">
      <c r="E49" s="21" t="s">
        <v>148</v>
      </c>
      <c r="F49" s="21" t="s">
        <v>110</v>
      </c>
      <c r="G49" s="21" t="s">
        <v>126</v>
      </c>
      <c r="H49" s="21" t="s">
        <v>149</v>
      </c>
      <c r="I49" s="21">
        <f xml:space="preserve"> 35 + 4</f>
        <v>39</v>
      </c>
      <c r="J49" s="21">
        <f xml:space="preserve"> 35 + 4</f>
        <v>39</v>
      </c>
      <c r="K49" s="21" t="s">
        <v>150</v>
      </c>
    </row>
    <row r="50" spans="2:11" x14ac:dyDescent="0.25">
      <c r="E50" s="21" t="s">
        <v>157</v>
      </c>
      <c r="F50" s="21" t="s">
        <v>110</v>
      </c>
      <c r="G50" s="21" t="s">
        <v>126</v>
      </c>
      <c r="H50" s="21" t="s">
        <v>159</v>
      </c>
      <c r="I50" s="21">
        <f>55+40+15</f>
        <v>110</v>
      </c>
      <c r="J50" s="21">
        <f>55+40+15</f>
        <v>110</v>
      </c>
      <c r="K50" s="21" t="s">
        <v>158</v>
      </c>
    </row>
    <row r="51" spans="2:11" x14ac:dyDescent="0.25">
      <c r="E51" s="21" t="s">
        <v>160</v>
      </c>
      <c r="F51" s="21" t="s">
        <v>97</v>
      </c>
      <c r="G51" s="21" t="s">
        <v>126</v>
      </c>
      <c r="H51" s="21" t="s">
        <v>161</v>
      </c>
      <c r="I51" s="21">
        <v>10</v>
      </c>
      <c r="J51" s="21">
        <v>10</v>
      </c>
      <c r="K51" s="21"/>
    </row>
    <row r="52" spans="2:11" x14ac:dyDescent="0.25">
      <c r="E52" s="21" t="s">
        <v>163</v>
      </c>
      <c r="F52" s="21" t="s">
        <v>110</v>
      </c>
      <c r="G52" s="21" t="s">
        <v>126</v>
      </c>
      <c r="H52" s="21" t="s">
        <v>164</v>
      </c>
      <c r="I52" s="21">
        <v>21</v>
      </c>
      <c r="J52" s="21">
        <v>21</v>
      </c>
      <c r="K52" s="21" t="s">
        <v>165</v>
      </c>
    </row>
    <row r="53" spans="2:11" ht="30" x14ac:dyDescent="0.25">
      <c r="E53" s="21" t="s">
        <v>166</v>
      </c>
      <c r="F53" s="21" t="s">
        <v>110</v>
      </c>
      <c r="G53" s="21" t="s">
        <v>127</v>
      </c>
      <c r="H53" s="21" t="s">
        <v>167</v>
      </c>
      <c r="I53" s="21">
        <v>32</v>
      </c>
      <c r="J53" s="21">
        <v>32</v>
      </c>
      <c r="K53" s="21" t="s">
        <v>168</v>
      </c>
    </row>
    <row r="54" spans="2:11" ht="30" x14ac:dyDescent="0.25">
      <c r="B54" s="1"/>
      <c r="E54" s="21" t="s">
        <v>169</v>
      </c>
      <c r="F54" s="21" t="s">
        <v>110</v>
      </c>
      <c r="G54" s="21" t="s">
        <v>127</v>
      </c>
      <c r="H54" s="21" t="s">
        <v>170</v>
      </c>
      <c r="I54" s="21">
        <v>10</v>
      </c>
      <c r="J54" s="21">
        <v>10</v>
      </c>
      <c r="K54" s="21" t="s">
        <v>171</v>
      </c>
    </row>
    <row r="55" spans="2:11" ht="45" x14ac:dyDescent="0.25">
      <c r="E55" s="21" t="s">
        <v>174</v>
      </c>
      <c r="F55" s="21" t="s">
        <v>97</v>
      </c>
      <c r="G55" s="21" t="s">
        <v>126</v>
      </c>
      <c r="H55" s="21" t="s">
        <v>176</v>
      </c>
      <c r="I55" s="21">
        <v>100</v>
      </c>
      <c r="J55" s="21">
        <v>100</v>
      </c>
      <c r="K55" s="21" t="s">
        <v>175</v>
      </c>
    </row>
    <row r="56" spans="2:11" ht="30" x14ac:dyDescent="0.25">
      <c r="E56" s="21" t="s">
        <v>181</v>
      </c>
      <c r="F56" s="21" t="s">
        <v>97</v>
      </c>
      <c r="G56" s="21" t="s">
        <v>126</v>
      </c>
      <c r="H56" s="21" t="s">
        <v>116</v>
      </c>
      <c r="I56" s="21">
        <v>100</v>
      </c>
      <c r="J56" s="24">
        <v>80</v>
      </c>
      <c r="K56" s="21" t="s">
        <v>182</v>
      </c>
    </row>
    <row r="57" spans="2:11" ht="30" x14ac:dyDescent="0.25">
      <c r="E57" s="21" t="s">
        <v>185</v>
      </c>
      <c r="F57" s="21" t="s">
        <v>97</v>
      </c>
      <c r="G57" s="21" t="s">
        <v>126</v>
      </c>
      <c r="H57" s="21" t="s">
        <v>183</v>
      </c>
      <c r="I57" s="21">
        <v>60</v>
      </c>
      <c r="J57" s="24">
        <v>50</v>
      </c>
      <c r="K57" s="21" t="s">
        <v>184</v>
      </c>
    </row>
    <row r="58" spans="2:11" ht="30" x14ac:dyDescent="0.25">
      <c r="E58" s="21" t="s">
        <v>186</v>
      </c>
      <c r="F58" s="21" t="s">
        <v>110</v>
      </c>
      <c r="G58" s="21" t="s">
        <v>126</v>
      </c>
      <c r="H58" s="21" t="s">
        <v>187</v>
      </c>
      <c r="I58" s="21">
        <v>60</v>
      </c>
      <c r="J58" s="21">
        <v>60</v>
      </c>
      <c r="K58" s="21"/>
    </row>
    <row r="59" spans="2:11" ht="45" x14ac:dyDescent="0.25">
      <c r="E59" s="21" t="s">
        <v>192</v>
      </c>
      <c r="F59" s="21" t="s">
        <v>110</v>
      </c>
      <c r="G59" s="21" t="s">
        <v>126</v>
      </c>
      <c r="H59" s="21" t="s">
        <v>193</v>
      </c>
      <c r="I59" s="21">
        <v>140</v>
      </c>
      <c r="J59" s="21">
        <v>140</v>
      </c>
      <c r="K59" s="21" t="s">
        <v>191</v>
      </c>
    </row>
    <row r="60" spans="2:11" ht="30" x14ac:dyDescent="0.25">
      <c r="E60" s="21" t="s">
        <v>194</v>
      </c>
      <c r="F60" s="21" t="s">
        <v>110</v>
      </c>
      <c r="G60" s="21" t="s">
        <v>126</v>
      </c>
      <c r="H60" s="21" t="s">
        <v>195</v>
      </c>
      <c r="I60" s="21">
        <v>35</v>
      </c>
      <c r="J60" s="21">
        <v>35</v>
      </c>
      <c r="K60" s="21"/>
    </row>
    <row r="61" spans="2:11" x14ac:dyDescent="0.25">
      <c r="E61" s="21"/>
      <c r="F61" s="21"/>
      <c r="G61" s="21"/>
      <c r="H61" s="21"/>
      <c r="I61" s="21"/>
      <c r="J61" s="21"/>
      <c r="K61" s="21"/>
    </row>
    <row r="62" spans="2:11" x14ac:dyDescent="0.25">
      <c r="E62" s="21"/>
      <c r="F62" s="21"/>
      <c r="G62" s="21"/>
      <c r="H62" s="21"/>
      <c r="I62" s="21"/>
      <c r="J62" s="21"/>
      <c r="K62" s="21"/>
    </row>
    <row r="63" spans="2:11" x14ac:dyDescent="0.25">
      <c r="E63" s="21"/>
      <c r="F63" s="21"/>
      <c r="G63" s="21"/>
      <c r="H63" s="21"/>
      <c r="I63" s="21"/>
      <c r="J63" s="21"/>
      <c r="K63" s="21"/>
    </row>
    <row r="64" spans="2:11" x14ac:dyDescent="0.25">
      <c r="E64" s="21"/>
      <c r="F64" s="21"/>
      <c r="G64" s="21"/>
      <c r="H64" s="21"/>
      <c r="I64" s="21"/>
      <c r="J64" s="21"/>
      <c r="K64" s="21"/>
    </row>
    <row r="65" spans="2:11" x14ac:dyDescent="0.25">
      <c r="E65" s="21"/>
      <c r="F65" s="21"/>
      <c r="G65" s="21"/>
      <c r="H65" s="21"/>
      <c r="I65" s="21"/>
      <c r="J65" s="21"/>
      <c r="K65" s="21"/>
    </row>
    <row r="66" spans="2:11" x14ac:dyDescent="0.25">
      <c r="B66" s="8" t="s">
        <v>137</v>
      </c>
      <c r="G66" s="8" t="s">
        <v>135</v>
      </c>
    </row>
    <row r="67" spans="2:11" ht="30" x14ac:dyDescent="0.25">
      <c r="B67" s="1" t="s">
        <v>136</v>
      </c>
      <c r="C67" t="s">
        <v>107</v>
      </c>
      <c r="D67" t="s">
        <v>141</v>
      </c>
      <c r="E67" t="s">
        <v>146</v>
      </c>
      <c r="G67" t="s">
        <v>133</v>
      </c>
      <c r="H67" t="s">
        <v>132</v>
      </c>
      <c r="I67" t="s">
        <v>103</v>
      </c>
      <c r="J67" t="s">
        <v>141</v>
      </c>
      <c r="K67" t="s">
        <v>145</v>
      </c>
    </row>
    <row r="68" spans="2:11" x14ac:dyDescent="0.25">
      <c r="B68" s="22">
        <v>43446</v>
      </c>
      <c r="C68">
        <v>20</v>
      </c>
      <c r="D68" s="3" t="s">
        <v>143</v>
      </c>
      <c r="E68" t="s">
        <v>110</v>
      </c>
      <c r="G68" t="s">
        <v>134</v>
      </c>
      <c r="H68" s="22">
        <v>43446</v>
      </c>
      <c r="I68">
        <v>0</v>
      </c>
      <c r="J68" s="3"/>
    </row>
    <row r="69" spans="2:11" x14ac:dyDescent="0.25">
      <c r="B69" s="22">
        <v>43448</v>
      </c>
      <c r="C69">
        <v>20</v>
      </c>
      <c r="D69" s="3" t="s">
        <v>143</v>
      </c>
      <c r="E69" t="s">
        <v>110</v>
      </c>
      <c r="G69" t="s">
        <v>138</v>
      </c>
      <c r="H69" s="22">
        <v>43447</v>
      </c>
      <c r="I69">
        <v>20</v>
      </c>
      <c r="J69" s="3" t="s">
        <v>143</v>
      </c>
      <c r="K69" t="s">
        <v>110</v>
      </c>
    </row>
    <row r="70" spans="2:11" x14ac:dyDescent="0.25">
      <c r="B70" s="22">
        <v>43452</v>
      </c>
      <c r="C70">
        <v>20</v>
      </c>
      <c r="D70" s="3" t="s">
        <v>143</v>
      </c>
      <c r="E70" t="s">
        <v>110</v>
      </c>
      <c r="G70" t="s">
        <v>134</v>
      </c>
      <c r="H70" s="22">
        <v>43448</v>
      </c>
      <c r="I70">
        <v>0</v>
      </c>
      <c r="J70" s="3"/>
    </row>
    <row r="71" spans="2:11" x14ac:dyDescent="0.25">
      <c r="B71" s="22">
        <v>43454</v>
      </c>
      <c r="C71">
        <v>20</v>
      </c>
      <c r="D71" s="3" t="s">
        <v>143</v>
      </c>
      <c r="E71" t="s">
        <v>110</v>
      </c>
      <c r="G71" t="s">
        <v>138</v>
      </c>
      <c r="H71" s="22">
        <v>43449</v>
      </c>
      <c r="I71">
        <v>20</v>
      </c>
      <c r="J71" s="3" t="s">
        <v>143</v>
      </c>
      <c r="K71" t="s">
        <v>110</v>
      </c>
    </row>
    <row r="72" spans="2:11" x14ac:dyDescent="0.25">
      <c r="B72" s="22">
        <v>43456</v>
      </c>
      <c r="C72">
        <v>20</v>
      </c>
      <c r="D72" s="3" t="s">
        <v>143</v>
      </c>
      <c r="E72" t="s">
        <v>110</v>
      </c>
      <c r="G72" t="s">
        <v>134</v>
      </c>
      <c r="H72" s="22">
        <v>43450</v>
      </c>
      <c r="I72">
        <v>0</v>
      </c>
      <c r="J72" s="3"/>
    </row>
    <row r="73" spans="2:11" x14ac:dyDescent="0.25">
      <c r="B73" s="22">
        <v>43459</v>
      </c>
      <c r="C73">
        <v>20</v>
      </c>
      <c r="D73" s="3" t="s">
        <v>143</v>
      </c>
      <c r="E73" t="s">
        <v>110</v>
      </c>
      <c r="G73" t="s">
        <v>138</v>
      </c>
      <c r="H73" s="22">
        <v>43451</v>
      </c>
      <c r="I73">
        <v>20</v>
      </c>
      <c r="J73" s="3" t="s">
        <v>143</v>
      </c>
      <c r="K73" t="s">
        <v>110</v>
      </c>
    </row>
    <row r="74" spans="2:11" x14ac:dyDescent="0.25">
      <c r="B74" s="22">
        <v>43461</v>
      </c>
      <c r="C74">
        <v>20</v>
      </c>
      <c r="D74" s="3" t="s">
        <v>143</v>
      </c>
      <c r="E74" t="s">
        <v>110</v>
      </c>
      <c r="G74" t="s">
        <v>134</v>
      </c>
      <c r="H74" s="22">
        <v>43452</v>
      </c>
      <c r="I74">
        <v>0</v>
      </c>
      <c r="J74" s="3"/>
    </row>
    <row r="75" spans="2:11" x14ac:dyDescent="0.25">
      <c r="B75" s="22">
        <v>43463</v>
      </c>
      <c r="C75">
        <v>20</v>
      </c>
      <c r="D75" s="3" t="s">
        <v>143</v>
      </c>
      <c r="E75" t="s">
        <v>110</v>
      </c>
      <c r="G75" t="s">
        <v>138</v>
      </c>
      <c r="H75" s="22">
        <v>43453</v>
      </c>
      <c r="I75">
        <v>20</v>
      </c>
      <c r="J75" s="3" t="s">
        <v>143</v>
      </c>
      <c r="K75" t="s">
        <v>110</v>
      </c>
    </row>
    <row r="76" spans="2:11" x14ac:dyDescent="0.25">
      <c r="B76" s="22">
        <v>43466</v>
      </c>
      <c r="C76">
        <v>0</v>
      </c>
      <c r="D76" s="3" t="s">
        <v>142</v>
      </c>
      <c r="E76" t="s">
        <v>178</v>
      </c>
      <c r="G76" t="s">
        <v>134</v>
      </c>
      <c r="H76" s="22">
        <v>43454</v>
      </c>
      <c r="I76">
        <v>0</v>
      </c>
      <c r="J76" s="3"/>
    </row>
    <row r="77" spans="2:11" x14ac:dyDescent="0.25">
      <c r="B77" s="22">
        <v>43468</v>
      </c>
      <c r="C77">
        <v>20</v>
      </c>
      <c r="D77" s="3" t="s">
        <v>143</v>
      </c>
      <c r="E77" t="s">
        <v>110</v>
      </c>
      <c r="G77" t="s">
        <v>138</v>
      </c>
      <c r="H77" s="22">
        <v>43455</v>
      </c>
      <c r="I77">
        <v>20</v>
      </c>
      <c r="J77" s="3" t="s">
        <v>143</v>
      </c>
      <c r="K77" t="s">
        <v>110</v>
      </c>
    </row>
    <row r="78" spans="2:11" x14ac:dyDescent="0.25">
      <c r="B78" s="22">
        <v>43470</v>
      </c>
      <c r="C78">
        <v>20</v>
      </c>
      <c r="D78" s="3" t="s">
        <v>143</v>
      </c>
      <c r="E78" t="s">
        <v>110</v>
      </c>
      <c r="G78" t="s">
        <v>134</v>
      </c>
      <c r="H78" s="22">
        <v>43456</v>
      </c>
      <c r="I78">
        <v>0</v>
      </c>
      <c r="J78" s="3"/>
    </row>
    <row r="79" spans="2:11" x14ac:dyDescent="0.25">
      <c r="B79" s="22">
        <v>43473</v>
      </c>
      <c r="C79">
        <v>20</v>
      </c>
      <c r="D79" s="3" t="s">
        <v>143</v>
      </c>
      <c r="E79" t="s">
        <v>110</v>
      </c>
      <c r="G79" t="s">
        <v>138</v>
      </c>
      <c r="H79" s="22">
        <v>43457</v>
      </c>
      <c r="I79">
        <v>20</v>
      </c>
      <c r="J79" s="3" t="s">
        <v>143</v>
      </c>
      <c r="K79" t="s">
        <v>110</v>
      </c>
    </row>
    <row r="80" spans="2:11" x14ac:dyDescent="0.25">
      <c r="B80" s="22">
        <v>43475</v>
      </c>
      <c r="C80">
        <v>20</v>
      </c>
      <c r="D80" s="3" t="s">
        <v>143</v>
      </c>
      <c r="E80" t="s">
        <v>110</v>
      </c>
      <c r="G80" t="s">
        <v>134</v>
      </c>
      <c r="H80" s="22">
        <v>43458</v>
      </c>
      <c r="I80">
        <v>0</v>
      </c>
      <c r="J80" s="3"/>
    </row>
    <row r="81" spans="2:11" x14ac:dyDescent="0.25">
      <c r="B81" s="22">
        <v>43477</v>
      </c>
      <c r="C81">
        <v>20</v>
      </c>
      <c r="D81" s="3" t="s">
        <v>143</v>
      </c>
      <c r="E81" t="s">
        <v>110</v>
      </c>
      <c r="G81" t="s">
        <v>138</v>
      </c>
      <c r="H81" s="22">
        <v>43459</v>
      </c>
      <c r="I81">
        <v>20</v>
      </c>
      <c r="J81" s="3" t="s">
        <v>143</v>
      </c>
      <c r="K81" t="s">
        <v>110</v>
      </c>
    </row>
    <row r="82" spans="2:11" x14ac:dyDescent="0.25">
      <c r="B82" s="22">
        <v>43480</v>
      </c>
      <c r="C82">
        <v>20</v>
      </c>
      <c r="D82" s="3" t="s">
        <v>143</v>
      </c>
      <c r="E82" t="s">
        <v>110</v>
      </c>
      <c r="G82" t="s">
        <v>134</v>
      </c>
      <c r="H82" s="22">
        <v>43460</v>
      </c>
      <c r="I82">
        <v>0</v>
      </c>
      <c r="J82" s="3"/>
    </row>
    <row r="83" spans="2:11" x14ac:dyDescent="0.25">
      <c r="B83" s="22">
        <v>43482</v>
      </c>
      <c r="C83">
        <v>20</v>
      </c>
      <c r="D83" s="3" t="s">
        <v>143</v>
      </c>
      <c r="E83" t="s">
        <v>110</v>
      </c>
      <c r="G83" t="s">
        <v>138</v>
      </c>
      <c r="H83" s="22">
        <v>43461</v>
      </c>
      <c r="I83">
        <v>20</v>
      </c>
      <c r="J83" s="3" t="s">
        <v>143</v>
      </c>
      <c r="K83" t="s">
        <v>110</v>
      </c>
    </row>
    <row r="84" spans="2:11" x14ac:dyDescent="0.25">
      <c r="B84" s="22">
        <v>43484</v>
      </c>
      <c r="C84">
        <v>20</v>
      </c>
      <c r="D84" s="3" t="s">
        <v>143</v>
      </c>
      <c r="E84" t="s">
        <v>110</v>
      </c>
      <c r="G84" t="s">
        <v>134</v>
      </c>
      <c r="H84" s="22">
        <v>43462</v>
      </c>
      <c r="I84">
        <v>0</v>
      </c>
      <c r="J84" s="3"/>
    </row>
    <row r="85" spans="2:11" x14ac:dyDescent="0.25">
      <c r="B85" s="22">
        <v>43487</v>
      </c>
      <c r="C85">
        <v>20</v>
      </c>
      <c r="D85" s="3" t="s">
        <v>143</v>
      </c>
      <c r="E85" t="s">
        <v>110</v>
      </c>
      <c r="G85" t="s">
        <v>138</v>
      </c>
      <c r="H85" s="22">
        <v>43463</v>
      </c>
      <c r="I85">
        <v>20</v>
      </c>
      <c r="J85" s="3" t="s">
        <v>143</v>
      </c>
      <c r="K85" t="s">
        <v>110</v>
      </c>
    </row>
    <row r="86" spans="2:11" x14ac:dyDescent="0.25">
      <c r="B86" s="22">
        <v>43489</v>
      </c>
      <c r="C86">
        <v>20</v>
      </c>
      <c r="D86" s="3" t="s">
        <v>143</v>
      </c>
      <c r="E86" t="s">
        <v>110</v>
      </c>
      <c r="G86" t="s">
        <v>134</v>
      </c>
      <c r="H86" s="22">
        <v>43464</v>
      </c>
      <c r="I86">
        <v>0</v>
      </c>
      <c r="J86" s="3"/>
    </row>
    <row r="87" spans="2:11" x14ac:dyDescent="0.25">
      <c r="B87" s="22">
        <v>43490</v>
      </c>
      <c r="C87">
        <v>20</v>
      </c>
      <c r="D87" s="3" t="s">
        <v>143</v>
      </c>
      <c r="E87" t="s">
        <v>110</v>
      </c>
      <c r="G87" t="s">
        <v>138</v>
      </c>
      <c r="H87" s="22">
        <v>43465</v>
      </c>
      <c r="I87">
        <v>20</v>
      </c>
      <c r="J87" s="3" t="s">
        <v>143</v>
      </c>
      <c r="K87" t="s">
        <v>110</v>
      </c>
    </row>
    <row r="88" spans="2:11" x14ac:dyDescent="0.25">
      <c r="B88" s="22">
        <v>43494</v>
      </c>
      <c r="C88">
        <v>20</v>
      </c>
      <c r="D88" s="3" t="s">
        <v>143</v>
      </c>
      <c r="E88" t="s">
        <v>110</v>
      </c>
      <c r="G88" t="s">
        <v>134</v>
      </c>
      <c r="H88" s="22">
        <v>43466</v>
      </c>
      <c r="I88">
        <v>0</v>
      </c>
      <c r="J88" s="3"/>
    </row>
    <row r="89" spans="2:11" x14ac:dyDescent="0.25">
      <c r="B89" s="22">
        <v>43496</v>
      </c>
      <c r="C89">
        <v>20</v>
      </c>
      <c r="D89" s="3" t="s">
        <v>143</v>
      </c>
      <c r="E89" t="s">
        <v>110</v>
      </c>
      <c r="G89" t="s">
        <v>138</v>
      </c>
      <c r="H89" s="22">
        <v>43467</v>
      </c>
      <c r="I89">
        <v>20</v>
      </c>
      <c r="J89" s="3" t="s">
        <v>142</v>
      </c>
    </row>
    <row r="90" spans="2:11" ht="30" x14ac:dyDescent="0.25">
      <c r="B90" s="22">
        <v>43498</v>
      </c>
      <c r="C90">
        <v>0</v>
      </c>
      <c r="D90" s="3" t="s">
        <v>142</v>
      </c>
      <c r="E90" s="1" t="s">
        <v>179</v>
      </c>
      <c r="G90" t="s">
        <v>134</v>
      </c>
      <c r="H90" s="22">
        <v>43468</v>
      </c>
      <c r="I90">
        <v>0</v>
      </c>
      <c r="J90" s="3"/>
    </row>
    <row r="91" spans="2:11" x14ac:dyDescent="0.25">
      <c r="B91" s="22">
        <v>43501</v>
      </c>
      <c r="C91">
        <v>20</v>
      </c>
      <c r="D91" s="3" t="s">
        <v>143</v>
      </c>
      <c r="E91" t="s">
        <v>110</v>
      </c>
      <c r="G91" t="s">
        <v>138</v>
      </c>
      <c r="H91" s="22">
        <v>43469</v>
      </c>
      <c r="I91">
        <v>20</v>
      </c>
      <c r="J91" s="3" t="s">
        <v>142</v>
      </c>
    </row>
    <row r="92" spans="2:11" x14ac:dyDescent="0.25">
      <c r="B92" s="22">
        <v>43503</v>
      </c>
      <c r="C92">
        <v>20</v>
      </c>
      <c r="D92" s="3" t="s">
        <v>143</v>
      </c>
      <c r="G92" t="s">
        <v>134</v>
      </c>
      <c r="H92" s="22">
        <v>43470</v>
      </c>
      <c r="I92">
        <v>0</v>
      </c>
      <c r="J92" s="3"/>
    </row>
    <row r="93" spans="2:11" x14ac:dyDescent="0.25">
      <c r="B93" s="22">
        <v>43505</v>
      </c>
      <c r="C93">
        <v>20</v>
      </c>
      <c r="D93" s="3" t="s">
        <v>143</v>
      </c>
      <c r="G93" t="s">
        <v>138</v>
      </c>
      <c r="H93" s="22">
        <v>43471</v>
      </c>
      <c r="I93">
        <v>20</v>
      </c>
      <c r="J93" s="3" t="s">
        <v>142</v>
      </c>
    </row>
    <row r="94" spans="2:11" ht="32.25" customHeight="1" x14ac:dyDescent="0.25">
      <c r="B94" s="22">
        <v>43508</v>
      </c>
      <c r="C94">
        <v>20</v>
      </c>
      <c r="D94" s="3" t="s">
        <v>143</v>
      </c>
      <c r="E94" s="1" t="s">
        <v>180</v>
      </c>
      <c r="G94" t="s">
        <v>134</v>
      </c>
      <c r="H94" s="22">
        <v>43472</v>
      </c>
      <c r="I94">
        <v>0</v>
      </c>
      <c r="J94" s="3"/>
    </row>
  </sheetData>
  <conditionalFormatting sqref="J68:J94 D68:D94">
    <cfRule type="cellIs" dxfId="5" priority="4" operator="equal">
      <formula>"WIP"</formula>
    </cfRule>
    <cfRule type="cellIs" dxfId="4" priority="5" operator="equal">
      <formula>"Done"</formula>
    </cfRule>
    <cfRule type="cellIs" dxfId="3" priority="6" operator="equal">
      <formula>"Pending"</formula>
    </cfRule>
  </conditionalFormatting>
  <pageMargins left="0.7" right="0.7" top="0.75" bottom="0.75" header="0.3" footer="0.3"/>
  <pageSetup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C2:H23"/>
  <sheetViews>
    <sheetView topLeftCell="B1" workbookViewId="0">
      <selection activeCell="E3" sqref="E3"/>
    </sheetView>
  </sheetViews>
  <sheetFormatPr defaultRowHeight="15" x14ac:dyDescent="0.25"/>
  <cols>
    <col min="3" max="3" width="24.7109375" customWidth="1"/>
    <col min="4" max="4" width="28.42578125" customWidth="1"/>
    <col min="5" max="5" width="14.85546875" customWidth="1"/>
    <col min="6" max="6" width="15.5703125" customWidth="1"/>
    <col min="7" max="7" width="15.140625" customWidth="1"/>
    <col min="8" max="8" width="18.42578125" bestFit="1" customWidth="1"/>
  </cols>
  <sheetData>
    <row r="2" spans="3:8" x14ac:dyDescent="0.25">
      <c r="C2" s="28" t="s">
        <v>50</v>
      </c>
      <c r="D2" s="28"/>
      <c r="E2">
        <v>67000</v>
      </c>
    </row>
    <row r="3" spans="3:8" x14ac:dyDescent="0.25">
      <c r="C3" s="28" t="s">
        <v>51</v>
      </c>
      <c r="D3" s="28"/>
      <c r="E3" s="4">
        <f xml:space="preserve"> (E2 - '2018 Spendings'!F3) / 12</f>
        <v>1157.2</v>
      </c>
      <c r="F3" s="4"/>
    </row>
    <row r="4" spans="3:8" x14ac:dyDescent="0.25">
      <c r="C4" s="28" t="s">
        <v>62</v>
      </c>
      <c r="D4" s="28"/>
      <c r="E4">
        <v>5000</v>
      </c>
    </row>
    <row r="5" spans="3:8" x14ac:dyDescent="0.25">
      <c r="C5" s="28" t="s">
        <v>61</v>
      </c>
      <c r="D5" s="28"/>
      <c r="E5" s="8">
        <v>0</v>
      </c>
      <c r="F5" t="s">
        <v>63</v>
      </c>
    </row>
    <row r="6" spans="3:8" x14ac:dyDescent="0.25">
      <c r="C6" s="28" t="s">
        <v>68</v>
      </c>
      <c r="D6" s="28"/>
      <c r="E6" s="10">
        <v>4727</v>
      </c>
      <c r="F6" s="10" t="s">
        <v>83</v>
      </c>
    </row>
    <row r="8" spans="3:8" ht="45" x14ac:dyDescent="0.25">
      <c r="D8" s="2" t="s">
        <v>45</v>
      </c>
      <c r="E8" s="3" t="s">
        <v>65</v>
      </c>
      <c r="F8" s="2" t="s">
        <v>64</v>
      </c>
      <c r="G8" s="3" t="s">
        <v>66</v>
      </c>
      <c r="H8" s="3" t="s">
        <v>67</v>
      </c>
    </row>
    <row r="9" spans="3:8" x14ac:dyDescent="0.25">
      <c r="D9" s="6">
        <v>43252</v>
      </c>
      <c r="E9" s="4">
        <f>E$3</f>
        <v>1157.2</v>
      </c>
      <c r="F9" s="4">
        <v>4727</v>
      </c>
      <c r="G9">
        <f xml:space="preserve"> IF(ISBLANK(Table25[[#This Row],[Bank amount]]), G8, Table25[[#This Row],[Bank amount]] - E$6)</f>
        <v>0</v>
      </c>
      <c r="H9">
        <v>0</v>
      </c>
    </row>
    <row r="10" spans="3:8" x14ac:dyDescent="0.25">
      <c r="D10" s="6">
        <v>43282</v>
      </c>
      <c r="E10" s="4">
        <f xml:space="preserve"> E9 + E$3</f>
        <v>2314.4</v>
      </c>
      <c r="F10" s="4">
        <v>5390</v>
      </c>
      <c r="G10">
        <f xml:space="preserve"> IF(ISBLANK(Table25[[#This Row],[Bank amount]]), G9, Table25[[#This Row],[Bank amount]] - E$6)</f>
        <v>663</v>
      </c>
      <c r="H10">
        <f>Table25[[#This Row],[Actual  
2018 saving
(Aggregated)]] - G9</f>
        <v>663</v>
      </c>
    </row>
    <row r="11" spans="3:8" x14ac:dyDescent="0.25">
      <c r="D11" s="6">
        <v>43313</v>
      </c>
      <c r="E11" s="4">
        <f t="shared" ref="E11:E21" si="0" xml:space="preserve"> E10 + E$3</f>
        <v>3471.6000000000004</v>
      </c>
      <c r="F11" s="4">
        <v>7500</v>
      </c>
      <c r="G11">
        <f xml:space="preserve"> IF(ISBLANK(Table25[[#This Row],[Bank amount]]), G10, Table25[[#This Row],[Bank amount]] - E$6)</f>
        <v>2773</v>
      </c>
      <c r="H11">
        <f>Table25[[#This Row],[Actual  
2018 saving
(Aggregated)]] - G10</f>
        <v>2110</v>
      </c>
    </row>
    <row r="12" spans="3:8" x14ac:dyDescent="0.25">
      <c r="D12" s="6">
        <v>43344</v>
      </c>
      <c r="E12" s="4">
        <f t="shared" si="0"/>
        <v>4628.8</v>
      </c>
      <c r="F12" s="4">
        <v>9000</v>
      </c>
      <c r="G12">
        <f xml:space="preserve"> IF(ISBLANK(Table25[[#This Row],[Bank amount]]), G11, Table25[[#This Row],[Bank amount]] - E$6)</f>
        <v>4273</v>
      </c>
      <c r="H12">
        <f>Table25[[#This Row],[Actual  
2018 saving
(Aggregated)]] - G11</f>
        <v>1500</v>
      </c>
    </row>
    <row r="13" spans="3:8" x14ac:dyDescent="0.25">
      <c r="D13" s="6">
        <v>43374</v>
      </c>
      <c r="E13" s="4">
        <f t="shared" si="0"/>
        <v>5786</v>
      </c>
      <c r="F13" s="4">
        <v>12082</v>
      </c>
      <c r="G13">
        <f xml:space="preserve"> IF(ISBLANK(Table25[[#This Row],[Bank amount]]), G12, Table25[[#This Row],[Bank amount]] - E$6)</f>
        <v>7355</v>
      </c>
      <c r="H13">
        <f>Table25[[#This Row],[Actual  
2018 saving
(Aggregated)]] - G12</f>
        <v>3082</v>
      </c>
    </row>
    <row r="14" spans="3:8" x14ac:dyDescent="0.25">
      <c r="D14" s="6">
        <v>43405</v>
      </c>
      <c r="E14" s="4">
        <f t="shared" si="0"/>
        <v>6943.2</v>
      </c>
      <c r="F14" s="4">
        <v>14500</v>
      </c>
      <c r="G14">
        <f xml:space="preserve"> IF(ISBLANK(Table25[[#This Row],[Bank amount]]), G13, Table25[[#This Row],[Bank amount]] - E$6)</f>
        <v>9773</v>
      </c>
      <c r="H14">
        <f>Table25[[#This Row],[Actual  
2018 saving
(Aggregated)]] - G13</f>
        <v>2418</v>
      </c>
    </row>
    <row r="15" spans="3:8" x14ac:dyDescent="0.25">
      <c r="D15" s="6">
        <v>43435</v>
      </c>
      <c r="E15" s="4">
        <f t="shared" si="0"/>
        <v>8100.4</v>
      </c>
      <c r="F15" s="4">
        <v>16906</v>
      </c>
      <c r="G15">
        <f xml:space="preserve"> IF(ISBLANK(Table25[[#This Row],[Bank amount]]), G14, Table25[[#This Row],[Bank amount]] - E$6)</f>
        <v>12179</v>
      </c>
      <c r="H15">
        <f>Table25[[#This Row],[Actual  
2018 saving
(Aggregated)]] - G14</f>
        <v>2406</v>
      </c>
    </row>
    <row r="16" spans="3:8" x14ac:dyDescent="0.25">
      <c r="D16" s="6">
        <v>43466</v>
      </c>
      <c r="E16" s="4">
        <f t="shared" si="0"/>
        <v>9257.6</v>
      </c>
      <c r="F16" s="4">
        <v>15119</v>
      </c>
      <c r="G16">
        <f xml:space="preserve"> IF(ISBLANK(Table25[[#This Row],[Bank amount]]), G15, Table25[[#This Row],[Bank amount]] - E$6)</f>
        <v>10392</v>
      </c>
      <c r="H16">
        <f>Table25[[#This Row],[Actual  
2018 saving
(Aggregated)]] - G15</f>
        <v>-1787</v>
      </c>
    </row>
    <row r="17" spans="4:8" x14ac:dyDescent="0.25">
      <c r="D17" s="6">
        <v>43497</v>
      </c>
      <c r="E17" s="4">
        <f t="shared" si="0"/>
        <v>10414.800000000001</v>
      </c>
      <c r="F17" s="4">
        <v>17000</v>
      </c>
      <c r="G17">
        <f xml:space="preserve"> IF(ISBLANK(Table25[[#This Row],[Bank amount]]), G16, Table25[[#This Row],[Bank amount]] - E$6)</f>
        <v>12273</v>
      </c>
      <c r="H17">
        <f>Table25[[#This Row],[Actual  
2018 saving
(Aggregated)]] - G16</f>
        <v>1881</v>
      </c>
    </row>
    <row r="18" spans="4:8" x14ac:dyDescent="0.25">
      <c r="D18" s="6">
        <v>43525</v>
      </c>
      <c r="E18" s="4">
        <f t="shared" si="0"/>
        <v>11572.000000000002</v>
      </c>
      <c r="F18" s="4">
        <f xml:space="preserve"> 5500+5900</f>
        <v>11400</v>
      </c>
      <c r="G18">
        <f xml:space="preserve"> IF(ISBLANK(Table25[[#This Row],[Bank amount]]), G17, Table25[[#This Row],[Bank amount]] - E$6)</f>
        <v>6673</v>
      </c>
      <c r="H18">
        <f>Table25[[#This Row],[Actual  
2018 saving
(Aggregated)]] - G17</f>
        <v>-5600</v>
      </c>
    </row>
    <row r="19" spans="4:8" x14ac:dyDescent="0.25">
      <c r="D19" s="6">
        <v>43556</v>
      </c>
      <c r="E19" s="4">
        <f t="shared" si="0"/>
        <v>12729.200000000003</v>
      </c>
      <c r="F19" s="4">
        <v>15035</v>
      </c>
      <c r="G19">
        <f xml:space="preserve"> IF(ISBLANK(Table25[[#This Row],[Bank amount]]), G18, Table25[[#This Row],[Bank amount]] - E$6)</f>
        <v>10308</v>
      </c>
      <c r="H19" s="10">
        <f>Table25[[#This Row],[Actual  
2018 saving
(Aggregated)]] - G18</f>
        <v>3635</v>
      </c>
    </row>
    <row r="20" spans="4:8" x14ac:dyDescent="0.25">
      <c r="D20" s="6">
        <v>43586</v>
      </c>
      <c r="E20" s="4">
        <f t="shared" si="0"/>
        <v>13886.400000000003</v>
      </c>
      <c r="F20" s="4">
        <v>14000</v>
      </c>
      <c r="G20">
        <f xml:space="preserve"> IF(ISBLANK(Table25[[#This Row],[Bank amount]]), G19, Table25[[#This Row],[Bank amount]] - E$6)</f>
        <v>9273</v>
      </c>
      <c r="H20" s="10">
        <f>Table25[[#This Row],[Actual  
2018 saving
(Aggregated)]] - G19</f>
        <v>-1035</v>
      </c>
    </row>
    <row r="21" spans="4:8" x14ac:dyDescent="0.25">
      <c r="D21" s="6">
        <v>43617</v>
      </c>
      <c r="E21" s="4">
        <f t="shared" si="0"/>
        <v>15043.600000000004</v>
      </c>
      <c r="F21" s="4">
        <v>13300</v>
      </c>
      <c r="G21">
        <f xml:space="preserve"> IF(ISBLANK(Table25[[#This Row],[Bank amount]]), G20, Table25[[#This Row],[Bank amount]] - E$6)</f>
        <v>8573</v>
      </c>
      <c r="H21" s="10">
        <f>Table25[[#This Row],[Actual  
2018 saving
(Aggregated)]] - G20</f>
        <v>-700</v>
      </c>
    </row>
    <row r="22" spans="4:8" x14ac:dyDescent="0.25">
      <c r="E22" s="4"/>
      <c r="F22" s="4"/>
    </row>
    <row r="23" spans="4:8" x14ac:dyDescent="0.25">
      <c r="D23" s="11" t="s">
        <v>47</v>
      </c>
      <c r="E23" s="4">
        <f xml:space="preserve"> E21 + $E$5</f>
        <v>15043.600000000004</v>
      </c>
      <c r="F23" s="4">
        <f xml:space="preserve"> F21 + $E$5</f>
        <v>13300</v>
      </c>
      <c r="G23" s="9">
        <f xml:space="preserve"> G21 + $E$5</f>
        <v>8573</v>
      </c>
    </row>
  </sheetData>
  <mergeCells count="5">
    <mergeCell ref="C2:D2"/>
    <mergeCell ref="C3:D3"/>
    <mergeCell ref="C4:D4"/>
    <mergeCell ref="C5:D5"/>
    <mergeCell ref="C6:D6"/>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4A4A-DA7E-4115-92F9-0413438C33A3}">
  <dimension ref="B3:L94"/>
  <sheetViews>
    <sheetView topLeftCell="E1" zoomScale="70" zoomScaleNormal="70" workbookViewId="0">
      <selection activeCell="F3" sqref="F3"/>
    </sheetView>
  </sheetViews>
  <sheetFormatPr defaultRowHeight="15" x14ac:dyDescent="0.25"/>
  <cols>
    <col min="2" max="2" width="32.140625" bestFit="1" customWidth="1"/>
    <col min="3" max="3" width="17.42578125" bestFit="1" customWidth="1"/>
    <col min="4" max="4" width="15" customWidth="1"/>
    <col min="5" max="5" width="39.5703125" customWidth="1"/>
    <col min="6" max="6" width="25.5703125" customWidth="1"/>
    <col min="7" max="7" width="30.140625" customWidth="1"/>
    <col min="8" max="8" width="32.5703125" bestFit="1" customWidth="1"/>
    <col min="9" max="9" width="24.5703125" customWidth="1"/>
    <col min="10" max="10" width="39.7109375" customWidth="1"/>
    <col min="11" max="11" width="75.5703125" customWidth="1"/>
    <col min="12" max="12" width="76.42578125" bestFit="1" customWidth="1"/>
  </cols>
  <sheetData>
    <row r="3" spans="5:12" x14ac:dyDescent="0.25">
      <c r="E3" s="5" t="s">
        <v>21</v>
      </c>
      <c r="F3">
        <f xml:space="preserve"> SUM(Table1415[Expense (TND)
- Forecasted -])</f>
        <v>53113.599999999999</v>
      </c>
    </row>
    <row r="4" spans="5:12" x14ac:dyDescent="0.25">
      <c r="E4" s="5" t="s">
        <v>22</v>
      </c>
      <c r="F4" s="4">
        <f xml:space="preserve"> F3/12</f>
        <v>4426.1333333333332</v>
      </c>
    </row>
    <row r="6" spans="5:12" ht="30" x14ac:dyDescent="0.25">
      <c r="E6" s="2" t="s">
        <v>49</v>
      </c>
      <c r="F6" s="3" t="s">
        <v>153</v>
      </c>
      <c r="G6" s="3" t="s">
        <v>154</v>
      </c>
      <c r="H6" s="3" t="s">
        <v>16</v>
      </c>
      <c r="I6" s="2" t="s">
        <v>5</v>
      </c>
      <c r="J6" s="2" t="s">
        <v>95</v>
      </c>
      <c r="K6" s="2" t="s">
        <v>2</v>
      </c>
      <c r="L6" s="2" t="s">
        <v>1</v>
      </c>
    </row>
    <row r="7" spans="5:12" s="20" customFormat="1" ht="150" x14ac:dyDescent="0.25">
      <c r="E7" s="20" t="s">
        <v>4</v>
      </c>
      <c r="F7" s="20">
        <v>1000</v>
      </c>
      <c r="G7" s="20">
        <v>700</v>
      </c>
      <c r="H7" s="23">
        <f>Table1415[[#This Row],[Expense (TND)
- Forecasted -]]/12</f>
        <v>83.333333333333329</v>
      </c>
      <c r="I7" s="20" t="s">
        <v>6</v>
      </c>
      <c r="J7" s="20" t="s">
        <v>97</v>
      </c>
      <c r="K7" s="20" t="s">
        <v>3</v>
      </c>
      <c r="L7" s="21" t="s">
        <v>57</v>
      </c>
    </row>
    <row r="8" spans="5:12" s="20" customFormat="1" ht="300" x14ac:dyDescent="0.25">
      <c r="E8" s="20" t="s">
        <v>17</v>
      </c>
      <c r="F8" s="20">
        <v>1420</v>
      </c>
      <c r="G8" s="20">
        <f xml:space="preserve"> 290</f>
        <v>290</v>
      </c>
      <c r="H8" s="23">
        <f>Table1415[[#This Row],[Expense (TND)
- Forecasted -]]/12</f>
        <v>118.33333333333333</v>
      </c>
      <c r="I8" s="20" t="s">
        <v>6</v>
      </c>
      <c r="J8" s="20" t="s">
        <v>97</v>
      </c>
      <c r="K8" s="20" t="s">
        <v>3</v>
      </c>
      <c r="L8" s="21" t="s">
        <v>56</v>
      </c>
    </row>
    <row r="9" spans="5:12" s="20" customFormat="1" ht="32.25" customHeight="1" x14ac:dyDescent="0.25">
      <c r="E9" s="20" t="s">
        <v>19</v>
      </c>
      <c r="F9" s="20">
        <f xml:space="preserve"> 60 + 60 +60</f>
        <v>180</v>
      </c>
      <c r="G9" s="20">
        <f xml:space="preserve"> 60 + 60 +60</f>
        <v>180</v>
      </c>
      <c r="H9" s="23">
        <f>Table1415[[#This Row],[Expense (TND)
- Forecasted -]]/12</f>
        <v>15</v>
      </c>
      <c r="I9" s="20" t="s">
        <v>6</v>
      </c>
      <c r="J9" s="20" t="s">
        <v>97</v>
      </c>
      <c r="K9" s="20" t="s">
        <v>3</v>
      </c>
      <c r="L9" s="20" t="s">
        <v>25</v>
      </c>
    </row>
    <row r="10" spans="5:12" s="20" customFormat="1" ht="45" x14ac:dyDescent="0.25">
      <c r="E10" s="20" t="s">
        <v>7</v>
      </c>
      <c r="F10" s="20">
        <f xml:space="preserve"> (300 *4)*12</f>
        <v>14400</v>
      </c>
      <c r="G10" s="20">
        <f xml:space="preserve"> (300 *4)*12</f>
        <v>14400</v>
      </c>
      <c r="H10" s="23">
        <f>Table1415[[#This Row],[Expense (TND)
- Forecasted -]]/12</f>
        <v>1200</v>
      </c>
      <c r="I10" s="20" t="s">
        <v>6</v>
      </c>
      <c r="J10" s="20" t="s">
        <v>97</v>
      </c>
      <c r="K10" s="20" t="s">
        <v>3</v>
      </c>
      <c r="L10" s="21" t="s">
        <v>58</v>
      </c>
    </row>
    <row r="11" spans="5:12" s="20" customFormat="1" ht="45" x14ac:dyDescent="0.25">
      <c r="E11" s="20" t="s">
        <v>34</v>
      </c>
      <c r="F11" s="20">
        <v>1000</v>
      </c>
      <c r="G11" s="20">
        <v>1000</v>
      </c>
      <c r="H11" s="23">
        <f>Table1415[[#This Row],[Expense (TND)
- Forecasted -]]/12</f>
        <v>83.333333333333329</v>
      </c>
      <c r="I11" s="20" t="s">
        <v>6</v>
      </c>
      <c r="J11" s="20" t="s">
        <v>97</v>
      </c>
      <c r="K11" s="20" t="s">
        <v>3</v>
      </c>
      <c r="L11" s="21" t="s">
        <v>44</v>
      </c>
    </row>
    <row r="12" spans="5:12" s="20" customFormat="1" ht="45" x14ac:dyDescent="0.25">
      <c r="E12" s="20" t="s">
        <v>10</v>
      </c>
      <c r="F12" s="20">
        <f xml:space="preserve"> 200 * 12</f>
        <v>2400</v>
      </c>
      <c r="G12" s="20">
        <f xml:space="preserve"> 200 * 12</f>
        <v>2400</v>
      </c>
      <c r="H12" s="23">
        <f>Table1415[[#This Row],[Expense (TND)
- Forecasted -]]/12</f>
        <v>200</v>
      </c>
      <c r="I12" s="20" t="s">
        <v>8</v>
      </c>
      <c r="J12" s="20" t="s">
        <v>97</v>
      </c>
      <c r="K12" s="20" t="s">
        <v>3</v>
      </c>
      <c r="L12" s="21" t="s">
        <v>84</v>
      </c>
    </row>
    <row r="13" spans="5:12" s="20" customFormat="1" ht="30" x14ac:dyDescent="0.25">
      <c r="E13" s="20" t="s">
        <v>24</v>
      </c>
      <c r="F13" s="20">
        <f>1100*12</f>
        <v>13200</v>
      </c>
      <c r="G13" s="20">
        <f>1100*12</f>
        <v>13200</v>
      </c>
      <c r="H13" s="23">
        <f>Table1415[[#This Row],[Expense (TND)
- Forecasted -]]/12</f>
        <v>1100</v>
      </c>
      <c r="I13" s="20" t="s">
        <v>6</v>
      </c>
      <c r="J13" s="20" t="s">
        <v>97</v>
      </c>
      <c r="K13" s="20" t="s">
        <v>3</v>
      </c>
      <c r="L13" s="21" t="s">
        <v>35</v>
      </c>
    </row>
    <row r="14" spans="5:12" s="20" customFormat="1" ht="255" x14ac:dyDescent="0.25">
      <c r="E14" s="20" t="s">
        <v>11</v>
      </c>
      <c r="F14" s="20">
        <v>1600</v>
      </c>
      <c r="G14" s="20">
        <f xml:space="preserve">  300 + (630 * 2) + 1200 + 500 + 1400</f>
        <v>4660</v>
      </c>
      <c r="H14" s="23">
        <f>Table1415[[#This Row],[Expense (TND)
- Forecasted -]]/12</f>
        <v>133.33333333333334</v>
      </c>
      <c r="I14" s="20" t="s">
        <v>8</v>
      </c>
      <c r="J14" s="20" t="s">
        <v>96</v>
      </c>
      <c r="K14" s="20" t="s">
        <v>3</v>
      </c>
      <c r="L14" s="21" t="s">
        <v>202</v>
      </c>
    </row>
    <row r="15" spans="5:12" s="20" customFormat="1" ht="32.25" customHeight="1" x14ac:dyDescent="0.25">
      <c r="E15" s="20" t="s">
        <v>13</v>
      </c>
      <c r="F15" s="20">
        <f>30*4*12</f>
        <v>1440</v>
      </c>
      <c r="G15" s="20">
        <f>30*4*12</f>
        <v>1440</v>
      </c>
      <c r="H15" s="23">
        <f>Table1415[[#This Row],[Expense (TND)
- Forecasted -]]/12</f>
        <v>120</v>
      </c>
      <c r="I15" s="20" t="s">
        <v>8</v>
      </c>
      <c r="J15" s="20" t="s">
        <v>97</v>
      </c>
      <c r="K15" s="20" t="s">
        <v>3</v>
      </c>
      <c r="L15" s="20" t="s">
        <v>14</v>
      </c>
    </row>
    <row r="16" spans="5:12" s="20" customFormat="1" ht="27" customHeight="1" x14ac:dyDescent="0.25">
      <c r="E16" s="20" t="s">
        <v>15</v>
      </c>
      <c r="F16" s="20">
        <v>310</v>
      </c>
      <c r="G16" s="20">
        <v>310</v>
      </c>
      <c r="H16" s="23">
        <f>Table1415[[#This Row],[Expense (TND)
- Forecasted -]]/12</f>
        <v>25.833333333333332</v>
      </c>
      <c r="I16" s="20" t="s">
        <v>8</v>
      </c>
      <c r="J16" s="20" t="s">
        <v>97</v>
      </c>
      <c r="K16" s="20" t="s">
        <v>3</v>
      </c>
    </row>
    <row r="17" spans="5:12" s="20" customFormat="1" ht="29.25" customHeight="1" x14ac:dyDescent="0.25">
      <c r="E17" s="20" t="s">
        <v>33</v>
      </c>
      <c r="F17" s="20">
        <v>1100</v>
      </c>
      <c r="G17" s="20">
        <v>1100</v>
      </c>
      <c r="H17" s="23">
        <f>Table1415[[#This Row],[Expense (TND)
- Forecasted -]]/12</f>
        <v>91.666666666666671</v>
      </c>
      <c r="I17" s="20" t="s">
        <v>8</v>
      </c>
      <c r="J17" s="20" t="s">
        <v>97</v>
      </c>
      <c r="K17" s="20" t="s">
        <v>3</v>
      </c>
    </row>
    <row r="18" spans="5:12" s="20" customFormat="1" ht="30" x14ac:dyDescent="0.25">
      <c r="E18" s="20" t="s">
        <v>23</v>
      </c>
      <c r="F18" s="20">
        <f xml:space="preserve"> 35 *12</f>
        <v>420</v>
      </c>
      <c r="G18" s="20">
        <f xml:space="preserve"> 35 *12</f>
        <v>420</v>
      </c>
      <c r="H18" s="23">
        <f>Table1415[[#This Row],[Expense (TND)
- Forecasted -]]/12</f>
        <v>35</v>
      </c>
      <c r="I18" s="20" t="s">
        <v>6</v>
      </c>
      <c r="J18" s="20" t="s">
        <v>97</v>
      </c>
      <c r="K18" s="20" t="s">
        <v>3</v>
      </c>
      <c r="L18" s="21" t="s">
        <v>20</v>
      </c>
    </row>
    <row r="19" spans="5:12" s="20" customFormat="1" ht="45" x14ac:dyDescent="0.25">
      <c r="E19" s="20" t="s">
        <v>26</v>
      </c>
      <c r="F19" s="20">
        <v>500</v>
      </c>
      <c r="G19" s="20">
        <f xml:space="preserve"> 400 + 200 + 100</f>
        <v>700</v>
      </c>
      <c r="H19" s="23">
        <f>Table1415[[#This Row],[Expense (TND)
- Forecasted -]]/12</f>
        <v>41.666666666666664</v>
      </c>
      <c r="I19" s="20" t="s">
        <v>8</v>
      </c>
      <c r="J19" s="20" t="s">
        <v>97</v>
      </c>
      <c r="K19" s="20" t="s">
        <v>3</v>
      </c>
      <c r="L19" s="21" t="s">
        <v>155</v>
      </c>
    </row>
    <row r="20" spans="5:12" s="20" customFormat="1" ht="60" x14ac:dyDescent="0.25">
      <c r="E20" s="20" t="s">
        <v>30</v>
      </c>
      <c r="F20" s="20">
        <f xml:space="preserve"> 150 + 150</f>
        <v>300</v>
      </c>
      <c r="G20" s="20">
        <v>300</v>
      </c>
      <c r="H20" s="23">
        <f>Table1415[[#This Row],[Expense (TND)
- Forecasted -]]/12</f>
        <v>25</v>
      </c>
      <c r="I20" s="20" t="s">
        <v>6</v>
      </c>
      <c r="J20" s="20" t="s">
        <v>97</v>
      </c>
      <c r="K20" s="20" t="s">
        <v>3</v>
      </c>
      <c r="L20" s="21" t="s">
        <v>42</v>
      </c>
    </row>
    <row r="21" spans="5:12" s="20" customFormat="1" ht="30" x14ac:dyDescent="0.25">
      <c r="E21" s="20" t="s">
        <v>27</v>
      </c>
      <c r="F21" s="20">
        <f xml:space="preserve"> 30 * 6</f>
        <v>180</v>
      </c>
      <c r="G21" s="20">
        <v>250</v>
      </c>
      <c r="H21" s="23">
        <f>Table1415[[#This Row],[Expense (TND)
- Forecasted -]]/12</f>
        <v>15</v>
      </c>
      <c r="I21" s="20" t="s">
        <v>6</v>
      </c>
      <c r="J21" s="20" t="s">
        <v>97</v>
      </c>
      <c r="K21" s="20" t="s">
        <v>3</v>
      </c>
      <c r="L21" s="21" t="s">
        <v>37</v>
      </c>
    </row>
    <row r="22" spans="5:12" s="20" customFormat="1" ht="60" x14ac:dyDescent="0.25">
      <c r="E22" s="20" t="s">
        <v>28</v>
      </c>
      <c r="F22" s="20">
        <f xml:space="preserve"> 1900 - 1500 + (25*12)</f>
        <v>700</v>
      </c>
      <c r="G22" s="20">
        <v>898</v>
      </c>
      <c r="H22" s="23">
        <f>Table1415[[#This Row],[Expense (TND)
- Forecasted -]]/12</f>
        <v>58.333333333333336</v>
      </c>
      <c r="I22" s="20" t="s">
        <v>6</v>
      </c>
      <c r="J22" s="20" t="s">
        <v>97</v>
      </c>
      <c r="K22" s="20" t="s">
        <v>3</v>
      </c>
      <c r="L22" s="21" t="s">
        <v>59</v>
      </c>
    </row>
    <row r="23" spans="5:12" s="20" customFormat="1" ht="30" x14ac:dyDescent="0.25">
      <c r="E23" s="20" t="s">
        <v>32</v>
      </c>
      <c r="F23" s="20">
        <v>500</v>
      </c>
      <c r="H23" s="23">
        <f>Table1415[[#This Row],[Expense (TND)
- Forecasted -]]/12</f>
        <v>41.666666666666664</v>
      </c>
      <c r="I23" s="20" t="s">
        <v>6</v>
      </c>
      <c r="J23" s="20" t="s">
        <v>97</v>
      </c>
      <c r="K23" s="20" t="s">
        <v>3</v>
      </c>
      <c r="L23" s="21" t="s">
        <v>73</v>
      </c>
    </row>
    <row r="24" spans="5:12" s="20" customFormat="1" ht="30.75" customHeight="1" x14ac:dyDescent="0.25">
      <c r="E24" s="20" t="s">
        <v>87</v>
      </c>
      <c r="F24" s="20">
        <v>900</v>
      </c>
      <c r="G24" s="20">
        <v>900</v>
      </c>
      <c r="H24" s="23">
        <f>Table1415[[#This Row],[Expense (TND)
- Forecasted -]]/12</f>
        <v>75</v>
      </c>
      <c r="I24" s="20" t="s">
        <v>6</v>
      </c>
      <c r="J24" s="20" t="s">
        <v>96</v>
      </c>
      <c r="K24" s="20" t="s">
        <v>3</v>
      </c>
      <c r="L24" s="20" t="s">
        <v>93</v>
      </c>
    </row>
    <row r="25" spans="5:12" s="20" customFormat="1" ht="30" x14ac:dyDescent="0.25">
      <c r="E25" s="20" t="s">
        <v>88</v>
      </c>
      <c r="F25" s="20">
        <v>300</v>
      </c>
      <c r="G25" s="20">
        <v>250</v>
      </c>
      <c r="H25" s="23">
        <f>Table1415[[#This Row],[Expense (TND)
- Forecasted -]]/12</f>
        <v>25</v>
      </c>
      <c r="I25" s="20" t="s">
        <v>6</v>
      </c>
      <c r="J25" s="20" t="s">
        <v>96</v>
      </c>
      <c r="K25" s="20" t="s">
        <v>3</v>
      </c>
      <c r="L25" s="21" t="s">
        <v>89</v>
      </c>
    </row>
    <row r="26" spans="5:12" s="20" customFormat="1" ht="90" x14ac:dyDescent="0.25">
      <c r="E26" s="20" t="s">
        <v>94</v>
      </c>
      <c r="F26" s="20">
        <v>500</v>
      </c>
      <c r="G26" s="20">
        <f>500+ 100+60+50+20+7</f>
        <v>737</v>
      </c>
      <c r="H26" s="23">
        <f>Table1415[[#This Row],[Expense (TND)
- Forecasted -]]/12</f>
        <v>41.666666666666664</v>
      </c>
      <c r="I26" s="20" t="s">
        <v>8</v>
      </c>
      <c r="J26" s="20" t="s">
        <v>96</v>
      </c>
      <c r="K26" s="20" t="s">
        <v>3</v>
      </c>
      <c r="L26" s="21" t="s">
        <v>177</v>
      </c>
    </row>
    <row r="27" spans="5:12" s="20" customFormat="1" ht="45" x14ac:dyDescent="0.25">
      <c r="E27" s="21" t="s">
        <v>98</v>
      </c>
      <c r="F27" s="20">
        <v>300</v>
      </c>
      <c r="G27" s="20">
        <v>375</v>
      </c>
      <c r="H27" s="23">
        <f>Table1415[[#This Row],[Expense (TND)
- Forecasted -]]/12</f>
        <v>25</v>
      </c>
      <c r="I27" s="20" t="s">
        <v>6</v>
      </c>
      <c r="J27" s="20" t="s">
        <v>96</v>
      </c>
      <c r="K27" s="20" t="s">
        <v>3</v>
      </c>
      <c r="L27" s="21" t="s">
        <v>100</v>
      </c>
    </row>
    <row r="28" spans="5:12" s="20" customFormat="1" ht="25.5" customHeight="1" x14ac:dyDescent="0.25">
      <c r="E28" s="20" t="s">
        <v>99</v>
      </c>
      <c r="F28" s="20">
        <f>SUM(Table1116[Fees (TND)
- Forescasted -])</f>
        <v>2863.6</v>
      </c>
      <c r="G28" s="20">
        <f>SUM(Table1116[Fees (TND)
- Actual -])</f>
        <v>2585.6</v>
      </c>
      <c r="H28" s="23">
        <f>Table1415[[#This Row],[Expense (TND)
- Forecasted -]]/12</f>
        <v>238.63333333333333</v>
      </c>
      <c r="I28" s="20" t="s">
        <v>8</v>
      </c>
      <c r="J28" s="20" t="s">
        <v>96</v>
      </c>
      <c r="K28" s="20" t="s">
        <v>3</v>
      </c>
      <c r="L28" s="20" t="s">
        <v>101</v>
      </c>
    </row>
    <row r="29" spans="5:12" s="20" customFormat="1" ht="30" customHeight="1" x14ac:dyDescent="0.25">
      <c r="E29" s="20" t="s">
        <v>156</v>
      </c>
      <c r="F29" s="20">
        <v>600</v>
      </c>
      <c r="G29" s="20">
        <v>600</v>
      </c>
      <c r="H29" s="23">
        <f>Table1415[[#This Row],[Expense (TND)
- Forecasted -]]/12</f>
        <v>50</v>
      </c>
      <c r="I29" s="20" t="s">
        <v>6</v>
      </c>
      <c r="J29" s="20" t="s">
        <v>96</v>
      </c>
      <c r="K29" s="20" t="s">
        <v>3</v>
      </c>
      <c r="L29" s="20" t="s">
        <v>147</v>
      </c>
    </row>
    <row r="30" spans="5:12" ht="75" x14ac:dyDescent="0.25">
      <c r="E30" s="20" t="s">
        <v>197</v>
      </c>
      <c r="F30" s="20">
        <v>7000</v>
      </c>
      <c r="G30" s="20">
        <v>7000</v>
      </c>
      <c r="H30" s="23">
        <f>Table1415[[#This Row],[Expense (TND)
- Forecasted -]]/12</f>
        <v>583.33333333333337</v>
      </c>
      <c r="I30" s="20" t="s">
        <v>199</v>
      </c>
      <c r="J30" s="20" t="s">
        <v>96</v>
      </c>
      <c r="K30" s="20" t="s">
        <v>3</v>
      </c>
      <c r="L30" s="25" t="s">
        <v>198</v>
      </c>
    </row>
    <row r="35" spans="5:11" ht="30" x14ac:dyDescent="0.25">
      <c r="E35" s="20" t="s">
        <v>102</v>
      </c>
      <c r="F35" s="20" t="s">
        <v>104</v>
      </c>
      <c r="G35" s="20" t="s">
        <v>125</v>
      </c>
      <c r="H35" s="20" t="s">
        <v>95</v>
      </c>
      <c r="I35" s="3" t="s">
        <v>139</v>
      </c>
      <c r="J35" s="3" t="s">
        <v>140</v>
      </c>
      <c r="K35" s="20" t="s">
        <v>1</v>
      </c>
    </row>
    <row r="36" spans="5:11" ht="35.25" customHeight="1" x14ac:dyDescent="0.25">
      <c r="E36" s="21" t="s">
        <v>105</v>
      </c>
      <c r="F36" s="21" t="s">
        <v>97</v>
      </c>
      <c r="G36" s="21" t="s">
        <v>126</v>
      </c>
      <c r="H36" s="21" t="s">
        <v>109</v>
      </c>
      <c r="I36" s="21">
        <f>SUM(Table1318[Fees (TND)])</f>
        <v>500</v>
      </c>
      <c r="J36" s="21">
        <f>SUMIF(Table1318[Status], "Done", Table1318[Fees (TND)])</f>
        <v>500</v>
      </c>
      <c r="K36" s="21" t="s">
        <v>114</v>
      </c>
    </row>
    <row r="37" spans="5:11" ht="30" x14ac:dyDescent="0.25">
      <c r="E37" s="21" t="s">
        <v>106</v>
      </c>
      <c r="F37" s="21" t="s">
        <v>110</v>
      </c>
      <c r="G37" s="21" t="s">
        <v>126</v>
      </c>
      <c r="H37" s="21" t="s">
        <v>108</v>
      </c>
      <c r="I37" s="21">
        <v>95</v>
      </c>
      <c r="J37" s="21">
        <v>95</v>
      </c>
      <c r="K37" s="21" t="s">
        <v>113</v>
      </c>
    </row>
    <row r="38" spans="5:11" ht="29.25" customHeight="1" x14ac:dyDescent="0.25">
      <c r="E38" s="21" t="s">
        <v>111</v>
      </c>
      <c r="F38" s="21" t="s">
        <v>97</v>
      </c>
      <c r="G38" s="21" t="s">
        <v>127</v>
      </c>
      <c r="H38" s="21" t="s">
        <v>109</v>
      </c>
      <c r="I38" s="21">
        <f>20*4</f>
        <v>80</v>
      </c>
      <c r="J38" s="21">
        <f xml:space="preserve"> 15+20+20</f>
        <v>55</v>
      </c>
      <c r="K38" s="21" t="s">
        <v>151</v>
      </c>
    </row>
    <row r="39" spans="5:11" ht="30.75" customHeight="1" x14ac:dyDescent="0.25">
      <c r="E39" s="21" t="s">
        <v>112</v>
      </c>
      <c r="F39" s="21" t="s">
        <v>110</v>
      </c>
      <c r="G39" s="21" t="s">
        <v>126</v>
      </c>
      <c r="H39" s="21" t="s">
        <v>109</v>
      </c>
      <c r="I39" s="21">
        <v>65</v>
      </c>
      <c r="J39" s="21">
        <v>65</v>
      </c>
      <c r="K39" s="21"/>
    </row>
    <row r="40" spans="5:11" ht="41.25" customHeight="1" x14ac:dyDescent="0.25">
      <c r="E40" s="21" t="s">
        <v>121</v>
      </c>
      <c r="F40" s="21" t="s">
        <v>110</v>
      </c>
      <c r="G40" s="21" t="s">
        <v>126</v>
      </c>
      <c r="H40" s="21" t="s">
        <v>115</v>
      </c>
      <c r="I40" s="21">
        <f xml:space="preserve"> 40 + 60</f>
        <v>100</v>
      </c>
      <c r="J40" s="21">
        <f xml:space="preserve"> 40 + 60</f>
        <v>100</v>
      </c>
      <c r="K40" s="21" t="s">
        <v>129</v>
      </c>
    </row>
    <row r="41" spans="5:11" ht="128.25" customHeight="1" x14ac:dyDescent="0.25">
      <c r="E41" s="21" t="s">
        <v>128</v>
      </c>
      <c r="F41" s="21" t="s">
        <v>110</v>
      </c>
      <c r="G41" s="21" t="s">
        <v>126</v>
      </c>
      <c r="H41" s="21" t="s">
        <v>128</v>
      </c>
      <c r="I41" s="21">
        <f>103+10+16+48+2.6+32+12.5+28+11.5+7+14+50</f>
        <v>334.6</v>
      </c>
      <c r="J41" s="21">
        <f>103+10+16+48+2.6+32+12.5+28+11.5+7+14+50+50</f>
        <v>384.6</v>
      </c>
      <c r="K41" s="21" t="s">
        <v>190</v>
      </c>
    </row>
    <row r="42" spans="5:11" ht="34.5" customHeight="1" x14ac:dyDescent="0.25">
      <c r="E42" s="21" t="s">
        <v>117</v>
      </c>
      <c r="F42" s="21" t="s">
        <v>110</v>
      </c>
      <c r="G42" s="21" t="s">
        <v>126</v>
      </c>
      <c r="H42" s="21" t="s">
        <v>116</v>
      </c>
      <c r="I42" s="21">
        <v>86</v>
      </c>
      <c r="J42" s="21">
        <v>86</v>
      </c>
      <c r="K42" s="21" t="s">
        <v>119</v>
      </c>
    </row>
    <row r="43" spans="5:11" ht="30" x14ac:dyDescent="0.25">
      <c r="E43" s="21" t="s">
        <v>118</v>
      </c>
      <c r="F43" s="21" t="s">
        <v>110</v>
      </c>
      <c r="G43" s="21" t="s">
        <v>126</v>
      </c>
      <c r="H43" s="21" t="s">
        <v>116</v>
      </c>
      <c r="I43" s="21">
        <v>90</v>
      </c>
      <c r="J43" s="21">
        <v>37</v>
      </c>
      <c r="K43" s="21" t="s">
        <v>172</v>
      </c>
    </row>
    <row r="44" spans="5:11" ht="33" customHeight="1" x14ac:dyDescent="0.25">
      <c r="E44" s="21" t="s">
        <v>188</v>
      </c>
      <c r="F44" s="21" t="s">
        <v>110</v>
      </c>
      <c r="G44" s="21" t="s">
        <v>126</v>
      </c>
      <c r="H44" s="21" t="s">
        <v>189</v>
      </c>
      <c r="I44" s="21">
        <v>50</v>
      </c>
      <c r="J44" s="21">
        <v>50</v>
      </c>
      <c r="K44" s="21"/>
    </row>
    <row r="45" spans="5:11" ht="50.25" customHeight="1" x14ac:dyDescent="0.25">
      <c r="E45" s="21" t="s">
        <v>120</v>
      </c>
      <c r="F45" s="21" t="s">
        <v>110</v>
      </c>
      <c r="G45" s="21" t="s">
        <v>126</v>
      </c>
      <c r="H45" s="21" t="s">
        <v>122</v>
      </c>
      <c r="I45" s="21">
        <f>10 + 10</f>
        <v>20</v>
      </c>
      <c r="J45" s="21">
        <f>10</f>
        <v>10</v>
      </c>
      <c r="K45" s="21" t="s">
        <v>173</v>
      </c>
    </row>
    <row r="46" spans="5:11" ht="62.25" customHeight="1" x14ac:dyDescent="0.25">
      <c r="E46" s="21" t="s">
        <v>123</v>
      </c>
      <c r="F46" s="21" t="s">
        <v>97</v>
      </c>
      <c r="G46" s="21" t="s">
        <v>126</v>
      </c>
      <c r="H46" s="21" t="s">
        <v>123</v>
      </c>
      <c r="I46" s="21">
        <f>SUM(Table1217[Fees])</f>
        <v>260</v>
      </c>
      <c r="J46" s="21">
        <f>SUMIF(Table1217[Status], "Done", Table1217[Fees])</f>
        <v>200</v>
      </c>
      <c r="K46" s="21" t="s">
        <v>131</v>
      </c>
    </row>
    <row r="47" spans="5:11" ht="50.25" customHeight="1" x14ac:dyDescent="0.25">
      <c r="E47" s="21" t="s">
        <v>26</v>
      </c>
      <c r="F47" s="21" t="s">
        <v>110</v>
      </c>
      <c r="G47" s="21" t="s">
        <v>127</v>
      </c>
      <c r="H47" s="21" t="s">
        <v>124</v>
      </c>
      <c r="I47" s="21">
        <f>(50*2)+200 + 5+8+3</f>
        <v>316</v>
      </c>
      <c r="J47" s="21">
        <f>(50*2)+200 + 5+8+3</f>
        <v>316</v>
      </c>
      <c r="K47" s="21" t="s">
        <v>152</v>
      </c>
    </row>
    <row r="48" spans="5:11" ht="92.25" customHeight="1" x14ac:dyDescent="0.25">
      <c r="E48" s="21" t="s">
        <v>144</v>
      </c>
      <c r="F48" s="21" t="s">
        <v>97</v>
      </c>
      <c r="G48" s="21" t="s">
        <v>127</v>
      </c>
      <c r="H48" s="21" t="s">
        <v>130</v>
      </c>
      <c r="I48" s="21">
        <v>150</v>
      </c>
      <c r="J48" s="21">
        <v>0</v>
      </c>
      <c r="K48" s="21" t="s">
        <v>162</v>
      </c>
    </row>
    <row r="49" spans="2:11" ht="45" x14ac:dyDescent="0.25">
      <c r="E49" s="21" t="s">
        <v>148</v>
      </c>
      <c r="F49" s="21" t="s">
        <v>110</v>
      </c>
      <c r="G49" s="21" t="s">
        <v>126</v>
      </c>
      <c r="H49" s="21" t="s">
        <v>149</v>
      </c>
      <c r="I49" s="21">
        <f xml:space="preserve"> 35 + 4</f>
        <v>39</v>
      </c>
      <c r="J49" s="21">
        <f xml:space="preserve"> 35 + 4</f>
        <v>39</v>
      </c>
      <c r="K49" s="21" t="s">
        <v>150</v>
      </c>
    </row>
    <row r="50" spans="2:11" x14ac:dyDescent="0.25">
      <c r="E50" s="21" t="s">
        <v>157</v>
      </c>
      <c r="F50" s="21" t="s">
        <v>110</v>
      </c>
      <c r="G50" s="21" t="s">
        <v>126</v>
      </c>
      <c r="H50" s="21" t="s">
        <v>159</v>
      </c>
      <c r="I50" s="21">
        <f>55+40+15</f>
        <v>110</v>
      </c>
      <c r="J50" s="21">
        <f>55+40+15</f>
        <v>110</v>
      </c>
      <c r="K50" s="21" t="s">
        <v>158</v>
      </c>
    </row>
    <row r="51" spans="2:11" x14ac:dyDescent="0.25">
      <c r="E51" s="21" t="s">
        <v>160</v>
      </c>
      <c r="F51" s="21" t="s">
        <v>97</v>
      </c>
      <c r="G51" s="21" t="s">
        <v>126</v>
      </c>
      <c r="H51" s="21" t="s">
        <v>161</v>
      </c>
      <c r="I51" s="21">
        <v>10</v>
      </c>
      <c r="J51" s="21">
        <v>10</v>
      </c>
      <c r="K51" s="21"/>
    </row>
    <row r="52" spans="2:11" x14ac:dyDescent="0.25">
      <c r="E52" s="21" t="s">
        <v>163</v>
      </c>
      <c r="F52" s="21" t="s">
        <v>110</v>
      </c>
      <c r="G52" s="21" t="s">
        <v>126</v>
      </c>
      <c r="H52" s="21" t="s">
        <v>164</v>
      </c>
      <c r="I52" s="21">
        <v>21</v>
      </c>
      <c r="J52" s="21">
        <v>21</v>
      </c>
      <c r="K52" s="21" t="s">
        <v>165</v>
      </c>
    </row>
    <row r="53" spans="2:11" ht="30" x14ac:dyDescent="0.25">
      <c r="E53" s="21" t="s">
        <v>166</v>
      </c>
      <c r="F53" s="21" t="s">
        <v>110</v>
      </c>
      <c r="G53" s="21" t="s">
        <v>127</v>
      </c>
      <c r="H53" s="21" t="s">
        <v>167</v>
      </c>
      <c r="I53" s="21">
        <v>32</v>
      </c>
      <c r="J53" s="21">
        <v>32</v>
      </c>
      <c r="K53" s="21" t="s">
        <v>168</v>
      </c>
    </row>
    <row r="54" spans="2:11" ht="30" x14ac:dyDescent="0.25">
      <c r="B54" s="1"/>
      <c r="E54" s="21" t="s">
        <v>169</v>
      </c>
      <c r="F54" s="21" t="s">
        <v>110</v>
      </c>
      <c r="G54" s="21" t="s">
        <v>127</v>
      </c>
      <c r="H54" s="21" t="s">
        <v>170</v>
      </c>
      <c r="I54" s="21">
        <v>10</v>
      </c>
      <c r="J54" s="21">
        <v>10</v>
      </c>
      <c r="K54" s="21" t="s">
        <v>171</v>
      </c>
    </row>
    <row r="55" spans="2:11" ht="45" x14ac:dyDescent="0.25">
      <c r="E55" s="21" t="s">
        <v>174</v>
      </c>
      <c r="F55" s="21" t="s">
        <v>97</v>
      </c>
      <c r="G55" s="21" t="s">
        <v>126</v>
      </c>
      <c r="H55" s="21" t="s">
        <v>176</v>
      </c>
      <c r="I55" s="21">
        <v>100</v>
      </c>
      <c r="J55" s="21">
        <v>100</v>
      </c>
      <c r="K55" s="21" t="s">
        <v>175</v>
      </c>
    </row>
    <row r="56" spans="2:11" ht="30" x14ac:dyDescent="0.25">
      <c r="E56" s="21" t="s">
        <v>181</v>
      </c>
      <c r="F56" s="21" t="s">
        <v>97</v>
      </c>
      <c r="G56" s="21" t="s">
        <v>126</v>
      </c>
      <c r="H56" s="21" t="s">
        <v>116</v>
      </c>
      <c r="I56" s="21">
        <v>100</v>
      </c>
      <c r="J56" s="24">
        <v>80</v>
      </c>
      <c r="K56" s="21" t="s">
        <v>182</v>
      </c>
    </row>
    <row r="57" spans="2:11" ht="30" x14ac:dyDescent="0.25">
      <c r="E57" s="21" t="s">
        <v>185</v>
      </c>
      <c r="F57" s="21" t="s">
        <v>97</v>
      </c>
      <c r="G57" s="21" t="s">
        <v>126</v>
      </c>
      <c r="H57" s="21" t="s">
        <v>183</v>
      </c>
      <c r="I57" s="21">
        <v>60</v>
      </c>
      <c r="J57" s="24">
        <v>50</v>
      </c>
      <c r="K57" s="21" t="s">
        <v>184</v>
      </c>
    </row>
    <row r="58" spans="2:11" ht="30" x14ac:dyDescent="0.25">
      <c r="E58" s="21" t="s">
        <v>186</v>
      </c>
      <c r="F58" s="21" t="s">
        <v>110</v>
      </c>
      <c r="G58" s="21" t="s">
        <v>126</v>
      </c>
      <c r="H58" s="21" t="s">
        <v>187</v>
      </c>
      <c r="I58" s="21">
        <v>60</v>
      </c>
      <c r="J58" s="21">
        <v>60</v>
      </c>
      <c r="K58" s="21"/>
    </row>
    <row r="59" spans="2:11" ht="45" x14ac:dyDescent="0.25">
      <c r="E59" s="21" t="s">
        <v>192</v>
      </c>
      <c r="F59" s="21" t="s">
        <v>110</v>
      </c>
      <c r="G59" s="21" t="s">
        <v>126</v>
      </c>
      <c r="H59" s="21" t="s">
        <v>193</v>
      </c>
      <c r="I59" s="21">
        <v>140</v>
      </c>
      <c r="J59" s="21">
        <v>140</v>
      </c>
      <c r="K59" s="21" t="s">
        <v>191</v>
      </c>
    </row>
    <row r="60" spans="2:11" ht="30" x14ac:dyDescent="0.25">
      <c r="E60" s="21" t="s">
        <v>194</v>
      </c>
      <c r="F60" s="21" t="s">
        <v>110</v>
      </c>
      <c r="G60" s="21" t="s">
        <v>126</v>
      </c>
      <c r="H60" s="21" t="s">
        <v>195</v>
      </c>
      <c r="I60" s="21">
        <v>35</v>
      </c>
      <c r="J60" s="21">
        <v>35</v>
      </c>
      <c r="K60" s="21"/>
    </row>
    <row r="61" spans="2:11" x14ac:dyDescent="0.25">
      <c r="E61" s="21"/>
      <c r="F61" s="21"/>
      <c r="G61" s="21"/>
      <c r="H61" s="21"/>
      <c r="I61" s="21"/>
      <c r="J61" s="21"/>
      <c r="K61" s="21"/>
    </row>
    <row r="62" spans="2:11" x14ac:dyDescent="0.25">
      <c r="E62" s="21"/>
      <c r="F62" s="21"/>
      <c r="G62" s="21"/>
      <c r="H62" s="21"/>
      <c r="I62" s="21"/>
      <c r="J62" s="21"/>
      <c r="K62" s="21"/>
    </row>
    <row r="63" spans="2:11" x14ac:dyDescent="0.25">
      <c r="E63" s="21"/>
      <c r="F63" s="21"/>
      <c r="G63" s="21"/>
      <c r="H63" s="21"/>
      <c r="I63" s="21"/>
      <c r="J63" s="21"/>
      <c r="K63" s="21"/>
    </row>
    <row r="64" spans="2:11" x14ac:dyDescent="0.25">
      <c r="E64" s="21"/>
      <c r="F64" s="21"/>
      <c r="G64" s="21"/>
      <c r="H64" s="21"/>
      <c r="I64" s="21"/>
      <c r="J64" s="21"/>
      <c r="K64" s="21"/>
    </row>
    <row r="65" spans="2:11" x14ac:dyDescent="0.25">
      <c r="E65" s="21"/>
      <c r="F65" s="21"/>
      <c r="G65" s="21"/>
      <c r="H65" s="21"/>
      <c r="I65" s="21"/>
      <c r="J65" s="21"/>
      <c r="K65" s="21"/>
    </row>
    <row r="66" spans="2:11" x14ac:dyDescent="0.25">
      <c r="B66" s="8" t="s">
        <v>137</v>
      </c>
      <c r="G66" s="8" t="s">
        <v>135</v>
      </c>
    </row>
    <row r="67" spans="2:11" ht="30" x14ac:dyDescent="0.25">
      <c r="B67" s="1" t="s">
        <v>136</v>
      </c>
      <c r="C67" t="s">
        <v>107</v>
      </c>
      <c r="D67" t="s">
        <v>141</v>
      </c>
      <c r="E67" t="s">
        <v>146</v>
      </c>
      <c r="G67" t="s">
        <v>133</v>
      </c>
      <c r="H67" t="s">
        <v>132</v>
      </c>
      <c r="I67" t="s">
        <v>103</v>
      </c>
      <c r="J67" t="s">
        <v>141</v>
      </c>
      <c r="K67" t="s">
        <v>145</v>
      </c>
    </row>
    <row r="68" spans="2:11" x14ac:dyDescent="0.25">
      <c r="B68" s="22">
        <v>43446</v>
      </c>
      <c r="C68">
        <v>20</v>
      </c>
      <c r="D68" s="3" t="s">
        <v>143</v>
      </c>
      <c r="E68" t="s">
        <v>110</v>
      </c>
      <c r="G68" t="s">
        <v>134</v>
      </c>
      <c r="H68" s="22">
        <v>43446</v>
      </c>
      <c r="I68">
        <v>0</v>
      </c>
      <c r="J68" s="3"/>
    </row>
    <row r="69" spans="2:11" x14ac:dyDescent="0.25">
      <c r="B69" s="22">
        <v>43448</v>
      </c>
      <c r="C69">
        <v>20</v>
      </c>
      <c r="D69" s="3" t="s">
        <v>143</v>
      </c>
      <c r="E69" t="s">
        <v>110</v>
      </c>
      <c r="G69" t="s">
        <v>138</v>
      </c>
      <c r="H69" s="22">
        <v>43447</v>
      </c>
      <c r="I69">
        <v>20</v>
      </c>
      <c r="J69" s="3" t="s">
        <v>143</v>
      </c>
      <c r="K69" t="s">
        <v>110</v>
      </c>
    </row>
    <row r="70" spans="2:11" x14ac:dyDescent="0.25">
      <c r="B70" s="22">
        <v>43452</v>
      </c>
      <c r="C70">
        <v>20</v>
      </c>
      <c r="D70" s="3" t="s">
        <v>143</v>
      </c>
      <c r="E70" t="s">
        <v>110</v>
      </c>
      <c r="G70" t="s">
        <v>134</v>
      </c>
      <c r="H70" s="22">
        <v>43448</v>
      </c>
      <c r="I70">
        <v>0</v>
      </c>
      <c r="J70" s="3"/>
    </row>
    <row r="71" spans="2:11" x14ac:dyDescent="0.25">
      <c r="B71" s="22">
        <v>43454</v>
      </c>
      <c r="C71">
        <v>20</v>
      </c>
      <c r="D71" s="3" t="s">
        <v>143</v>
      </c>
      <c r="E71" t="s">
        <v>110</v>
      </c>
      <c r="G71" t="s">
        <v>138</v>
      </c>
      <c r="H71" s="22">
        <v>43449</v>
      </c>
      <c r="I71">
        <v>20</v>
      </c>
      <c r="J71" s="3" t="s">
        <v>143</v>
      </c>
      <c r="K71" t="s">
        <v>110</v>
      </c>
    </row>
    <row r="72" spans="2:11" x14ac:dyDescent="0.25">
      <c r="B72" s="22">
        <v>43456</v>
      </c>
      <c r="C72">
        <v>20</v>
      </c>
      <c r="D72" s="3" t="s">
        <v>143</v>
      </c>
      <c r="E72" t="s">
        <v>110</v>
      </c>
      <c r="G72" t="s">
        <v>134</v>
      </c>
      <c r="H72" s="22">
        <v>43450</v>
      </c>
      <c r="I72">
        <v>0</v>
      </c>
      <c r="J72" s="3"/>
    </row>
    <row r="73" spans="2:11" x14ac:dyDescent="0.25">
      <c r="B73" s="22">
        <v>43459</v>
      </c>
      <c r="C73">
        <v>20</v>
      </c>
      <c r="D73" s="3" t="s">
        <v>143</v>
      </c>
      <c r="E73" t="s">
        <v>110</v>
      </c>
      <c r="G73" t="s">
        <v>138</v>
      </c>
      <c r="H73" s="22">
        <v>43451</v>
      </c>
      <c r="I73">
        <v>20</v>
      </c>
      <c r="J73" s="3" t="s">
        <v>143</v>
      </c>
      <c r="K73" t="s">
        <v>110</v>
      </c>
    </row>
    <row r="74" spans="2:11" x14ac:dyDescent="0.25">
      <c r="B74" s="22">
        <v>43461</v>
      </c>
      <c r="C74">
        <v>20</v>
      </c>
      <c r="D74" s="3" t="s">
        <v>143</v>
      </c>
      <c r="E74" t="s">
        <v>110</v>
      </c>
      <c r="G74" t="s">
        <v>134</v>
      </c>
      <c r="H74" s="22">
        <v>43452</v>
      </c>
      <c r="I74">
        <v>0</v>
      </c>
      <c r="J74" s="3"/>
    </row>
    <row r="75" spans="2:11" x14ac:dyDescent="0.25">
      <c r="B75" s="22">
        <v>43463</v>
      </c>
      <c r="C75">
        <v>20</v>
      </c>
      <c r="D75" s="3" t="s">
        <v>143</v>
      </c>
      <c r="E75" t="s">
        <v>110</v>
      </c>
      <c r="G75" t="s">
        <v>138</v>
      </c>
      <c r="H75" s="22">
        <v>43453</v>
      </c>
      <c r="I75">
        <v>20</v>
      </c>
      <c r="J75" s="3" t="s">
        <v>143</v>
      </c>
      <c r="K75" t="s">
        <v>110</v>
      </c>
    </row>
    <row r="76" spans="2:11" x14ac:dyDescent="0.25">
      <c r="B76" s="22">
        <v>43466</v>
      </c>
      <c r="C76">
        <v>0</v>
      </c>
      <c r="D76" s="3" t="s">
        <v>142</v>
      </c>
      <c r="E76" t="s">
        <v>178</v>
      </c>
      <c r="G76" t="s">
        <v>134</v>
      </c>
      <c r="H76" s="22">
        <v>43454</v>
      </c>
      <c r="I76">
        <v>0</v>
      </c>
      <c r="J76" s="3"/>
    </row>
    <row r="77" spans="2:11" x14ac:dyDescent="0.25">
      <c r="B77" s="22">
        <v>43468</v>
      </c>
      <c r="C77">
        <v>20</v>
      </c>
      <c r="D77" s="3" t="s">
        <v>143</v>
      </c>
      <c r="E77" t="s">
        <v>110</v>
      </c>
      <c r="G77" t="s">
        <v>138</v>
      </c>
      <c r="H77" s="22">
        <v>43455</v>
      </c>
      <c r="I77">
        <v>20</v>
      </c>
      <c r="J77" s="3" t="s">
        <v>143</v>
      </c>
      <c r="K77" t="s">
        <v>110</v>
      </c>
    </row>
    <row r="78" spans="2:11" x14ac:dyDescent="0.25">
      <c r="B78" s="22">
        <v>43470</v>
      </c>
      <c r="C78">
        <v>20</v>
      </c>
      <c r="D78" s="3" t="s">
        <v>143</v>
      </c>
      <c r="E78" t="s">
        <v>110</v>
      </c>
      <c r="G78" t="s">
        <v>134</v>
      </c>
      <c r="H78" s="22">
        <v>43456</v>
      </c>
      <c r="I78">
        <v>0</v>
      </c>
      <c r="J78" s="3"/>
    </row>
    <row r="79" spans="2:11" x14ac:dyDescent="0.25">
      <c r="B79" s="22">
        <v>43473</v>
      </c>
      <c r="C79">
        <v>20</v>
      </c>
      <c r="D79" s="3" t="s">
        <v>143</v>
      </c>
      <c r="E79" t="s">
        <v>110</v>
      </c>
      <c r="G79" t="s">
        <v>138</v>
      </c>
      <c r="H79" s="22">
        <v>43457</v>
      </c>
      <c r="I79">
        <v>20</v>
      </c>
      <c r="J79" s="3" t="s">
        <v>143</v>
      </c>
      <c r="K79" t="s">
        <v>110</v>
      </c>
    </row>
    <row r="80" spans="2:11" x14ac:dyDescent="0.25">
      <c r="B80" s="22">
        <v>43475</v>
      </c>
      <c r="C80">
        <v>20</v>
      </c>
      <c r="D80" s="3" t="s">
        <v>143</v>
      </c>
      <c r="E80" t="s">
        <v>110</v>
      </c>
      <c r="G80" t="s">
        <v>134</v>
      </c>
      <c r="H80" s="22">
        <v>43458</v>
      </c>
      <c r="I80">
        <v>0</v>
      </c>
      <c r="J80" s="3"/>
    </row>
    <row r="81" spans="2:11" x14ac:dyDescent="0.25">
      <c r="B81" s="22">
        <v>43477</v>
      </c>
      <c r="C81">
        <v>20</v>
      </c>
      <c r="D81" s="3" t="s">
        <v>143</v>
      </c>
      <c r="E81" t="s">
        <v>110</v>
      </c>
      <c r="G81" t="s">
        <v>138</v>
      </c>
      <c r="H81" s="22">
        <v>43459</v>
      </c>
      <c r="I81">
        <v>20</v>
      </c>
      <c r="J81" s="3" t="s">
        <v>143</v>
      </c>
      <c r="K81" t="s">
        <v>110</v>
      </c>
    </row>
    <row r="82" spans="2:11" x14ac:dyDescent="0.25">
      <c r="B82" s="22">
        <v>43480</v>
      </c>
      <c r="C82">
        <v>20</v>
      </c>
      <c r="D82" s="3" t="s">
        <v>143</v>
      </c>
      <c r="E82" t="s">
        <v>110</v>
      </c>
      <c r="G82" t="s">
        <v>134</v>
      </c>
      <c r="H82" s="22">
        <v>43460</v>
      </c>
      <c r="I82">
        <v>0</v>
      </c>
      <c r="J82" s="3"/>
    </row>
    <row r="83" spans="2:11" x14ac:dyDescent="0.25">
      <c r="B83" s="22">
        <v>43482</v>
      </c>
      <c r="C83">
        <v>20</v>
      </c>
      <c r="D83" s="3" t="s">
        <v>143</v>
      </c>
      <c r="E83" t="s">
        <v>110</v>
      </c>
      <c r="G83" t="s">
        <v>138</v>
      </c>
      <c r="H83" s="22">
        <v>43461</v>
      </c>
      <c r="I83">
        <v>20</v>
      </c>
      <c r="J83" s="3" t="s">
        <v>143</v>
      </c>
      <c r="K83" t="s">
        <v>110</v>
      </c>
    </row>
    <row r="84" spans="2:11" x14ac:dyDescent="0.25">
      <c r="B84" s="22">
        <v>43484</v>
      </c>
      <c r="C84">
        <v>20</v>
      </c>
      <c r="D84" s="3" t="s">
        <v>143</v>
      </c>
      <c r="E84" t="s">
        <v>110</v>
      </c>
      <c r="G84" t="s">
        <v>134</v>
      </c>
      <c r="H84" s="22">
        <v>43462</v>
      </c>
      <c r="I84">
        <v>0</v>
      </c>
      <c r="J84" s="3"/>
    </row>
    <row r="85" spans="2:11" x14ac:dyDescent="0.25">
      <c r="B85" s="22">
        <v>43487</v>
      </c>
      <c r="C85">
        <v>20</v>
      </c>
      <c r="D85" s="3" t="s">
        <v>143</v>
      </c>
      <c r="E85" t="s">
        <v>110</v>
      </c>
      <c r="G85" t="s">
        <v>138</v>
      </c>
      <c r="H85" s="22">
        <v>43463</v>
      </c>
      <c r="I85">
        <v>20</v>
      </c>
      <c r="J85" s="3" t="s">
        <v>143</v>
      </c>
      <c r="K85" t="s">
        <v>110</v>
      </c>
    </row>
    <row r="86" spans="2:11" x14ac:dyDescent="0.25">
      <c r="B86" s="22">
        <v>43489</v>
      </c>
      <c r="C86">
        <v>20</v>
      </c>
      <c r="D86" s="3" t="s">
        <v>143</v>
      </c>
      <c r="E86" t="s">
        <v>110</v>
      </c>
      <c r="G86" t="s">
        <v>134</v>
      </c>
      <c r="H86" s="22">
        <v>43464</v>
      </c>
      <c r="I86">
        <v>0</v>
      </c>
      <c r="J86" s="3"/>
    </row>
    <row r="87" spans="2:11" x14ac:dyDescent="0.25">
      <c r="B87" s="22">
        <v>43490</v>
      </c>
      <c r="C87">
        <v>20</v>
      </c>
      <c r="D87" s="3" t="s">
        <v>143</v>
      </c>
      <c r="E87" t="s">
        <v>110</v>
      </c>
      <c r="G87" t="s">
        <v>138</v>
      </c>
      <c r="H87" s="22">
        <v>43465</v>
      </c>
      <c r="I87">
        <v>20</v>
      </c>
      <c r="J87" s="3" t="s">
        <v>143</v>
      </c>
      <c r="K87" t="s">
        <v>110</v>
      </c>
    </row>
    <row r="88" spans="2:11" x14ac:dyDescent="0.25">
      <c r="B88" s="22">
        <v>43494</v>
      </c>
      <c r="C88">
        <v>20</v>
      </c>
      <c r="D88" s="3" t="s">
        <v>143</v>
      </c>
      <c r="E88" t="s">
        <v>110</v>
      </c>
      <c r="G88" t="s">
        <v>134</v>
      </c>
      <c r="H88" s="22">
        <v>43466</v>
      </c>
      <c r="I88">
        <v>0</v>
      </c>
      <c r="J88" s="3"/>
    </row>
    <row r="89" spans="2:11" x14ac:dyDescent="0.25">
      <c r="B89" s="22">
        <v>43496</v>
      </c>
      <c r="C89">
        <v>20</v>
      </c>
      <c r="D89" s="3" t="s">
        <v>143</v>
      </c>
      <c r="E89" t="s">
        <v>110</v>
      </c>
      <c r="G89" t="s">
        <v>138</v>
      </c>
      <c r="H89" s="22">
        <v>43467</v>
      </c>
      <c r="I89">
        <v>20</v>
      </c>
      <c r="J89" s="3" t="s">
        <v>142</v>
      </c>
    </row>
    <row r="90" spans="2:11" ht="30" x14ac:dyDescent="0.25">
      <c r="B90" s="22">
        <v>43498</v>
      </c>
      <c r="C90">
        <v>0</v>
      </c>
      <c r="D90" s="3" t="s">
        <v>142</v>
      </c>
      <c r="E90" s="1" t="s">
        <v>179</v>
      </c>
      <c r="G90" t="s">
        <v>134</v>
      </c>
      <c r="H90" s="22">
        <v>43468</v>
      </c>
      <c r="I90">
        <v>0</v>
      </c>
      <c r="J90" s="3"/>
    </row>
    <row r="91" spans="2:11" x14ac:dyDescent="0.25">
      <c r="B91" s="22">
        <v>43501</v>
      </c>
      <c r="C91">
        <v>20</v>
      </c>
      <c r="D91" s="3" t="s">
        <v>143</v>
      </c>
      <c r="E91" t="s">
        <v>110</v>
      </c>
      <c r="G91" t="s">
        <v>138</v>
      </c>
      <c r="H91" s="22">
        <v>43469</v>
      </c>
      <c r="I91">
        <v>20</v>
      </c>
      <c r="J91" s="3" t="s">
        <v>142</v>
      </c>
    </row>
    <row r="92" spans="2:11" x14ac:dyDescent="0.25">
      <c r="B92" s="22">
        <v>43503</v>
      </c>
      <c r="C92">
        <v>20</v>
      </c>
      <c r="D92" s="3" t="s">
        <v>143</v>
      </c>
      <c r="G92" t="s">
        <v>134</v>
      </c>
      <c r="H92" s="22">
        <v>43470</v>
      </c>
      <c r="I92">
        <v>0</v>
      </c>
      <c r="J92" s="3"/>
    </row>
    <row r="93" spans="2:11" x14ac:dyDescent="0.25">
      <c r="B93" s="22">
        <v>43505</v>
      </c>
      <c r="C93">
        <v>20</v>
      </c>
      <c r="D93" s="3" t="s">
        <v>143</v>
      </c>
      <c r="G93" t="s">
        <v>138</v>
      </c>
      <c r="H93" s="22">
        <v>43471</v>
      </c>
      <c r="I93">
        <v>20</v>
      </c>
      <c r="J93" s="3" t="s">
        <v>142</v>
      </c>
    </row>
    <row r="94" spans="2:11" ht="32.25" customHeight="1" x14ac:dyDescent="0.25">
      <c r="B94" s="22">
        <v>43508</v>
      </c>
      <c r="C94">
        <v>20</v>
      </c>
      <c r="D94" s="3" t="s">
        <v>143</v>
      </c>
      <c r="E94" s="1" t="s">
        <v>180</v>
      </c>
      <c r="G94" t="s">
        <v>134</v>
      </c>
      <c r="H94" s="22">
        <v>43472</v>
      </c>
      <c r="I94">
        <v>0</v>
      </c>
      <c r="J94" s="3"/>
    </row>
  </sheetData>
  <conditionalFormatting sqref="J68:J94 D68:D94">
    <cfRule type="cellIs" dxfId="2" priority="1" operator="equal">
      <formula>"WIP"</formula>
    </cfRule>
    <cfRule type="cellIs" dxfId="1" priority="2" operator="equal">
      <formula>"Done"</formula>
    </cfRule>
    <cfRule type="cellIs" dxfId="0" priority="3" operator="equal">
      <formula>"Pending"</formula>
    </cfRule>
  </conditionalFormatting>
  <pageMargins left="0.7" right="0.7" top="0.75" bottom="0.75" header="0.3" footer="0.3"/>
  <pageSetup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E8015-2787-4EF5-A71B-5BAAFFA417AB}">
  <dimension ref="C2:H22"/>
  <sheetViews>
    <sheetView topLeftCell="B1" workbookViewId="0">
      <selection activeCell="F9" sqref="F9"/>
    </sheetView>
  </sheetViews>
  <sheetFormatPr defaultRowHeight="15" x14ac:dyDescent="0.25"/>
  <cols>
    <col min="3" max="3" width="24.7109375" customWidth="1"/>
    <col min="4" max="4" width="28.42578125" customWidth="1"/>
    <col min="5" max="5" width="14.85546875" customWidth="1"/>
    <col min="6" max="6" width="15.5703125" customWidth="1"/>
    <col min="7" max="7" width="15.140625" customWidth="1"/>
    <col min="8" max="8" width="18.42578125" bestFit="1" customWidth="1"/>
  </cols>
  <sheetData>
    <row r="2" spans="3:8" x14ac:dyDescent="0.25">
      <c r="C2" s="28" t="s">
        <v>50</v>
      </c>
      <c r="D2" s="28"/>
      <c r="E2">
        <f xml:space="preserve"> 6300 * 12</f>
        <v>75600</v>
      </c>
    </row>
    <row r="3" spans="3:8" x14ac:dyDescent="0.25">
      <c r="C3" s="28" t="s">
        <v>51</v>
      </c>
      <c r="D3" s="28"/>
      <c r="E3" s="4">
        <f xml:space="preserve"> (E2 - '2018 Spendings'!F3) / 12</f>
        <v>1873.8666666666668</v>
      </c>
      <c r="F3" s="4"/>
    </row>
    <row r="4" spans="3:8" x14ac:dyDescent="0.25">
      <c r="C4" s="28" t="s">
        <v>62</v>
      </c>
      <c r="D4" s="28"/>
      <c r="E4">
        <v>5000</v>
      </c>
    </row>
    <row r="5" spans="3:8" x14ac:dyDescent="0.25">
      <c r="C5" s="28" t="s">
        <v>61</v>
      </c>
      <c r="D5" s="28"/>
      <c r="E5" s="8">
        <v>0</v>
      </c>
      <c r="F5" t="s">
        <v>63</v>
      </c>
    </row>
    <row r="6" spans="3:8" x14ac:dyDescent="0.25">
      <c r="C6" s="28" t="s">
        <v>68</v>
      </c>
      <c r="D6" s="28"/>
      <c r="E6" s="10">
        <v>15000</v>
      </c>
      <c r="F6" s="10" t="s">
        <v>83</v>
      </c>
    </row>
    <row r="8" spans="3:8" ht="45" x14ac:dyDescent="0.25">
      <c r="D8" s="2" t="s">
        <v>45</v>
      </c>
      <c r="E8" s="3" t="s">
        <v>65</v>
      </c>
      <c r="F8" s="2" t="s">
        <v>64</v>
      </c>
      <c r="G8" s="3" t="s">
        <v>66</v>
      </c>
      <c r="H8" s="3" t="s">
        <v>67</v>
      </c>
    </row>
    <row r="9" spans="3:8" x14ac:dyDescent="0.25">
      <c r="D9" s="6">
        <v>43647</v>
      </c>
      <c r="E9" s="4">
        <f>E$3</f>
        <v>1873.8666666666668</v>
      </c>
      <c r="F9" s="4">
        <v>15000</v>
      </c>
      <c r="G9">
        <f xml:space="preserve"> IF(ISBLANK(Table2519[[#This Row],[Bank amount]]), G8, Table2519[[#This Row],[Bank amount]] - E$6)</f>
        <v>0</v>
      </c>
      <c r="H9">
        <v>0</v>
      </c>
    </row>
    <row r="10" spans="3:8" x14ac:dyDescent="0.25">
      <c r="D10" s="6">
        <v>43678</v>
      </c>
      <c r="E10" s="4">
        <f xml:space="preserve"> E9 + E$3</f>
        <v>3747.7333333333336</v>
      </c>
      <c r="F10" s="4"/>
      <c r="G10">
        <f xml:space="preserve"> IF(ISBLANK(Table2519[[#This Row],[Bank amount]]), G9, Table2519[[#This Row],[Bank amount]] - E$6)</f>
        <v>0</v>
      </c>
      <c r="H10">
        <f>Table2519[[#This Row],[Actual  
2018 saving
(Aggregated)]] - G9</f>
        <v>0</v>
      </c>
    </row>
    <row r="11" spans="3:8" x14ac:dyDescent="0.25">
      <c r="D11" s="6">
        <v>43709</v>
      </c>
      <c r="E11" s="4">
        <f t="shared" ref="E11:E20" si="0" xml:space="preserve"> E10 + E$3</f>
        <v>5621.6</v>
      </c>
      <c r="F11" s="4"/>
      <c r="G11">
        <f xml:space="preserve"> IF(ISBLANK(Table2519[[#This Row],[Bank amount]]), G10, Table2519[[#This Row],[Bank amount]] - E$6)</f>
        <v>0</v>
      </c>
      <c r="H11">
        <f>Table2519[[#This Row],[Actual  
2018 saving
(Aggregated)]] - G10</f>
        <v>0</v>
      </c>
    </row>
    <row r="12" spans="3:8" x14ac:dyDescent="0.25">
      <c r="D12" s="6">
        <v>43739</v>
      </c>
      <c r="E12" s="4">
        <f t="shared" si="0"/>
        <v>7495.4666666666672</v>
      </c>
      <c r="F12" s="4"/>
      <c r="G12">
        <f xml:space="preserve"> IF(ISBLANK(Table2519[[#This Row],[Bank amount]]), G11, Table2519[[#This Row],[Bank amount]] - E$6)</f>
        <v>0</v>
      </c>
      <c r="H12">
        <f>Table2519[[#This Row],[Actual  
2018 saving
(Aggregated)]] - G11</f>
        <v>0</v>
      </c>
    </row>
    <row r="13" spans="3:8" x14ac:dyDescent="0.25">
      <c r="D13" s="6">
        <v>43770</v>
      </c>
      <c r="E13" s="4">
        <f t="shared" si="0"/>
        <v>9369.3333333333339</v>
      </c>
      <c r="F13" s="4"/>
      <c r="G13">
        <f xml:space="preserve"> IF(ISBLANK(Table2519[[#This Row],[Bank amount]]), G12, Table2519[[#This Row],[Bank amount]] - E$6)</f>
        <v>0</v>
      </c>
      <c r="H13">
        <f>Table2519[[#This Row],[Actual  
2018 saving
(Aggregated)]] - G12</f>
        <v>0</v>
      </c>
    </row>
    <row r="14" spans="3:8" x14ac:dyDescent="0.25">
      <c r="D14" s="6">
        <v>43800</v>
      </c>
      <c r="E14" s="4">
        <f t="shared" si="0"/>
        <v>11243.2</v>
      </c>
      <c r="F14" s="4"/>
      <c r="G14">
        <f xml:space="preserve"> IF(ISBLANK(Table2519[[#This Row],[Bank amount]]), G13, Table2519[[#This Row],[Bank amount]] - E$6)</f>
        <v>0</v>
      </c>
      <c r="H14">
        <f>Table2519[[#This Row],[Actual  
2018 saving
(Aggregated)]] - G13</f>
        <v>0</v>
      </c>
    </row>
    <row r="15" spans="3:8" x14ac:dyDescent="0.25">
      <c r="D15" s="6">
        <v>43831</v>
      </c>
      <c r="E15" s="4">
        <f t="shared" si="0"/>
        <v>13117.066666666668</v>
      </c>
      <c r="F15" s="4"/>
      <c r="G15">
        <f xml:space="preserve"> IF(ISBLANK(Table2519[[#This Row],[Bank amount]]), G14, Table2519[[#This Row],[Bank amount]] - E$6)</f>
        <v>0</v>
      </c>
      <c r="H15">
        <f>Table2519[[#This Row],[Actual  
2018 saving
(Aggregated)]] - G14</f>
        <v>0</v>
      </c>
    </row>
    <row r="16" spans="3:8" x14ac:dyDescent="0.25">
      <c r="D16" s="6">
        <v>43862</v>
      </c>
      <c r="E16" s="4">
        <f t="shared" si="0"/>
        <v>14990.933333333334</v>
      </c>
      <c r="F16" s="4"/>
      <c r="G16">
        <f xml:space="preserve"> IF(ISBLANK(Table2519[[#This Row],[Bank amount]]), G15, Table2519[[#This Row],[Bank amount]] - E$6)</f>
        <v>0</v>
      </c>
      <c r="H16">
        <f>Table2519[[#This Row],[Actual  
2018 saving
(Aggregated)]] - G15</f>
        <v>0</v>
      </c>
    </row>
    <row r="17" spans="4:8" x14ac:dyDescent="0.25">
      <c r="D17" s="6">
        <v>43891</v>
      </c>
      <c r="E17" s="4">
        <f t="shared" si="0"/>
        <v>16864.800000000003</v>
      </c>
      <c r="F17" s="4"/>
      <c r="G17">
        <f xml:space="preserve"> IF(ISBLANK(Table2519[[#This Row],[Bank amount]]), G16, Table2519[[#This Row],[Bank amount]] - E$6)</f>
        <v>0</v>
      </c>
      <c r="H17">
        <f>Table2519[[#This Row],[Actual  
2018 saving
(Aggregated)]] - G16</f>
        <v>0</v>
      </c>
    </row>
    <row r="18" spans="4:8" x14ac:dyDescent="0.25">
      <c r="D18" s="6">
        <v>43922</v>
      </c>
      <c r="E18" s="4">
        <f t="shared" si="0"/>
        <v>18738.666666666672</v>
      </c>
      <c r="F18" s="4"/>
      <c r="G18">
        <f xml:space="preserve"> IF(ISBLANK(Table2519[[#This Row],[Bank amount]]), G17, Table2519[[#This Row],[Bank amount]] - E$6)</f>
        <v>0</v>
      </c>
      <c r="H18">
        <f>Table2519[[#This Row],[Actual  
2018 saving
(Aggregated)]] - G17</f>
        <v>0</v>
      </c>
    </row>
    <row r="19" spans="4:8" x14ac:dyDescent="0.25">
      <c r="D19" s="6">
        <v>43952</v>
      </c>
      <c r="E19" s="4">
        <f t="shared" si="0"/>
        <v>20612.53333333334</v>
      </c>
      <c r="F19" s="4"/>
      <c r="G19">
        <f xml:space="preserve"> IF(ISBLANK(Table2519[[#This Row],[Bank amount]]), G18, Table2519[[#This Row],[Bank amount]] - E$6)</f>
        <v>0</v>
      </c>
      <c r="H19" s="10">
        <f>Table2519[[#This Row],[Actual  
2018 saving
(Aggregated)]] - G18</f>
        <v>0</v>
      </c>
    </row>
    <row r="20" spans="4:8" x14ac:dyDescent="0.25">
      <c r="D20" s="6">
        <v>43983</v>
      </c>
      <c r="E20" s="4">
        <f t="shared" si="0"/>
        <v>22486.400000000009</v>
      </c>
      <c r="F20" s="4"/>
      <c r="G20">
        <f xml:space="preserve"> IF(ISBLANK(Table2519[[#This Row],[Bank amount]]), G19, Table2519[[#This Row],[Bank amount]] - E$6)</f>
        <v>0</v>
      </c>
      <c r="H20" s="10">
        <f>Table2519[[#This Row],[Actual  
2018 saving
(Aggregated)]] - G19</f>
        <v>0</v>
      </c>
    </row>
    <row r="21" spans="4:8" x14ac:dyDescent="0.25">
      <c r="E21" s="4"/>
      <c r="F21" s="4"/>
    </row>
    <row r="22" spans="4:8" x14ac:dyDescent="0.25">
      <c r="D22" s="27" t="s">
        <v>47</v>
      </c>
      <c r="E22" s="4">
        <f>E20 + $E$5</f>
        <v>22486.400000000009</v>
      </c>
      <c r="F22" s="4">
        <f>F20 + $E$5</f>
        <v>0</v>
      </c>
      <c r="G22" s="9">
        <f>G20 + $E$5</f>
        <v>0</v>
      </c>
    </row>
  </sheetData>
  <mergeCells count="5">
    <mergeCell ref="C2:D2"/>
    <mergeCell ref="C3:D3"/>
    <mergeCell ref="C4:D4"/>
    <mergeCell ref="C5:D5"/>
    <mergeCell ref="C6:D6"/>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C3:W15"/>
  <sheetViews>
    <sheetView tabSelected="1" topLeftCell="N4" zoomScale="85" zoomScaleNormal="85" workbookViewId="0">
      <selection activeCell="Z13" sqref="Z13"/>
    </sheetView>
  </sheetViews>
  <sheetFormatPr defaultRowHeight="15" x14ac:dyDescent="0.25"/>
  <cols>
    <col min="4" max="4" width="19.140625" customWidth="1"/>
    <col min="5" max="6" width="10.28515625" customWidth="1"/>
    <col min="7" max="7" width="14.5703125" bestFit="1" customWidth="1"/>
    <col min="8" max="9" width="10.28515625" customWidth="1"/>
    <col min="10" max="10" width="15.28515625" customWidth="1"/>
    <col min="11" max="11" width="14.7109375" customWidth="1"/>
    <col min="12" max="12" width="10.28515625" customWidth="1"/>
    <col min="13" max="13" width="18.5703125" bestFit="1" customWidth="1"/>
    <col min="14" max="14" width="22.5703125" customWidth="1"/>
    <col min="16" max="16" width="16.85546875" customWidth="1"/>
    <col min="17" max="17" width="22.5703125" customWidth="1"/>
    <col min="19" max="19" width="26.5703125" customWidth="1"/>
    <col min="20" max="20" width="18.28515625" customWidth="1"/>
    <col min="21" max="21" width="17.7109375" bestFit="1" customWidth="1"/>
    <col min="22" max="22" width="17.42578125" customWidth="1"/>
    <col min="23" max="23" width="15.42578125" customWidth="1"/>
  </cols>
  <sheetData>
    <row r="3" spans="3:23" ht="92.25" customHeight="1" x14ac:dyDescent="0.25">
      <c r="D3" s="17"/>
      <c r="E3" s="18"/>
      <c r="S3" s="30" t="s">
        <v>92</v>
      </c>
      <c r="T3" s="30"/>
      <c r="U3" s="30"/>
    </row>
    <row r="6" spans="3:23" ht="51" customHeight="1" x14ac:dyDescent="0.25">
      <c r="D6" t="s">
        <v>72</v>
      </c>
      <c r="E6" t="s">
        <v>70</v>
      </c>
      <c r="G6" t="s">
        <v>72</v>
      </c>
      <c r="H6" t="s">
        <v>75</v>
      </c>
      <c r="J6" t="s">
        <v>72</v>
      </c>
      <c r="K6" t="s">
        <v>76</v>
      </c>
      <c r="M6" t="s">
        <v>72</v>
      </c>
      <c r="N6" t="s">
        <v>78</v>
      </c>
      <c r="P6" t="s">
        <v>72</v>
      </c>
      <c r="Q6" t="s">
        <v>85</v>
      </c>
      <c r="S6" s="2" t="s">
        <v>69</v>
      </c>
      <c r="T6" s="3" t="s">
        <v>74</v>
      </c>
      <c r="U6" s="3" t="s">
        <v>90</v>
      </c>
      <c r="V6" s="3" t="s">
        <v>91</v>
      </c>
      <c r="W6" s="3" t="s">
        <v>196</v>
      </c>
    </row>
    <row r="7" spans="3:23" x14ac:dyDescent="0.25">
      <c r="D7">
        <v>2017</v>
      </c>
      <c r="E7">
        <v>38000</v>
      </c>
      <c r="G7">
        <v>2017</v>
      </c>
      <c r="H7" s="10">
        <v>5000</v>
      </c>
      <c r="J7">
        <v>2017</v>
      </c>
      <c r="K7" s="10">
        <v>0</v>
      </c>
      <c r="M7">
        <v>2017</v>
      </c>
      <c r="N7" s="10" t="s">
        <v>79</v>
      </c>
      <c r="P7">
        <v>2017</v>
      </c>
      <c r="Q7" s="10">
        <v>1220</v>
      </c>
      <c r="S7" t="s">
        <v>71</v>
      </c>
      <c r="T7">
        <f>H8</f>
        <v>4500</v>
      </c>
      <c r="U7">
        <f>H9</f>
        <v>18000</v>
      </c>
      <c r="V7">
        <f>H10</f>
        <v>43000</v>
      </c>
      <c r="W7">
        <f>H11</f>
        <v>75000</v>
      </c>
    </row>
    <row r="8" spans="3:23" x14ac:dyDescent="0.25">
      <c r="D8">
        <v>2018</v>
      </c>
      <c r="E8" s="10">
        <v>40000</v>
      </c>
      <c r="G8">
        <v>2018</v>
      </c>
      <c r="H8" s="10">
        <v>4500</v>
      </c>
      <c r="J8">
        <v>2018</v>
      </c>
      <c r="K8" s="10">
        <v>15000</v>
      </c>
      <c r="M8">
        <v>2018</v>
      </c>
      <c r="N8" s="10">
        <v>20000</v>
      </c>
      <c r="P8">
        <v>2018</v>
      </c>
      <c r="Q8" s="10">
        <v>2440</v>
      </c>
      <c r="S8" t="s">
        <v>70</v>
      </c>
      <c r="T8">
        <f>E8</f>
        <v>40000</v>
      </c>
      <c r="U8">
        <f>E9</f>
        <v>42000</v>
      </c>
      <c r="V8">
        <f>E10</f>
        <v>44000</v>
      </c>
      <c r="W8">
        <f>E11</f>
        <v>46000</v>
      </c>
    </row>
    <row r="9" spans="3:23" x14ac:dyDescent="0.25">
      <c r="C9" s="29" t="s">
        <v>82</v>
      </c>
      <c r="D9">
        <v>2019</v>
      </c>
      <c r="E9">
        <v>42000</v>
      </c>
      <c r="G9">
        <v>2019</v>
      </c>
      <c r="H9" s="10">
        <f xml:space="preserve"> 25000 - 7000</f>
        <v>18000</v>
      </c>
      <c r="J9">
        <v>2019</v>
      </c>
      <c r="K9" s="10">
        <f>K8+14000</f>
        <v>29000</v>
      </c>
      <c r="M9">
        <v>2019</v>
      </c>
      <c r="N9" s="10">
        <v>21000</v>
      </c>
      <c r="P9">
        <v>2019</v>
      </c>
      <c r="Q9" s="10">
        <v>3660</v>
      </c>
      <c r="S9" t="s">
        <v>77</v>
      </c>
      <c r="T9">
        <f>K8</f>
        <v>15000</v>
      </c>
      <c r="U9">
        <f>K9</f>
        <v>29000</v>
      </c>
      <c r="V9">
        <f>K10</f>
        <v>34000</v>
      </c>
      <c r="W9">
        <f>K11</f>
        <v>39000</v>
      </c>
    </row>
    <row r="10" spans="3:23" x14ac:dyDescent="0.25">
      <c r="C10" s="29"/>
      <c r="D10">
        <v>2020</v>
      </c>
      <c r="E10" s="10">
        <v>44000</v>
      </c>
      <c r="G10">
        <v>2020</v>
      </c>
      <c r="H10" s="10">
        <f xml:space="preserve"> H9 + 25000</f>
        <v>43000</v>
      </c>
      <c r="J10">
        <v>2020</v>
      </c>
      <c r="K10" s="10">
        <f>K9+5000</f>
        <v>34000</v>
      </c>
      <c r="M10">
        <v>2020</v>
      </c>
      <c r="N10" s="10">
        <v>22000</v>
      </c>
      <c r="P10">
        <v>2020</v>
      </c>
      <c r="Q10" s="10">
        <v>4880</v>
      </c>
      <c r="S10" t="s">
        <v>80</v>
      </c>
      <c r="T10">
        <f>N8</f>
        <v>20000</v>
      </c>
      <c r="U10">
        <f>N9</f>
        <v>21000</v>
      </c>
      <c r="V10">
        <f>N10</f>
        <v>22000</v>
      </c>
      <c r="W10">
        <f>N11</f>
        <v>23000</v>
      </c>
    </row>
    <row r="11" spans="3:23" x14ac:dyDescent="0.25">
      <c r="C11" s="29"/>
      <c r="D11">
        <v>2021</v>
      </c>
      <c r="E11" s="10">
        <v>46000</v>
      </c>
      <c r="G11">
        <v>2021</v>
      </c>
      <c r="H11" s="10">
        <f xml:space="preserve"> H10 + 25000 + 7000</f>
        <v>75000</v>
      </c>
      <c r="J11">
        <v>2021</v>
      </c>
      <c r="K11" s="10">
        <f t="shared" ref="K11:K14" si="0">K10+5000</f>
        <v>39000</v>
      </c>
      <c r="M11">
        <v>2021</v>
      </c>
      <c r="N11" s="10">
        <v>23000</v>
      </c>
      <c r="P11">
        <v>2021</v>
      </c>
      <c r="Q11" s="10">
        <v>6100</v>
      </c>
      <c r="S11" t="s">
        <v>86</v>
      </c>
      <c r="T11">
        <f>Q8</f>
        <v>2440</v>
      </c>
      <c r="U11" s="19">
        <f>Q9</f>
        <v>3660</v>
      </c>
      <c r="V11">
        <f>Q10</f>
        <v>4880</v>
      </c>
      <c r="W11">
        <f>Q11</f>
        <v>6100</v>
      </c>
    </row>
    <row r="12" spans="3:23" ht="105" x14ac:dyDescent="0.25">
      <c r="C12" s="29"/>
      <c r="D12">
        <v>2022</v>
      </c>
      <c r="E12">
        <v>48000</v>
      </c>
      <c r="G12">
        <v>2022</v>
      </c>
      <c r="H12" s="10">
        <f xml:space="preserve"> H11 + 25000</f>
        <v>100000</v>
      </c>
      <c r="J12">
        <v>2022</v>
      </c>
      <c r="K12" s="10">
        <f t="shared" si="0"/>
        <v>44000</v>
      </c>
      <c r="M12">
        <v>2022</v>
      </c>
      <c r="N12" s="10">
        <v>24000</v>
      </c>
      <c r="P12">
        <v>2022</v>
      </c>
      <c r="Q12" s="10">
        <v>7320</v>
      </c>
      <c r="S12" s="1" t="s">
        <v>198</v>
      </c>
      <c r="U12" s="26" t="s">
        <v>200</v>
      </c>
      <c r="V12" s="26" t="s">
        <v>200</v>
      </c>
      <c r="W12" s="1" t="s">
        <v>201</v>
      </c>
    </row>
    <row r="13" spans="3:23" x14ac:dyDescent="0.25">
      <c r="C13" s="29"/>
      <c r="D13">
        <v>2023</v>
      </c>
      <c r="E13" s="10">
        <v>50000</v>
      </c>
      <c r="G13">
        <v>2023</v>
      </c>
      <c r="H13" s="10">
        <f xml:space="preserve"> H12 + 25000</f>
        <v>125000</v>
      </c>
      <c r="J13">
        <v>2023</v>
      </c>
      <c r="K13" s="10">
        <f t="shared" si="0"/>
        <v>49000</v>
      </c>
      <c r="M13">
        <v>2023</v>
      </c>
      <c r="N13" s="10">
        <v>25000</v>
      </c>
      <c r="P13">
        <v>2023</v>
      </c>
      <c r="Q13" s="10">
        <v>8540</v>
      </c>
      <c r="U13" s="19"/>
    </row>
    <row r="14" spans="3:23" x14ac:dyDescent="0.25">
      <c r="C14" s="29"/>
      <c r="D14">
        <v>2024</v>
      </c>
      <c r="E14" s="10">
        <v>52000</v>
      </c>
      <c r="G14">
        <v>2024</v>
      </c>
      <c r="H14" s="10">
        <f xml:space="preserve"> H13 + 25000</f>
        <v>150000</v>
      </c>
      <c r="J14">
        <v>2024</v>
      </c>
      <c r="K14" s="10">
        <f t="shared" si="0"/>
        <v>54000</v>
      </c>
      <c r="M14">
        <v>2024</v>
      </c>
      <c r="N14" s="10">
        <v>26000</v>
      </c>
      <c r="P14">
        <v>2024</v>
      </c>
      <c r="Q14" s="10">
        <v>9760</v>
      </c>
      <c r="S14" s="15" t="s">
        <v>81</v>
      </c>
      <c r="T14" s="16">
        <f>SUM(T7:T10)</f>
        <v>79500</v>
      </c>
      <c r="U14" s="16">
        <f>SUM(U7:U10)</f>
        <v>110000</v>
      </c>
      <c r="V14" s="16">
        <f>SUM(V7:V10)</f>
        <v>143000</v>
      </c>
      <c r="W14" s="16">
        <f>SUM(W7:W10)</f>
        <v>183000</v>
      </c>
    </row>
    <row r="15" spans="3:23" x14ac:dyDescent="0.25">
      <c r="S15" s="27" t="s">
        <v>203</v>
      </c>
      <c r="T15">
        <f>SUM(T7,T8,T10)</f>
        <v>64500</v>
      </c>
      <c r="U15">
        <f>SUM(U7,U8,U10)</f>
        <v>81000</v>
      </c>
      <c r="V15">
        <f t="shared" ref="V15:W15" si="1">SUM(V7,V8,V10)</f>
        <v>109000</v>
      </c>
      <c r="W15">
        <f t="shared" si="1"/>
        <v>144000</v>
      </c>
    </row>
  </sheetData>
  <mergeCells count="2">
    <mergeCell ref="C9:C14"/>
    <mergeCell ref="S3:U3"/>
  </mergeCells>
  <pageMargins left="0.7" right="0.7" top="0.75" bottom="0.75" header="0.3" footer="0.3"/>
  <pageSetup orientation="portrait"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2017 Spendings</vt:lpstr>
      <vt:lpstr>2017 Savings</vt:lpstr>
      <vt:lpstr>2018 Spendings</vt:lpstr>
      <vt:lpstr>2018 Savings</vt:lpstr>
      <vt:lpstr>2019 Spendings</vt:lpstr>
      <vt:lpstr>2019 Savings</vt:lpstr>
      <vt:lpstr>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Zairi, Sofien</dc:creator>
  <cp:lastModifiedBy>Zairi, Sofien</cp:lastModifiedBy>
  <dcterms:created xsi:type="dcterms:W3CDTF">2017-10-15T10:30:29Z</dcterms:created>
  <dcterms:modified xsi:type="dcterms:W3CDTF">2019-07-01T13:54:57Z</dcterms:modified>
</cp:coreProperties>
</file>