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ivate\Projekty\ReefDoser\"/>
    </mc:Choice>
  </mc:AlternateContent>
  <bookViews>
    <workbookView xWindow="0" yWindow="0" windowWidth="25200" windowHeight="12135"/>
  </bookViews>
  <sheets>
    <sheet name="Sheet1" sheetId="1" r:id="rId1"/>
    <sheet name="Sheet2" sheetId="2" r:id="rId2"/>
  </sheets>
  <definedNames>
    <definedName name="curr_time">Sheet2!$I$2</definedName>
    <definedName name="DAILY_DOSES_END_HOUR">Sheet2!$O$2</definedName>
    <definedName name="DAILY_DOSES_MIN_DELAY">Sheet2!$P$2</definedName>
    <definedName name="DAILY_DOSES_START_HOUR">Sheet2!$N$2</definedName>
    <definedName name="dose_del_a">Sheet2!$L$2</definedName>
    <definedName name="dose_del_b">Sheet2!$L$3</definedName>
    <definedName name="dose_del_c">Sheet2!$L$4</definedName>
    <definedName name="Pump_delay">Sheet2!$R$2</definedName>
    <definedName name="pump_delay_a">Sheet2!$R$2</definedName>
    <definedName name="pump_delay_b">Sheet2!$S$2</definedName>
    <definedName name="pump_delay_c">Sheet2!$T$2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7" i="1"/>
  <c r="E8" i="1"/>
  <c r="G9" i="2" l="1"/>
  <c r="H9" i="2"/>
  <c r="K2" i="2"/>
  <c r="K4" i="2" l="1"/>
  <c r="K3" i="2"/>
  <c r="L3" i="2" s="1"/>
  <c r="J2" i="1"/>
  <c r="J6" i="1"/>
  <c r="C28" i="1"/>
  <c r="D30" i="1" s="1"/>
  <c r="F17" i="1"/>
  <c r="D28" i="1"/>
  <c r="F7" i="1"/>
  <c r="E3" i="2" l="1"/>
  <c r="L2" i="2"/>
  <c r="L4" i="2"/>
  <c r="C30" i="1"/>
  <c r="H17" i="1"/>
  <c r="H16" i="1"/>
  <c r="H15" i="1"/>
  <c r="D7" i="1"/>
  <c r="J3" i="1"/>
  <c r="K2" i="1"/>
  <c r="L2" i="1" s="1"/>
  <c r="F16" i="1"/>
  <c r="F15" i="1"/>
  <c r="F9" i="1"/>
  <c r="D9" i="1"/>
  <c r="E9" i="1" s="1"/>
  <c r="C8" i="1"/>
  <c r="C9" i="1"/>
  <c r="C7" i="1"/>
  <c r="B8" i="1"/>
  <c r="B9" i="1"/>
  <c r="B7" i="1"/>
  <c r="C2" i="1"/>
  <c r="F3" i="2" l="1"/>
  <c r="G3" i="2" s="1"/>
  <c r="J7" i="1"/>
  <c r="K6" i="1"/>
  <c r="N2" i="1"/>
  <c r="O2" i="1" s="1"/>
  <c r="Q2" i="1" s="1"/>
  <c r="R2" i="1" s="1"/>
  <c r="T2" i="1" s="1"/>
  <c r="U2" i="1" s="1"/>
  <c r="V2" i="1"/>
  <c r="H19" i="1"/>
  <c r="J4" i="1"/>
  <c r="K3" i="1"/>
  <c r="L6" i="1" s="1"/>
  <c r="B4" i="2" l="1"/>
  <c r="E4" i="2" s="1"/>
  <c r="B6" i="2" s="1"/>
  <c r="D4" i="2"/>
  <c r="C4" i="2"/>
  <c r="K7" i="1"/>
  <c r="K4" i="1"/>
  <c r="L3" i="1"/>
  <c r="M6" i="1" s="1"/>
  <c r="F4" i="2" l="1"/>
  <c r="G4" i="2" s="1"/>
  <c r="L7" i="1"/>
  <c r="L4" i="1"/>
  <c r="M4" i="1" s="1"/>
  <c r="M3" i="1"/>
  <c r="N6" i="1" s="1"/>
  <c r="C5" i="2" l="1"/>
  <c r="F5" i="2" s="1"/>
  <c r="M7" i="1"/>
  <c r="N4" i="1"/>
  <c r="N3" i="1"/>
  <c r="O6" i="1" s="1"/>
  <c r="D5" i="2" l="1"/>
  <c r="N7" i="1"/>
  <c r="O3" i="1"/>
  <c r="P6" i="1" s="1"/>
  <c r="O4" i="1"/>
  <c r="P3" i="1" l="1"/>
  <c r="Q6" i="1" s="1"/>
  <c r="O7" i="1"/>
  <c r="P4" i="1"/>
  <c r="Q3" i="1"/>
  <c r="R6" i="1" s="1"/>
  <c r="Q7" i="1" l="1"/>
  <c r="P7" i="1"/>
  <c r="Q4" i="1"/>
  <c r="R3" i="1"/>
  <c r="S6" i="1" s="1"/>
  <c r="R4" i="1" l="1"/>
  <c r="R7" i="1"/>
  <c r="S3" i="1"/>
  <c r="T6" i="1" s="1"/>
  <c r="S7" i="1" l="1"/>
  <c r="S4" i="1"/>
  <c r="T3" i="1"/>
  <c r="U6" i="1" s="1"/>
  <c r="T7" i="1" l="1"/>
  <c r="T4" i="1"/>
  <c r="U3" i="1"/>
  <c r="U7" i="1" l="1"/>
  <c r="U4" i="1"/>
  <c r="V4" i="1" s="1"/>
  <c r="V3" i="1"/>
  <c r="C6" i="2"/>
  <c r="G5" i="2"/>
  <c r="E6" i="2" s="1"/>
  <c r="B7" i="2" s="1"/>
  <c r="F6" i="2" l="1"/>
  <c r="D6" i="2"/>
  <c r="C7" i="2"/>
  <c r="G6" i="2"/>
  <c r="E7" i="2" l="1"/>
  <c r="D7" i="2"/>
  <c r="B9" i="2" l="1"/>
  <c r="B8" i="2"/>
  <c r="F7" i="2"/>
  <c r="C8" i="2" s="1"/>
  <c r="F8" i="2" s="1"/>
  <c r="C9" i="2" s="1"/>
  <c r="G7" i="2" l="1"/>
  <c r="D8" i="2" s="1"/>
  <c r="G8" i="2" s="1"/>
  <c r="E9" i="2" s="1"/>
  <c r="D9" i="2" l="1"/>
  <c r="B10" i="2"/>
  <c r="F9" i="2" l="1"/>
  <c r="C10" i="2" s="1"/>
  <c r="E10" i="2" l="1"/>
  <c r="D10" i="2" l="1"/>
  <c r="B12" i="2"/>
  <c r="B11" i="2" l="1"/>
  <c r="F10" i="2"/>
  <c r="C11" i="2" s="1"/>
  <c r="F11" i="2" s="1"/>
  <c r="C12" i="2" s="1"/>
  <c r="G10" i="2" l="1"/>
  <c r="D11" i="2" s="1"/>
  <c r="G11" i="2" s="1"/>
  <c r="E12" i="2" s="1"/>
  <c r="D12" i="2" l="1"/>
  <c r="F12" i="2"/>
  <c r="C13" i="2" s="1"/>
  <c r="B13" i="2"/>
  <c r="G12" i="2" l="1"/>
  <c r="D13" i="2" s="1"/>
  <c r="E13" i="2" l="1"/>
  <c r="B14" i="2" s="1"/>
  <c r="F13" i="2"/>
  <c r="C14" i="2" s="1"/>
  <c r="F14" i="2" s="1"/>
  <c r="G13" i="2"/>
  <c r="D14" i="2" s="1"/>
  <c r="B15" i="2"/>
  <c r="C15" i="2" l="1"/>
  <c r="G14" i="2"/>
  <c r="D15" i="2" s="1"/>
  <c r="E15" i="2" l="1"/>
  <c r="F15" i="2"/>
  <c r="G15" i="2" s="1"/>
</calcChain>
</file>

<file path=xl/sharedStrings.xml><?xml version="1.0" encoding="utf-8"?>
<sst xmlns="http://schemas.openxmlformats.org/spreadsheetml/2006/main" count="49" uniqueCount="39">
  <si>
    <t>ml</t>
  </si>
  <si>
    <t>ms</t>
  </si>
  <si>
    <t>ml per dosage</t>
  </si>
  <si>
    <t>dosages</t>
  </si>
  <si>
    <t>miniml dosage</t>
  </si>
  <si>
    <t>delay</t>
  </si>
  <si>
    <t>a</t>
  </si>
  <si>
    <t>b</t>
  </si>
  <si>
    <t>DailyDoseDelay = max(DAILY_DOSES_MIN_DELAY, ((DailyDosesNo/(DAILY_DOSES_END_HOUR - max(DAILY_DOSES_START_HOUR, CurrentTime-&gt;Hour)))))</t>
  </si>
  <si>
    <t>DAILY_DOSES_MIN_DELAY</t>
  </si>
  <si>
    <t>DAILY_DOSES_END_HOUR</t>
  </si>
  <si>
    <t>DAILY_DOSES_START_HOUR</t>
  </si>
  <si>
    <t>Last Dosing Time</t>
  </si>
  <si>
    <t>Next Dosing Time</t>
  </si>
  <si>
    <t>pump1</t>
  </si>
  <si>
    <t>pump2</t>
  </si>
  <si>
    <t>pump3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</si>
  <si>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</si>
  <si>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</si>
  <si>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</si>
  <si>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</si>
  <si>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</si>
  <si>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</si>
  <si>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</si>
  <si>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</si>
  <si>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</si>
  <si>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</si>
  <si>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</si>
  <si>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</si>
  <si>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</si>
  <si>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dose delay</t>
  </si>
  <si>
    <t>curr_time</t>
  </si>
  <si>
    <t>#14</t>
  </si>
  <si>
    <t>pump_delay_a</t>
  </si>
  <si>
    <t>pump_delay_b</t>
  </si>
  <si>
    <t>pump_delay_c</t>
  </si>
  <si>
    <t>advance day</t>
  </si>
  <si>
    <t>max(minimaldosage;(dailydose/20-7))</t>
  </si>
  <si>
    <t>dailydose/max(minimaldosage;(dailydose/20-7))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</si>
</sst>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workbookViewId="0">
      <selection activeCell="B13" sqref="B13"/>
    </sheetView>
  </sheetViews>
  <sheetFormatPr defaultRowHeight="15" x14ac:dyDescent="0.25"/>
  <cols>
    <col min="3" max="4" width="13.5703125" bestFit="1" customWidth="1"/>
  </cols>
  <sheetData>
    <row r="1" spans="1:22" x14ac:dyDescent="0.25">
      <c r="A1" t="s">
        <v>0</v>
      </c>
      <c r="B1" t="s">
        <v>1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</row>
    <row r="2" spans="1:22" x14ac:dyDescent="0.25">
      <c r="A2">
        <v>1</v>
      </c>
      <c r="B2">
        <v>1000</v>
      </c>
      <c r="C2">
        <f>B2*A2</f>
        <v>1000</v>
      </c>
      <c r="I2" s="1">
        <v>0.29166666666666669</v>
      </c>
      <c r="J2" s="1">
        <f>TIME(HOUR(H2)+ROUND($F7/1,0),MINUTE(H2)+ROUND(60*MOD($F7,1),0),0)</f>
        <v>6.0416666666666667E-2</v>
      </c>
      <c r="K2" s="1">
        <f>TIME(HOUR(I2)+ROUND($F7/1,0),MINUTE(I2)+ROUND(60*MOD($F7,1),0),0)</f>
        <v>0.3520833333333333</v>
      </c>
      <c r="L2" s="1">
        <f>TIME(HOUR(K2)+ROUND($F7/1,0),MINUTE(K2)+ROUND(60*MOD($F7,1),0),0)</f>
        <v>0.41250000000000003</v>
      </c>
      <c r="N2" s="1">
        <f>TIME(HOUR(L2)+ROUND($F7/1,0),MINUTE(L2)+ROUND(60*MOD($F7,1),0),0)</f>
        <v>0.47291666666666665</v>
      </c>
      <c r="O2" s="1">
        <f>TIME(HOUR(N2)+ROUND($F7/1,0),MINUTE(N2)+ROUND(60*MOD($F7,1),0),0)</f>
        <v>0.53333333333333333</v>
      </c>
      <c r="Q2" s="1">
        <f>TIME(HOUR(O2)+ROUND($F7/1,0),MINUTE(O2)+ROUND(60*MOD($F7,1),0),0)</f>
        <v>0.59375</v>
      </c>
      <c r="R2" s="1">
        <f>TIME(HOUR(Q2)+ROUND($F7/1,0),MINUTE(Q2)+ROUND(60*MOD($F7,1),0),0)</f>
        <v>0.65416666666666667</v>
      </c>
      <c r="T2" s="1">
        <f>TIME(HOUR(R2)+ROUND($F7/1,0),MINUTE(R2)+ROUND(60*MOD($F7,1),0),0)</f>
        <v>0.71458333333333324</v>
      </c>
      <c r="U2" s="1">
        <f>TIME(HOUR(T2)+ROUND($F7/1,0),MINUTE(T2)+ROUND(60*MOD($F7,1),0),0)</f>
        <v>0.77500000000000002</v>
      </c>
      <c r="V2" s="2">
        <f>COUNT(I2:U2)</f>
        <v>10</v>
      </c>
    </row>
    <row r="3" spans="1:22" x14ac:dyDescent="0.25">
      <c r="I3" s="1">
        <v>0.29166666666666669</v>
      </c>
      <c r="J3" s="1">
        <f>TIME(HOUR(I3)+ROUND($F8/1,0),MINUTE(I3)+ROUND(60*MOD($F8,1),0)+IF((HOUR(I3)+ROUND($F8/1,0))&gt;HOUR(J2),IF(MINUTE(J2)+$E$4&lt;60,0,(MINUTE(H3)+ROUND(60*MOD($F8,1),0))+$E$4+MINUTE(J2)-60),MINUTE(J2)+$E$4),0)</f>
        <v>0.33749999999999997</v>
      </c>
      <c r="K3" s="1">
        <f>TIME(HOUR(J3)+ROUND($F8/1,0),MINUTE(J3)+ROUND(60*MOD($F8,1),0)+IF((HOUR(J3)+ROUND($F8/1,0))&gt;HOUR(K2),IF(MINUTE(K2)+$E$4&lt;60,0,(MINUTE(I3)+ROUND(60*MOD($F8,1),0))+$E$4+MINUTE(K2)-60),MINUTE(K2)+$E$4),0)</f>
        <v>0.3833333333333333</v>
      </c>
      <c r="L3" s="1">
        <f t="shared" ref="L3:U4" si="0">TIME(HOUR(K3)+ROUND($F8/1,0),MINUTE(K3)+ROUND(60*MOD($F8,1),0),0)</f>
        <v>0.4291666666666667</v>
      </c>
      <c r="M3" s="1">
        <f t="shared" si="0"/>
        <v>0.47500000000000003</v>
      </c>
      <c r="N3" s="1">
        <f t="shared" si="0"/>
        <v>0.52083333333333337</v>
      </c>
      <c r="O3" s="1">
        <f t="shared" si="0"/>
        <v>0.56666666666666665</v>
      </c>
      <c r="P3" s="1">
        <f t="shared" si="0"/>
        <v>0.61249999999999993</v>
      </c>
      <c r="Q3" s="1">
        <f t="shared" si="0"/>
        <v>0.65833333333333333</v>
      </c>
      <c r="R3" s="1">
        <f t="shared" si="0"/>
        <v>0.70416666666666661</v>
      </c>
      <c r="S3" s="1">
        <f t="shared" si="0"/>
        <v>0.75</v>
      </c>
      <c r="T3" s="1">
        <f t="shared" si="0"/>
        <v>0.79583333333333339</v>
      </c>
      <c r="U3" s="1">
        <f t="shared" si="0"/>
        <v>0.84166666666666667</v>
      </c>
      <c r="V3" s="2">
        <f t="shared" ref="V3:V4" si="1">COUNT(I3:U3)</f>
        <v>13</v>
      </c>
    </row>
    <row r="4" spans="1:22" x14ac:dyDescent="0.25">
      <c r="D4" t="s">
        <v>5</v>
      </c>
      <c r="E4">
        <v>15</v>
      </c>
      <c r="I4" s="1">
        <v>0.29166666666666669</v>
      </c>
      <c r="J4" s="1">
        <f t="shared" ref="J4:K4" si="2">TIME(HOUR(I4)+ROUND($F9/1,0),MINUTE(I4)+ROUND(60*MOD($F9,1),0)+IF((HOUR(I4)+ROUND($F9/1,0))&gt;HOUR(J3),IF(MINUTE(J3)+$E$4&lt;60,0,(MINUTE(H4)+ROUND(60*MOD($F9,1),0))+$E$4+MINUTE(J3)-60),MINUTE(J3)+$E$4),0)</f>
        <v>0.34791666666666665</v>
      </c>
      <c r="K4" s="1">
        <f t="shared" si="2"/>
        <v>0.40833333333333338</v>
      </c>
      <c r="L4" s="1">
        <f t="shared" si="0"/>
        <v>0.45</v>
      </c>
      <c r="M4" s="1">
        <f t="shared" si="0"/>
        <v>0.4916666666666667</v>
      </c>
      <c r="N4" s="1">
        <f t="shared" si="0"/>
        <v>0.53333333333333333</v>
      </c>
      <c r="O4" s="1">
        <f t="shared" si="0"/>
        <v>0.57500000000000007</v>
      </c>
      <c r="P4" s="1">
        <f t="shared" si="0"/>
        <v>0.6166666666666667</v>
      </c>
      <c r="Q4" s="1">
        <f t="shared" si="0"/>
        <v>0.65833333333333333</v>
      </c>
      <c r="R4" s="1">
        <f t="shared" si="0"/>
        <v>0.70000000000000007</v>
      </c>
      <c r="S4" s="1">
        <f t="shared" si="0"/>
        <v>0.7416666666666667</v>
      </c>
      <c r="T4" s="1">
        <f t="shared" si="0"/>
        <v>0.78333333333333333</v>
      </c>
      <c r="U4" s="1">
        <f t="shared" si="0"/>
        <v>0.82500000000000007</v>
      </c>
      <c r="V4" s="2">
        <f t="shared" si="1"/>
        <v>13</v>
      </c>
    </row>
    <row r="5" spans="1:22" x14ac:dyDescent="0.25">
      <c r="D5" t="s">
        <v>4</v>
      </c>
      <c r="E5">
        <v>2</v>
      </c>
      <c r="I5" s="1"/>
    </row>
    <row r="6" spans="1:22" x14ac:dyDescent="0.25">
      <c r="A6" t="s">
        <v>0</v>
      </c>
      <c r="B6" t="s">
        <v>3</v>
      </c>
      <c r="C6" t="s">
        <v>2</v>
      </c>
      <c r="D6" t="s">
        <v>2</v>
      </c>
      <c r="E6" t="s">
        <v>3</v>
      </c>
      <c r="J6" s="2">
        <f>IF((HOUR(I3)+ROUND($F8,0))&gt;HOUR(J2),IF(MINUTE(J2)+$E$4&lt;60,0,(MINUTE(I3)+ROUND(60*MOD($F8,1),0))+$E$4+MINUTE(J2)-60),MINUTE(J2)+$E$4)</f>
        <v>0</v>
      </c>
      <c r="K6" s="2">
        <f t="shared" ref="K6:U7" si="3">IF((HOUR(J3)+ROUND($F8,0))&gt;HOUR(K2),IF(MINUTE(K2)+$E$4&lt;60,0,(MINUTE(J3)+ROUND(60*MOD($F8,1),0))+$E$4+MINUTE(K2)-60),MINUTE(K2)+$E$4)</f>
        <v>0</v>
      </c>
      <c r="L6" s="2">
        <f t="shared" si="3"/>
        <v>27</v>
      </c>
      <c r="M6" s="2">
        <f t="shared" si="3"/>
        <v>0</v>
      </c>
      <c r="N6" s="2">
        <f t="shared" si="3"/>
        <v>0</v>
      </c>
      <c r="O6" s="2">
        <f t="shared" si="3"/>
        <v>39</v>
      </c>
      <c r="P6" s="2">
        <f t="shared" si="3"/>
        <v>0</v>
      </c>
      <c r="Q6" s="2">
        <f t="shared" si="3"/>
        <v>0</v>
      </c>
      <c r="R6" s="2">
        <f t="shared" si="3"/>
        <v>0</v>
      </c>
      <c r="S6" s="2">
        <f t="shared" si="3"/>
        <v>0</v>
      </c>
      <c r="T6" s="2">
        <f t="shared" si="3"/>
        <v>0</v>
      </c>
      <c r="U6" s="2">
        <f t="shared" si="3"/>
        <v>0</v>
      </c>
    </row>
    <row r="7" spans="1:22" x14ac:dyDescent="0.25">
      <c r="A7">
        <v>18</v>
      </c>
      <c r="B7">
        <f>20-7</f>
        <v>13</v>
      </c>
      <c r="C7">
        <f>A7/B7</f>
        <v>1.3846153846153846</v>
      </c>
      <c r="D7">
        <f>MAX($E$5,A7/B7)</f>
        <v>2</v>
      </c>
      <c r="E7">
        <f>A7/D7</f>
        <v>9</v>
      </c>
      <c r="F7">
        <f>B7/E7</f>
        <v>1.4444444444444444</v>
      </c>
      <c r="J7" s="2">
        <f>IF((HOUR(I4)+ROUND($F9,0))&gt;HOUR(J3),IF(MINUTE(J3)+$E$4&lt;60,0,(MINUTE(I4)+ROUND(60*MOD($F9,1),0))+$E$4+MINUTE(J3)-60),MINUTE(J3)+$E$4)</f>
        <v>21</v>
      </c>
      <c r="K7" s="2">
        <f t="shared" si="3"/>
        <v>27</v>
      </c>
      <c r="L7" s="2">
        <f t="shared" si="3"/>
        <v>33</v>
      </c>
      <c r="M7" s="2">
        <f t="shared" si="3"/>
        <v>39</v>
      </c>
      <c r="N7" s="2">
        <f t="shared" si="3"/>
        <v>45</v>
      </c>
      <c r="O7" s="2">
        <f t="shared" si="3"/>
        <v>51</v>
      </c>
      <c r="P7" s="2">
        <f t="shared" si="3"/>
        <v>57</v>
      </c>
      <c r="Q7" s="2">
        <f t="shared" si="3"/>
        <v>63</v>
      </c>
      <c r="R7" s="2">
        <f t="shared" si="3"/>
        <v>69</v>
      </c>
      <c r="S7" s="2">
        <f t="shared" si="3"/>
        <v>15</v>
      </c>
      <c r="T7" s="2">
        <f t="shared" si="3"/>
        <v>21</v>
      </c>
      <c r="U7" s="2">
        <f t="shared" si="3"/>
        <v>27</v>
      </c>
    </row>
    <row r="8" spans="1:22" x14ac:dyDescent="0.25">
      <c r="A8">
        <v>112</v>
      </c>
      <c r="B8">
        <f>20-7</f>
        <v>13</v>
      </c>
      <c r="C8">
        <f>A8/B8</f>
        <v>8.615384615384615</v>
      </c>
      <c r="D8">
        <f>MAX($E$5,A8/B8)</f>
        <v>8.615384615384615</v>
      </c>
      <c r="E8">
        <f>A8/D8</f>
        <v>13</v>
      </c>
      <c r="F8">
        <v>1.1000000000000001</v>
      </c>
    </row>
    <row r="9" spans="1:22" x14ac:dyDescent="0.25">
      <c r="A9">
        <v>160</v>
      </c>
      <c r="B9">
        <f>20-7</f>
        <v>13</v>
      </c>
      <c r="C9">
        <f>A9/B9</f>
        <v>12.307692307692308</v>
      </c>
      <c r="D9">
        <f>MAX($E$5,A9/B9)</f>
        <v>12.307692307692308</v>
      </c>
      <c r="E9">
        <f t="shared" ref="E7:F9" si="4">A9/D9</f>
        <v>13</v>
      </c>
      <c r="F9">
        <f t="shared" si="4"/>
        <v>1</v>
      </c>
    </row>
    <row r="13" spans="1:22" x14ac:dyDescent="0.25">
      <c r="B13" t="s">
        <v>38</v>
      </c>
      <c r="H13" t="s">
        <v>6</v>
      </c>
      <c r="I13" t="s">
        <v>7</v>
      </c>
    </row>
    <row r="14" spans="1:22" x14ac:dyDescent="0.25">
      <c r="H14">
        <v>1.6</v>
      </c>
      <c r="I14">
        <v>1</v>
      </c>
    </row>
    <row r="15" spans="1:22" x14ac:dyDescent="0.25">
      <c r="B15" t="s">
        <v>37</v>
      </c>
      <c r="F15">
        <f>ROUND(F7/1,0)</f>
        <v>1</v>
      </c>
      <c r="H15">
        <f>H14/I14</f>
        <v>1.6</v>
      </c>
    </row>
    <row r="16" spans="1:22" x14ac:dyDescent="0.25">
      <c r="F16">
        <f>ROUND(60*MOD(F7,1),0)</f>
        <v>27</v>
      </c>
      <c r="H16">
        <f>ROUNDDOWN(H14/I14,0)</f>
        <v>1</v>
      </c>
    </row>
    <row r="17" spans="3:8" x14ac:dyDescent="0.25">
      <c r="F17">
        <f>F16+60</f>
        <v>87</v>
      </c>
      <c r="H17">
        <f>60*MOD(H14,I14)</f>
        <v>36.000000000000007</v>
      </c>
    </row>
    <row r="19" spans="3:8" x14ac:dyDescent="0.25">
      <c r="H19" s="1">
        <f>TIME(H16,H17,0)</f>
        <v>6.6666666666666666E-2</v>
      </c>
    </row>
    <row r="21" spans="3:8" x14ac:dyDescent="0.25">
      <c r="C21" t="s">
        <v>11</v>
      </c>
      <c r="D21">
        <v>7</v>
      </c>
    </row>
    <row r="22" spans="3:8" x14ac:dyDescent="0.25">
      <c r="C22" t="s">
        <v>10</v>
      </c>
      <c r="D22">
        <v>20</v>
      </c>
    </row>
    <row r="23" spans="3:8" x14ac:dyDescent="0.25">
      <c r="C23" t="s">
        <v>9</v>
      </c>
      <c r="D23">
        <v>60</v>
      </c>
    </row>
    <row r="25" spans="3:8" x14ac:dyDescent="0.25">
      <c r="C25" t="s">
        <v>8</v>
      </c>
    </row>
    <row r="28" spans="3:8" x14ac:dyDescent="0.25">
      <c r="C28">
        <f>MAX(D23,ROUND((((D22-MAX(D21,9))/E7)*60),0))</f>
        <v>73</v>
      </c>
      <c r="D28">
        <f>(13/9)*60</f>
        <v>86.666666666666671</v>
      </c>
    </row>
    <row r="30" spans="3:8" x14ac:dyDescent="0.25">
      <c r="C30">
        <f>ROUNDDOWN(C28/60,0)</f>
        <v>1</v>
      </c>
      <c r="D30">
        <f>MOD(C28,60)</f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workbookViewId="0">
      <selection activeCell="E9" sqref="E9:F9"/>
    </sheetView>
  </sheetViews>
  <sheetFormatPr defaultRowHeight="15" x14ac:dyDescent="0.25"/>
  <cols>
    <col min="1" max="1" width="4" bestFit="1" customWidth="1"/>
    <col min="2" max="4" width="8.140625" bestFit="1" customWidth="1"/>
    <col min="5" max="6" width="8.42578125" bestFit="1" customWidth="1"/>
    <col min="7" max="7" width="8.140625" bestFit="1" customWidth="1"/>
    <col min="8" max="8" width="11.85546875" bestFit="1" customWidth="1"/>
    <col min="9" max="9" width="9.5703125" bestFit="1" customWidth="1"/>
    <col min="10" max="10" width="3.28515625" customWidth="1"/>
    <col min="14" max="14" width="9.7109375" customWidth="1"/>
    <col min="15" max="15" width="9" customWidth="1"/>
    <col min="16" max="16" width="7.42578125" customWidth="1"/>
    <col min="18" max="18" width="9.28515625" customWidth="1"/>
  </cols>
  <sheetData>
    <row r="1" spans="1:20" s="3" customFormat="1" ht="30" x14ac:dyDescent="0.25">
      <c r="B1" s="4" t="s">
        <v>12</v>
      </c>
      <c r="C1" s="4"/>
      <c r="D1" s="4"/>
      <c r="E1" s="4" t="s">
        <v>13</v>
      </c>
      <c r="F1" s="4"/>
      <c r="G1" s="4"/>
      <c r="I1" s="3" t="s">
        <v>31</v>
      </c>
      <c r="K1" s="3" t="s">
        <v>3</v>
      </c>
      <c r="L1" s="3" t="s">
        <v>30</v>
      </c>
      <c r="N1" s="3" t="s">
        <v>11</v>
      </c>
      <c r="O1" s="3" t="s">
        <v>10</v>
      </c>
      <c r="P1" s="3" t="s">
        <v>9</v>
      </c>
      <c r="R1" s="3" t="s">
        <v>33</v>
      </c>
      <c r="S1" s="3" t="s">
        <v>34</v>
      </c>
      <c r="T1" s="3" t="s">
        <v>35</v>
      </c>
    </row>
    <row r="2" spans="1:20" x14ac:dyDescent="0.25">
      <c r="B2" t="s">
        <v>14</v>
      </c>
      <c r="C2" t="s">
        <v>15</v>
      </c>
      <c r="D2" t="s">
        <v>16</v>
      </c>
      <c r="E2" t="s">
        <v>14</v>
      </c>
      <c r="F2" t="s">
        <v>15</v>
      </c>
      <c r="G2" t="s">
        <v>16</v>
      </c>
      <c r="I2" s="1">
        <v>0.29166666666666669</v>
      </c>
      <c r="K2">
        <f>DAILY_DOSES_END_HOUR-MAX(HOUR(curr_time),DAILY_DOSES_START_HOUR)</f>
        <v>13</v>
      </c>
      <c r="L2">
        <f>MAX(DAILY_DOSES_MIN_DELAY,ROUND((((DAILY_DOSES_END_HOUR-MAX(DAILY_DOSES_START_HOUR,HOUR(curr_time)))/K2)*60),0))</f>
        <v>60</v>
      </c>
      <c r="N2">
        <v>7</v>
      </c>
      <c r="O2">
        <v>20</v>
      </c>
      <c r="P2">
        <v>60</v>
      </c>
      <c r="R2">
        <v>15</v>
      </c>
      <c r="S2">
        <v>15</v>
      </c>
      <c r="T2">
        <v>15</v>
      </c>
    </row>
    <row r="3" spans="1:20" x14ac:dyDescent="0.25">
      <c r="A3" t="s">
        <v>17</v>
      </c>
      <c r="B3" s="1"/>
      <c r="C3" s="1"/>
      <c r="D3" s="1"/>
      <c r="E3" s="1">
        <f>TIME(MAX(HOUR(curr_time), DAILY_DOSES_START_HOUR),IF((HOUR(curr_time) &gt;= DAILY_DOSES_START_HOUR),MINUTE(curr_time) + 1,pump_delay_a),0)</f>
        <v>0.29236111111111113</v>
      </c>
      <c r="F3" s="1">
        <f>TIME(HOUR(E3),MINUTE(E3) + pump_delay_b,0)</f>
        <v>0.30277777777777776</v>
      </c>
      <c r="G3" s="1">
        <f>TIME(HOUR(F3),MINUTE(F3) + pump_delay_b,0)</f>
        <v>0.31319444444444444</v>
      </c>
      <c r="H3" t="s">
        <v>36</v>
      </c>
      <c r="K3">
        <f>DAILY_DOSES_END_HOUR-MAX(HOUR(curr_time),DAILY_DOSES_START_HOUR)</f>
        <v>13</v>
      </c>
      <c r="L3">
        <f>MAX(DAILY_DOSES_MIN_DELAY,ROUND((((DAILY_DOSES_END_HOUR-MAX(DAILY_DOSES_START_HOUR,HOUR(curr_time)))/K3)*60),0))</f>
        <v>60</v>
      </c>
    </row>
    <row r="4" spans="1:20" x14ac:dyDescent="0.25">
      <c r="A4" t="s">
        <v>18</v>
      </c>
      <c r="B4" s="1">
        <f>IF(E3&lt;=F3,E3,B3)</f>
        <v>0.29236111111111113</v>
      </c>
      <c r="C4" s="1">
        <f t="shared" ref="C4:C12" si="0">F3</f>
        <v>0.30277777777777776</v>
      </c>
      <c r="D4" s="1">
        <f t="shared" ref="D4:D12" si="1">G3</f>
        <v>0.31319444444444444</v>
      </c>
      <c r="E4" s="1">
        <f>TIME(HOUR(B4),MINUTE(B4)+dose_del_a+MAX(pump_delay_a-IF(HOUR(TIME(HOUR(B4),MINUTE(B4)+dose_del_a,0))&gt;HOUR(G3),60-MINUTE(G3)+MINUTE(TIME(HOUR(B4),MINUTE(B4)+dose_del_a,0)),MINUTE(TIME(HOUR(B4),MINUTE(B4)+dose_del_a,0))-MINUTE(G3)),0),0)</f>
        <v>0.33402777777777776</v>
      </c>
      <c r="F4" s="1">
        <f t="shared" ref="F4:F15" si="2">TIME(HOUR(C4),MINUTE(C4)+dose_del_b+MAX(pump_delay_b-IF(HOUR(TIME(HOUR(C4),MINUTE(C4)+dose_del_b,0))&gt;HOUR(E4),60-MINUTE(E4)+MINUTE(TIME(HOUR(C4),MINUTE(C4)+dose_del_b,0)),MINUTE(TIME(HOUR(C4),MINUTE(C4)+dose_del_b,0))-MINUTE(E4)),0),0)</f>
        <v>0.34444444444444439</v>
      </c>
      <c r="G4" s="1">
        <f t="shared" ref="G4:G15" si="3">TIME(HOUR(D4),MINUTE(D4)+dose_del_c+MAX(pump_delay_c-IF(HOUR(TIME(HOUR(D4),MINUTE(D4)+dose_del_c,0))&gt;HOUR(F4),60-MINUTE(F4)+MINUTE(TIME(HOUR(D4),MINUTE(D4)+dose_del_c,0)),MINUTE(TIME(HOUR(D4),MINUTE(D4)+dose_del_c,0))-MINUTE(F4)),0),0)</f>
        <v>0.35486111111111107</v>
      </c>
      <c r="K4">
        <f>DAILY_DOSES_END_HOUR-MAX(HOUR(curr_time),DAILY_DOSES_START_HOUR)</f>
        <v>13</v>
      </c>
      <c r="L4">
        <f>MAX(DAILY_DOSES_MIN_DELAY,ROUND((((DAILY_DOSES_END_HOUR-MAX(DAILY_DOSES_START_HOUR,HOUR(curr_time)))/K4)*60),0))</f>
        <v>60</v>
      </c>
    </row>
    <row r="5" spans="1:20" x14ac:dyDescent="0.25">
      <c r="A5" t="s">
        <v>19</v>
      </c>
      <c r="B5" s="1"/>
      <c r="C5" s="1">
        <f t="shared" si="0"/>
        <v>0.34444444444444439</v>
      </c>
      <c r="D5" s="1">
        <f t="shared" si="1"/>
        <v>0.35486111111111107</v>
      </c>
      <c r="F5" s="1">
        <f t="shared" si="2"/>
        <v>0.38611111111111107</v>
      </c>
      <c r="G5" s="1">
        <f t="shared" si="3"/>
        <v>0.39652777777777776</v>
      </c>
    </row>
    <row r="6" spans="1:20" x14ac:dyDescent="0.25">
      <c r="A6" t="s">
        <v>20</v>
      </c>
      <c r="B6" s="1">
        <f>IF(E5&gt;0,E5,E4)</f>
        <v>0.33402777777777776</v>
      </c>
      <c r="C6" s="1">
        <f t="shared" si="0"/>
        <v>0.38611111111111107</v>
      </c>
      <c r="D6" s="1">
        <f t="shared" si="1"/>
        <v>0.39652777777777776</v>
      </c>
      <c r="E6" s="1">
        <f>TIME(HOUR(B6),MINUTE(B6)+dose_del_a+MAX(pump_delay_a-IF(HOUR(TIME(HOUR(B6),MINUTE(B6)+dose_del_a,0))&gt;HOUR(G5),60-MINUTE(G5)+MINUTE(TIME(HOUR(B6),MINUTE(B6)+dose_del_a,0)),MINUTE(TIME(HOUR(B6),MINUTE(B6)+dose_del_a,0))-MINUTE(G5)),0),0)</f>
        <v>0.40694444444444439</v>
      </c>
      <c r="F6" s="1">
        <f t="shared" si="2"/>
        <v>0.42777777777777776</v>
      </c>
      <c r="G6" s="1">
        <f t="shared" si="3"/>
        <v>0.43819444444444439</v>
      </c>
    </row>
    <row r="7" spans="1:20" x14ac:dyDescent="0.25">
      <c r="A7" t="s">
        <v>21</v>
      </c>
      <c r="B7" s="1">
        <f t="shared" ref="B7:B15" si="4">IF(E6&gt;0,E6,E5)</f>
        <v>0.40694444444444439</v>
      </c>
      <c r="C7" s="1">
        <f t="shared" si="0"/>
        <v>0.42777777777777776</v>
      </c>
      <c r="D7" s="1">
        <f t="shared" si="1"/>
        <v>0.43819444444444439</v>
      </c>
      <c r="E7" s="1">
        <f>TIME(HOUR(B7),MINUTE(B7)+dose_del_a+MAX(pump_delay_a-IF(HOUR(TIME(HOUR(B7),MINUTE(B7)+dose_del_a,0))&gt;HOUR(G6),60-MINUTE(G6)+MINUTE(TIME(HOUR(B7),MINUTE(B7)+dose_del_a,0)),MINUTE(TIME(HOUR(B7),MINUTE(B7)+dose_del_a,0))-MINUTE(G6)),0),0)</f>
        <v>0.44861111111111107</v>
      </c>
      <c r="F7" s="1">
        <f t="shared" si="2"/>
        <v>0.46944444444444439</v>
      </c>
      <c r="G7" s="1">
        <f t="shared" si="3"/>
        <v>0.47986111111111107</v>
      </c>
    </row>
    <row r="8" spans="1:20" x14ac:dyDescent="0.25">
      <c r="A8" t="s">
        <v>22</v>
      </c>
      <c r="B8" s="1">
        <f t="shared" si="4"/>
        <v>0.44861111111111107</v>
      </c>
      <c r="C8" s="1">
        <f t="shared" si="0"/>
        <v>0.46944444444444439</v>
      </c>
      <c r="D8" s="1">
        <f t="shared" si="1"/>
        <v>0.47986111111111107</v>
      </c>
      <c r="E8" s="1"/>
      <c r="F8" s="1">
        <f t="shared" si="2"/>
        <v>0.51111111111111107</v>
      </c>
      <c r="G8" s="1">
        <f t="shared" si="3"/>
        <v>0.5215277777777777</v>
      </c>
    </row>
    <row r="9" spans="1:20" x14ac:dyDescent="0.25">
      <c r="A9" t="s">
        <v>23</v>
      </c>
      <c r="B9" s="1">
        <f t="shared" si="4"/>
        <v>0.44861111111111107</v>
      </c>
      <c r="C9" s="1">
        <f t="shared" si="0"/>
        <v>0.51111111111111107</v>
      </c>
      <c r="D9" s="1">
        <f t="shared" si="1"/>
        <v>0.5215277777777777</v>
      </c>
      <c r="E9" s="1">
        <f>TIME(HOUR(B9),MINUTE(B9)+dose_del_a+MAX(pump_delay_a-IF(HOUR(TIME(HOUR(B9),MINUTE(B9)+dose_del_a,0))&gt;HOUR(G8),60-MINUTE(G8)+MINUTE(TIME(HOUR(B9),MINUTE(B9)+dose_del_a,0)),MINUTE(TIME(HOUR(B9),MINUTE(B9)+dose_del_a,0))-MINUTE(G8)),0),0)</f>
        <v>0.49027777777777776</v>
      </c>
      <c r="F9" s="1">
        <f t="shared" si="2"/>
        <v>0.5527777777777777</v>
      </c>
      <c r="G9" s="1">
        <f t="shared" si="3"/>
        <v>0.56319444444444444</v>
      </c>
      <c r="H9" s="2">
        <f>MAX(pump_delay_c-IF(HOUR(TIME(HOUR(D9),MINUTE(D9)+dose_del_c,0))&gt;HOUR(F9),60-MINUTE(F9)+MINUTE(TIME(HOUR(D9),MINUTE(D9)+dose_del_c,0)),MINUTE(TIME(HOUR(D9),MINUTE(D9)+dose_del_c,0))-MINUTE(F9)),0)</f>
        <v>0</v>
      </c>
    </row>
    <row r="10" spans="1:20" x14ac:dyDescent="0.25">
      <c r="A10" t="s">
        <v>24</v>
      </c>
      <c r="B10" s="1">
        <f t="shared" si="4"/>
        <v>0.49027777777777776</v>
      </c>
      <c r="C10" s="1">
        <f t="shared" si="0"/>
        <v>0.5527777777777777</v>
      </c>
      <c r="D10" s="1">
        <f t="shared" si="1"/>
        <v>0.56319444444444444</v>
      </c>
      <c r="E10" s="1">
        <f>TIME(HOUR(B10),MINUTE(B10)+dose_del_a+MAX(pump_delay_a-IF(HOUR(TIME(HOUR(B10),MINUTE(B10)+dose_del_a,0))&gt;HOUR(G9),60-MINUTE(G9)+MINUTE(TIME(HOUR(B10),MINUTE(B10)+dose_del_a,0)),MINUTE(TIME(HOUR(B10),MINUTE(B10)+dose_del_a,0))-MINUTE(G9)),0),0)</f>
        <v>0.53194444444444444</v>
      </c>
      <c r="F10" s="1">
        <f t="shared" si="2"/>
        <v>0.59444444444444444</v>
      </c>
      <c r="G10" s="1">
        <f t="shared" si="3"/>
        <v>0.60486111111111107</v>
      </c>
    </row>
    <row r="11" spans="1:20" x14ac:dyDescent="0.25">
      <c r="A11" t="s">
        <v>25</v>
      </c>
      <c r="B11" s="1">
        <f t="shared" si="4"/>
        <v>0.53194444444444444</v>
      </c>
      <c r="C11" s="1">
        <f t="shared" si="0"/>
        <v>0.59444444444444444</v>
      </c>
      <c r="D11" s="1">
        <f t="shared" si="1"/>
        <v>0.60486111111111107</v>
      </c>
      <c r="E11" s="1"/>
      <c r="F11" s="1">
        <f t="shared" si="2"/>
        <v>0.63611111111111107</v>
      </c>
      <c r="G11" s="1">
        <f t="shared" si="3"/>
        <v>0.6465277777777777</v>
      </c>
    </row>
    <row r="12" spans="1:20" x14ac:dyDescent="0.25">
      <c r="A12" t="s">
        <v>26</v>
      </c>
      <c r="B12" s="1">
        <f t="shared" si="4"/>
        <v>0.53194444444444444</v>
      </c>
      <c r="C12" s="1">
        <f t="shared" si="0"/>
        <v>0.63611111111111107</v>
      </c>
      <c r="D12" s="1">
        <f t="shared" si="1"/>
        <v>0.6465277777777777</v>
      </c>
      <c r="E12" s="1">
        <f>TIME(HOUR(B12),MINUTE(B12)+dose_del_a+MAX(pump_delay_a-IF(HOUR(TIME(HOUR(B12),MINUTE(B12)+dose_del_a,0))&gt;HOUR(G11),60-MINUTE(G11)+MINUTE(TIME(HOUR(B12),MINUTE(B12)+dose_del_a,0)),MINUTE(TIME(HOUR(B12),MINUTE(B12)+dose_del_a,0))-MINUTE(G11)),0),0)</f>
        <v>0.57361111111111107</v>
      </c>
      <c r="F12" s="1">
        <f t="shared" si="2"/>
        <v>0.6777777777777777</v>
      </c>
      <c r="G12" s="1">
        <f t="shared" si="3"/>
        <v>0.68819444444444444</v>
      </c>
    </row>
    <row r="13" spans="1:20" x14ac:dyDescent="0.25">
      <c r="A13" t="s">
        <v>27</v>
      </c>
      <c r="B13" s="1">
        <f t="shared" si="4"/>
        <v>0.57361111111111107</v>
      </c>
      <c r="C13" s="1">
        <f t="shared" ref="C13:C14" si="5">F12</f>
        <v>0.6777777777777777</v>
      </c>
      <c r="D13" s="1">
        <f t="shared" ref="D13:D14" si="6">G12</f>
        <v>0.68819444444444444</v>
      </c>
      <c r="E13" s="1">
        <f>TIME(HOUR(B13),MINUTE(B13)+dose_del_a+MAX(pump_delay_a-IF(HOUR(TIME(HOUR(B13),MINUTE(B13)+dose_del_a,0))&gt;HOUR(G12),60-MINUTE(G12)+MINUTE(TIME(HOUR(B13),MINUTE(B13)+dose_del_a,0)),MINUTE(TIME(HOUR(B13),MINUTE(B13)+dose_del_a,0))-MINUTE(G12)),0),0)</f>
        <v>0.6152777777777777</v>
      </c>
      <c r="F13" s="1">
        <f t="shared" si="2"/>
        <v>0.71944444444444444</v>
      </c>
      <c r="G13" s="1">
        <f t="shared" si="3"/>
        <v>0.72986111111111107</v>
      </c>
    </row>
    <row r="14" spans="1:20" x14ac:dyDescent="0.25">
      <c r="A14" t="s">
        <v>28</v>
      </c>
      <c r="B14" s="1">
        <f t="shared" si="4"/>
        <v>0.6152777777777777</v>
      </c>
      <c r="C14" s="1">
        <f t="shared" si="5"/>
        <v>0.71944444444444444</v>
      </c>
      <c r="D14" s="1">
        <f t="shared" si="6"/>
        <v>0.72986111111111107</v>
      </c>
      <c r="E14" s="1"/>
      <c r="F14" s="1">
        <f t="shared" si="2"/>
        <v>0.76111111111111107</v>
      </c>
      <c r="G14" s="1">
        <f t="shared" si="3"/>
        <v>0.7715277777777777</v>
      </c>
    </row>
    <row r="15" spans="1:20" x14ac:dyDescent="0.25">
      <c r="A15" t="s">
        <v>29</v>
      </c>
      <c r="B15" s="1">
        <f t="shared" si="4"/>
        <v>0.6152777777777777</v>
      </c>
      <c r="C15" s="1">
        <f>F14</f>
        <v>0.76111111111111107</v>
      </c>
      <c r="D15" s="1">
        <f>G14</f>
        <v>0.7715277777777777</v>
      </c>
      <c r="E15" s="1">
        <f>TIME(HOUR(B15),MINUTE(B15)+dose_del_a+MAX(pump_delay_a-IF(HOUR(TIME(HOUR(B15),MINUTE(B15)+dose_del_a,0))&gt;HOUR(G14),60-MINUTE(G14)+MINUTE(TIME(HOUR(B15),MINUTE(B15)+dose_del_a,0)),MINUTE(TIME(HOUR(B15),MINUTE(B15)+dose_del_a,0))-MINUTE(G14)),0),0)</f>
        <v>0.65694444444444444</v>
      </c>
      <c r="F15" s="1">
        <f t="shared" si="2"/>
        <v>0.8027777777777777</v>
      </c>
      <c r="G15" s="1">
        <f t="shared" si="3"/>
        <v>0.81319444444444444</v>
      </c>
    </row>
    <row r="16" spans="1:20" x14ac:dyDescent="0.25">
      <c r="A16" t="s">
        <v>32</v>
      </c>
      <c r="E16" s="1"/>
    </row>
  </sheetData>
  <mergeCells count="2"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Sheet1</vt:lpstr>
      <vt:lpstr>Sheet2</vt:lpstr>
      <vt:lpstr>curr_time</vt:lpstr>
      <vt:lpstr>DAILY_DOSES_END_HOUR</vt:lpstr>
      <vt:lpstr>DAILY_DOSES_MIN_DELAY</vt:lpstr>
      <vt:lpstr>DAILY_DOSES_START_HOUR</vt:lpstr>
      <vt:lpstr>dose_del_a</vt:lpstr>
      <vt:lpstr>dose_del_b</vt:lpstr>
      <vt:lpstr>dose_del_c</vt:lpstr>
      <vt:lpstr>Pump_delay</vt:lpstr>
      <vt:lpstr>pump_delay_a</vt:lpstr>
      <vt:lpstr>pump_delay_b</vt:lpstr>
      <vt:lpstr>pump_delay_c</vt:lpstr>
    </vt:vector>
  </TitlesOfParts>
  <Company>Bravura Solutions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Szajda</dc:creator>
  <cp:lastModifiedBy>Marcin Szajda</cp:lastModifiedBy>
  <dcterms:created xsi:type="dcterms:W3CDTF">2014-10-02T09:18:50Z</dcterms:created>
  <dcterms:modified xsi:type="dcterms:W3CDTF">2014-10-07T09:45:45Z</dcterms:modified>
</cp:coreProperties>
</file>