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25200" windowHeight="11880" activeTab="1"/>
  </bookViews>
  <sheets>
    <sheet name="Alap" sheetId="1" r:id="rId1"/>
    <sheet name="Ajánlat részletek" sheetId="3" r:id="rId2"/>
    <sheet name="Tervrajz" sheetId="4" r:id="rId3"/>
  </sheets>
  <calcPr calcId="162913"/>
  <extLst>
    <ext uri="GoogleSheetsCustomDataVersion2">
      <go:sheetsCustomData xmlns:go="http://customooxmlschemas.google.com/" r:id="rId143" roundtripDataChecksum="sWYeI7txwypNi+LgDH0cK3BSaa0cgTxZDkJcqA8r37g="/>
    </ext>
  </extLst>
</workbook>
</file>

<file path=xl/calcChain.xml><?xml version="1.0" encoding="utf-8"?>
<calcChain xmlns="http://schemas.openxmlformats.org/spreadsheetml/2006/main">
  <c r="K4" i="3" l="1"/>
  <c r="K3" i="3"/>
  <c r="P21" i="3" l="1"/>
  <c r="P20" i="3"/>
  <c r="P17" i="3"/>
  <c r="P16" i="3"/>
  <c r="H16" i="3"/>
  <c r="G16" i="3" s="1"/>
  <c r="L14" i="3"/>
  <c r="O9" i="3"/>
  <c r="J9" i="3"/>
  <c r="N9" i="3" s="1"/>
  <c r="E9" i="3"/>
  <c r="L9" i="3" s="1"/>
  <c r="D9" i="3"/>
  <c r="K9" i="3" s="1"/>
  <c r="J8" i="3"/>
  <c r="N8" i="3" s="1"/>
  <c r="E8" i="3"/>
  <c r="L8" i="3" s="1"/>
  <c r="D8" i="3"/>
  <c r="J7" i="3"/>
  <c r="N7" i="3" s="1"/>
  <c r="E7" i="3"/>
  <c r="L7" i="3" s="1"/>
  <c r="D7" i="3"/>
  <c r="K7" i="3" s="1"/>
  <c r="O6" i="3"/>
  <c r="K6" i="3"/>
  <c r="J6" i="3"/>
  <c r="N6" i="3" s="1"/>
  <c r="E6" i="3"/>
  <c r="L6" i="3" s="1"/>
  <c r="D6" i="3"/>
  <c r="J5" i="3"/>
  <c r="N5" i="3" s="1"/>
  <c r="E5" i="3"/>
  <c r="L5" i="3" s="1"/>
  <c r="D5" i="3"/>
  <c r="K5" i="3" s="1"/>
  <c r="J4" i="3"/>
  <c r="N4" i="3" s="1"/>
  <c r="E4" i="3"/>
  <c r="L4" i="3" s="1"/>
  <c r="D4" i="3"/>
  <c r="J3" i="3"/>
  <c r="M3" i="3" s="1"/>
  <c r="F3" i="3"/>
  <c r="E3" i="3"/>
  <c r="D3" i="3"/>
  <c r="L42" i="1"/>
  <c r="S27" i="1"/>
  <c r="T27" i="1" s="1"/>
  <c r="P27" i="1"/>
  <c r="M27" i="1"/>
  <c r="L27" i="1"/>
  <c r="O27" i="1" s="1"/>
  <c r="I27" i="1"/>
  <c r="C27" i="1"/>
  <c r="P26" i="1"/>
  <c r="S26" i="1" s="1"/>
  <c r="T26" i="1" s="1"/>
  <c r="N26" i="1"/>
  <c r="M26" i="1"/>
  <c r="L26" i="1"/>
  <c r="O26" i="1" s="1"/>
  <c r="I26" i="1"/>
  <c r="C26" i="1"/>
  <c r="S25" i="1"/>
  <c r="T25" i="1" s="1"/>
  <c r="P25" i="1"/>
  <c r="O25" i="1"/>
  <c r="M25" i="1"/>
  <c r="L25" i="1"/>
  <c r="N25" i="1" s="1"/>
  <c r="I25" i="1"/>
  <c r="C25" i="1"/>
  <c r="P24" i="1"/>
  <c r="S24" i="1" s="1"/>
  <c r="T24" i="1" s="1"/>
  <c r="M24" i="1"/>
  <c r="L24" i="1"/>
  <c r="O24" i="1" s="1"/>
  <c r="I24" i="1"/>
  <c r="C24" i="1"/>
  <c r="S23" i="1"/>
  <c r="T23" i="1" s="1"/>
  <c r="P23" i="1"/>
  <c r="M23" i="1"/>
  <c r="O23" i="1" s="1"/>
  <c r="L23" i="1"/>
  <c r="I23" i="1"/>
  <c r="C23" i="1"/>
  <c r="P22" i="1"/>
  <c r="S22" i="1" s="1"/>
  <c r="T22" i="1" s="1"/>
  <c r="O22" i="1"/>
  <c r="N22" i="1"/>
  <c r="M22" i="1"/>
  <c r="L22" i="1"/>
  <c r="I22" i="1"/>
  <c r="C22" i="1"/>
  <c r="U21" i="1"/>
  <c r="P21" i="1"/>
  <c r="S21" i="1" s="1"/>
  <c r="T21" i="1" s="1"/>
  <c r="M21" i="1"/>
  <c r="L21" i="1"/>
  <c r="O21" i="1" s="1"/>
  <c r="I21" i="1"/>
  <c r="C21" i="1"/>
  <c r="T15" i="1"/>
  <c r="T14" i="1"/>
  <c r="L11" i="1"/>
  <c r="R9" i="1"/>
  <c r="Q9" i="1"/>
  <c r="P9" i="1"/>
  <c r="O9" i="1"/>
  <c r="M9" i="1"/>
  <c r="J9" i="1"/>
  <c r="K9" i="1" s="1"/>
  <c r="S9" i="1" s="1"/>
  <c r="T9" i="1" s="1"/>
  <c r="H9" i="1"/>
  <c r="F9" i="1"/>
  <c r="E9" i="1" s="1"/>
  <c r="D9" i="1"/>
  <c r="Q8" i="1"/>
  <c r="P8" i="1"/>
  <c r="O8" i="1"/>
  <c r="M8" i="1"/>
  <c r="K8" i="1"/>
  <c r="S8" i="1" s="1"/>
  <c r="T8" i="1" s="1"/>
  <c r="U8" i="1" s="1"/>
  <c r="J8" i="1"/>
  <c r="H8" i="1"/>
  <c r="D8" i="1"/>
  <c r="R8" i="1" s="1"/>
  <c r="Q7" i="1"/>
  <c r="P7" i="1"/>
  <c r="O7" i="1"/>
  <c r="M7" i="1"/>
  <c r="J7" i="1"/>
  <c r="K7" i="1" s="1"/>
  <c r="S7" i="1" s="1"/>
  <c r="T7" i="1" s="1"/>
  <c r="U7" i="1" s="1"/>
  <c r="H7" i="1"/>
  <c r="D7" i="1"/>
  <c r="R7" i="1" s="1"/>
  <c r="R6" i="1"/>
  <c r="Q6" i="1"/>
  <c r="P6" i="1"/>
  <c r="O6" i="1"/>
  <c r="M6" i="1"/>
  <c r="J6" i="1"/>
  <c r="K6" i="1" s="1"/>
  <c r="S6" i="1" s="1"/>
  <c r="T6" i="1" s="1"/>
  <c r="H6" i="1"/>
  <c r="F6" i="1"/>
  <c r="E6" i="1"/>
  <c r="D6" i="1"/>
  <c r="R5" i="1"/>
  <c r="Q5" i="1"/>
  <c r="P5" i="1"/>
  <c r="O5" i="1"/>
  <c r="M5" i="1"/>
  <c r="J5" i="1"/>
  <c r="K5" i="1" s="1"/>
  <c r="S5" i="1" s="1"/>
  <c r="H5" i="1"/>
  <c r="F5" i="1"/>
  <c r="E5" i="1" s="1"/>
  <c r="D5" i="1"/>
  <c r="R4" i="1"/>
  <c r="Q4" i="1"/>
  <c r="P4" i="1"/>
  <c r="O4" i="1"/>
  <c r="M4" i="1"/>
  <c r="K4" i="1"/>
  <c r="S4" i="1" s="1"/>
  <c r="T4" i="1" s="1"/>
  <c r="U4" i="1" s="1"/>
  <c r="J4" i="1"/>
  <c r="H4" i="1"/>
  <c r="F4" i="1"/>
  <c r="E4" i="1"/>
  <c r="D4" i="1"/>
  <c r="R3" i="1"/>
  <c r="Q3" i="1"/>
  <c r="P3" i="1"/>
  <c r="N3" i="1"/>
  <c r="O3" i="1" s="1"/>
  <c r="M3" i="1"/>
  <c r="K3" i="1"/>
  <c r="J3" i="1"/>
  <c r="H3" i="1"/>
  <c r="F3" i="1"/>
  <c r="E3" i="1"/>
  <c r="D3" i="1"/>
  <c r="J11" i="3" l="1"/>
  <c r="O3" i="3"/>
  <c r="K8" i="3"/>
  <c r="O8" i="3"/>
  <c r="O5" i="3"/>
  <c r="O7" i="3"/>
  <c r="K11" i="3"/>
  <c r="O4" i="3"/>
  <c r="W3" i="1"/>
  <c r="S3" i="1"/>
  <c r="T3" i="1" s="1"/>
  <c r="W4" i="1"/>
  <c r="T5" i="1"/>
  <c r="W5" i="1"/>
  <c r="W6" i="1"/>
  <c r="U3" i="1"/>
  <c r="F8" i="1"/>
  <c r="N27" i="1"/>
  <c r="L3" i="3"/>
  <c r="L11" i="3" s="1"/>
  <c r="F7" i="1"/>
  <c r="N21" i="1"/>
  <c r="M4" i="3"/>
  <c r="M5" i="3"/>
  <c r="M6" i="3"/>
  <c r="M9" i="3"/>
  <c r="H15" i="3"/>
  <c r="U9" i="1"/>
  <c r="N3" i="3"/>
  <c r="N11" i="3" s="1"/>
  <c r="H12" i="3"/>
  <c r="H13" i="3"/>
  <c r="W9" i="1"/>
  <c r="N23" i="1"/>
  <c r="U6" i="1"/>
  <c r="N24" i="1"/>
  <c r="U5" i="1"/>
  <c r="O11" i="3" l="1"/>
  <c r="O13" i="3" s="1"/>
  <c r="W7" i="1"/>
  <c r="E7" i="1"/>
  <c r="G15" i="3"/>
  <c r="W8" i="1"/>
  <c r="E8" i="1"/>
  <c r="T11" i="1"/>
  <c r="M7" i="3" l="1"/>
  <c r="T12" i="1"/>
  <c r="U11" i="1"/>
  <c r="M8" i="3"/>
  <c r="O18" i="3"/>
  <c r="P19" i="3"/>
  <c r="O19" i="3"/>
  <c r="P18" i="3"/>
  <c r="O14" i="3"/>
  <c r="M11" i="3" l="1"/>
  <c r="P13" i="3" s="1"/>
  <c r="O15" i="3"/>
  <c r="P14" i="3" s="1"/>
  <c r="T13" i="1"/>
  <c r="U13" i="1" s="1"/>
  <c r="U12" i="1"/>
  <c r="P25" i="3" l="1"/>
  <c r="L13" i="3"/>
  <c r="L16" i="3" s="1"/>
</calcChain>
</file>

<file path=xl/sharedStrings.xml><?xml version="1.0" encoding="utf-8"?>
<sst xmlns="http://schemas.openxmlformats.org/spreadsheetml/2006/main" count="153" uniqueCount="109">
  <si>
    <t>webes listaár</t>
  </si>
  <si>
    <t>lemez hossz</t>
  </si>
  <si>
    <t>ívtől ívig hossz</t>
  </si>
  <si>
    <t>felület</t>
  </si>
  <si>
    <t>bruttó</t>
  </si>
  <si>
    <t>nettó</t>
  </si>
  <si>
    <t>1 m2-re vetített listaár nettó</t>
  </si>
  <si>
    <t>nagyker</t>
  </si>
  <si>
    <t>acél igény</t>
  </si>
  <si>
    <t>acél kltsg</t>
  </si>
  <si>
    <t>akasztófül mennyis</t>
  </si>
  <si>
    <t>akasztfül kltsg</t>
  </si>
  <si>
    <t>Cső hossza</t>
  </si>
  <si>
    <t>cső ára</t>
  </si>
  <si>
    <t>Bordáslemez gyártás kltsg</t>
  </si>
  <si>
    <t>fül rögzítés kltsg</t>
  </si>
  <si>
    <t>becsövezés kltsg</t>
  </si>
  <si>
    <t>kész becsövezett panel előállítási költsége</t>
  </si>
  <si>
    <t>1 m2 -re vetített előállítási ár</t>
  </si>
  <si>
    <t>haszon</t>
  </si>
  <si>
    <t>Tipusonkénti ROI ánettó</t>
  </si>
  <si>
    <t>F100</t>
  </si>
  <si>
    <t>F150</t>
  </si>
  <si>
    <t>F200</t>
  </si>
  <si>
    <t>F250</t>
  </si>
  <si>
    <t>F300</t>
  </si>
  <si>
    <t>F350</t>
  </si>
  <si>
    <t>F400</t>
  </si>
  <si>
    <t>Előállítási önköltségi ár</t>
  </si>
  <si>
    <t>Telephelyi ár:</t>
  </si>
  <si>
    <t>Ajánlott ár:</t>
  </si>
  <si>
    <t>Jelenlegi ár a webshopon:</t>
  </si>
  <si>
    <t>netto</t>
  </si>
  <si>
    <t>Szigetelt 16 os gerinccső</t>
  </si>
  <si>
    <t>/m</t>
  </si>
  <si>
    <t>eurókónusz</t>
  </si>
  <si>
    <t>/db</t>
  </si>
  <si>
    <t>padlófűtés cső 17*2</t>
  </si>
  <si>
    <t>F sorozat</t>
  </si>
  <si>
    <t>teljes hossz</t>
  </si>
  <si>
    <t>szükséges cső ívhez</t>
  </si>
  <si>
    <t>szükséges cső panelbe</t>
  </si>
  <si>
    <t>szükséges cső össz</t>
  </si>
  <si>
    <t>lemezben cső</t>
  </si>
  <si>
    <t>ív hossz</t>
  </si>
  <si>
    <t>ráhagyás</t>
  </si>
  <si>
    <t>Teljes cső hossz (cm)</t>
  </si>
  <si>
    <t>Teljes cső hossz (m)</t>
  </si>
  <si>
    <t>Kerekített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</si>
  <si>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</si>
  <si>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</si>
  <si>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</si>
  <si>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</si>
  <si>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</si>
  <si>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</si>
  <si>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</si>
  <si>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</si>
  <si>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</si>
  <si>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</si>
  <si>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</si>
  <si>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</si>
  <si>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</si>
  <si>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panelok összesen:</t>
  </si>
  <si>
    <t>130m/osztókör</t>
  </si>
  <si>
    <t>szerelési díj osztóig (azzal együtt)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</si>
  <si>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</si>
  <si>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</si>
  <si>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</si>
  <si>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</si>
  <si>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</si>
  <si>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</si>
  <si>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szállítás</t>
  </si>
  <si>
    <t>Összesen bruttó anyag és díj</t>
  </si>
  <si>
    <t>nem kell</t>
  </si>
  <si>
    <t>2 körös</t>
  </si>
  <si>
    <t>3 körös</t>
  </si>
  <si>
    <t>4 körös</t>
  </si>
  <si>
    <t>5 körös</t>
  </si>
  <si>
    <t>6 körös</t>
  </si>
  <si>
    <t>7 körös</t>
  </si>
  <si>
    <t>8 körös</t>
  </si>
  <si>
    <t>9 körös</t>
  </si>
  <si>
    <t>10 körös</t>
  </si>
  <si>
    <t>11 körös</t>
  </si>
  <si>
    <t>mennyezet</t>
  </si>
  <si>
    <t>12 körös</t>
  </si>
  <si>
    <t>idomok PPSU</t>
  </si>
  <si>
    <t>FBOSZ-1</t>
  </si>
  <si>
    <t>Falba oszekrény 2-4</t>
  </si>
  <si>
    <t>FBOSZ-2</t>
  </si>
  <si>
    <t>Falba oszekrény 5-8</t>
  </si>
  <si>
    <t>osztószekrény</t>
  </si>
  <si>
    <t>FBOSZ-3</t>
  </si>
  <si>
    <t>Falba oszekrény 9-10</t>
  </si>
  <si>
    <t>FBOSZ-4</t>
  </si>
  <si>
    <t>Falba oszekrény 11-12</t>
  </si>
  <si>
    <t>FBOSZ-5</t>
  </si>
  <si>
    <t>Falba oszekrény 12-14</t>
  </si>
  <si>
    <t>FKOSZ-1</t>
  </si>
  <si>
    <t>Falon kívüli oszekrény 2-4</t>
  </si>
  <si>
    <t>FKOSZ-2</t>
  </si>
  <si>
    <t>Falon kívüli oszekrény 5-8</t>
  </si>
  <si>
    <t>FKOSZ-3</t>
  </si>
  <si>
    <t>Falon kívüli oszekrény 9-10</t>
  </si>
  <si>
    <t>FKOSZ-4</t>
  </si>
  <si>
    <t>Falon kívüli oszekrény 11-12</t>
  </si>
  <si>
    <t>FKOSZ-5</t>
  </si>
  <si>
    <t>Falon kívüli oszekrény 12-14</t>
  </si>
  <si>
    <t>kell szerelés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</si>
</sst>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164" formatCode="#,##0\ [$ cm]"/>
    <numFmt numFmtId="165" formatCode="#,##0.0\ [$ m2]"/>
    <numFmt numFmtId="166" formatCode="_-* #,##0\ &quot;Ft&quot;_-;\-* #,##0\ &quot;Ft&quot;_-;_-* &quot;-&quot;??\ &quot;Ft&quot;_-;_-@"/>
    <numFmt numFmtId="167" formatCode="#,##0\ [$ Ft/m2]"/>
    <numFmt numFmtId="168" formatCode="#,##0.00\ [$ kg]"/>
    <numFmt numFmtId="169" formatCode="#,##0\ [$ Ft]"/>
    <numFmt numFmtId="170" formatCode="#,##0\ [$ db]"/>
    <numFmt numFmtId="171" formatCode="#,##0.0\ [$ m]"/>
    <numFmt numFmtId="172" formatCode="#,##0\ [$ Ft/db]"/>
    <numFmt numFmtId="173" formatCode="#,##0\ [$ Ft/tipus]"/>
    <numFmt numFmtId="174" formatCode="#,##0\ [$ m]"/>
    <numFmt numFmtId="175" formatCode="#,##0\ [$ Ft/kg]"/>
    <numFmt numFmtId="176" formatCode="#,##0\ [$ Ft/m]"/>
    <numFmt numFmtId="177" formatCode="#,##0.00\ [$ m2]"/>
    <numFmt numFmtId="178" formatCode="#,##0.00\ [$ m]"/>
    <numFmt numFmtId="179" formatCode="#,##0.0\ [$ W]"/>
    <numFmt numFmtId="180" formatCode="#,##0\ [$ W]"/>
    <numFmt numFmtId="181" formatCode="#,##0\ [$ ˇC szoba]"/>
    <numFmt numFmtId="182" formatCode="#,##0.0\ [$ W/m2]"/>
    <numFmt numFmtId="183" formatCode="#,##0\ [$ W/helyiség]"/>
    <numFmt numFmtId="184" formatCode="#,##0\ &quot;Ft&quot;"/>
    <numFmt numFmtId="185" formatCode="#,##0\ [$ db T]"/>
    <numFmt numFmtId="186" formatCode="#,##0\ [$ db szűkítő]"/>
    <numFmt numFmtId="187" formatCode="#,##0\ [$ körök száma]"/>
    <numFmt numFmtId="188" formatCode="_-* #,##0\ [$Ft-40E]_-;\-* #,##0\ [$Ft-40E]_-;_-* &quot;-&quot;??\ [$Ft-40E]_-;_-@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rgb="FF0C0C0C"/>
      <name val="Calibri"/>
    </font>
    <font>
      <sz val="11"/>
      <color rgb="FF0C0C0C"/>
      <name val="Calibri"/>
    </font>
    <font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/>
    <xf numFmtId="165" fontId="1" fillId="0" borderId="4" xfId="0" applyNumberFormat="1" applyFont="1" applyBorder="1"/>
    <xf numFmtId="166" fontId="3" fillId="0" borderId="5" xfId="0" applyNumberFormat="1" applyFont="1" applyBorder="1"/>
    <xf numFmtId="166" fontId="3" fillId="0" borderId="4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/>
    <xf numFmtId="169" fontId="1" fillId="3" borderId="3" xfId="0" applyNumberFormat="1" applyFont="1" applyFill="1" applyBorder="1"/>
    <xf numFmtId="170" fontId="1" fillId="0" borderId="3" xfId="0" applyNumberFormat="1" applyFont="1" applyBorder="1"/>
    <xf numFmtId="171" fontId="1" fillId="0" borderId="0" xfId="0" applyNumberFormat="1" applyFont="1"/>
    <xf numFmtId="172" fontId="1" fillId="4" borderId="3" xfId="0" applyNumberFormat="1" applyFont="1" applyFill="1" applyBorder="1" applyAlignment="1">
      <alignment wrapText="1"/>
    </xf>
    <xf numFmtId="166" fontId="1" fillId="4" borderId="3" xfId="0" applyNumberFormat="1" applyFont="1" applyFill="1" applyBorder="1"/>
    <xf numFmtId="169" fontId="1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1" fillId="0" borderId="0" xfId="0" applyNumberFormat="1" applyFont="1"/>
    <xf numFmtId="173" fontId="1" fillId="0" borderId="3" xfId="0" applyNumberFormat="1" applyFont="1" applyBorder="1"/>
    <xf numFmtId="166" fontId="1" fillId="0" borderId="3" xfId="0" applyNumberFormat="1" applyFont="1" applyBorder="1"/>
    <xf numFmtId="168" fontId="1" fillId="5" borderId="3" xfId="0" applyNumberFormat="1" applyFont="1" applyFill="1" applyBorder="1"/>
    <xf numFmtId="169" fontId="1" fillId="5" borderId="3" xfId="0" applyNumberFormat="1" applyFont="1" applyFill="1" applyBorder="1"/>
    <xf numFmtId="170" fontId="1" fillId="5" borderId="3" xfId="0" applyNumberFormat="1" applyFont="1" applyFill="1" applyBorder="1"/>
    <xf numFmtId="172" fontId="1" fillId="5" borderId="3" xfId="0" applyNumberFormat="1" applyFont="1" applyFill="1" applyBorder="1" applyAlignment="1">
      <alignment wrapText="1"/>
    </xf>
    <xf numFmtId="166" fontId="1" fillId="5" borderId="3" xfId="0" applyNumberFormat="1" applyFont="1" applyFill="1" applyBorder="1"/>
    <xf numFmtId="169" fontId="1" fillId="5" borderId="3" xfId="0" applyNumberFormat="1" applyFont="1" applyFill="1" applyBorder="1" applyAlignment="1">
      <alignment horizontal="center" vertical="center"/>
    </xf>
    <xf numFmtId="167" fontId="1" fillId="5" borderId="3" xfId="0" applyNumberFormat="1" applyFont="1" applyFill="1" applyBorder="1" applyAlignment="1">
      <alignment horizontal="center" vertical="center"/>
    </xf>
    <xf numFmtId="167" fontId="1" fillId="5" borderId="8" xfId="0" applyNumberFormat="1" applyFont="1" applyFill="1" applyBorder="1"/>
    <xf numFmtId="174" fontId="1" fillId="0" borderId="0" xfId="0" applyNumberFormat="1" applyFont="1"/>
    <xf numFmtId="166" fontId="1" fillId="0" borderId="0" xfId="0" applyNumberFormat="1" applyFont="1"/>
    <xf numFmtId="175" fontId="1" fillId="3" borderId="8" xfId="0" applyNumberFormat="1" applyFont="1" applyFill="1" applyBorder="1"/>
    <xf numFmtId="17" fontId="1" fillId="0" borderId="0" xfId="0" applyNumberFormat="1" applyFont="1"/>
    <xf numFmtId="169" fontId="4" fillId="0" borderId="0" xfId="0" applyNumberFormat="1" applyFont="1" applyAlignment="1">
      <alignment horizontal="center"/>
    </xf>
    <xf numFmtId="167" fontId="4" fillId="0" borderId="0" xfId="0" applyNumberFormat="1" applyFont="1"/>
    <xf numFmtId="172" fontId="1" fillId="3" borderId="8" xfId="0" applyNumberFormat="1" applyFont="1" applyFill="1" applyBorder="1"/>
    <xf numFmtId="0" fontId="4" fillId="0" borderId="0" xfId="0" applyFont="1" applyAlignment="1">
      <alignment horizontal="center"/>
    </xf>
    <xf numFmtId="176" fontId="1" fillId="3" borderId="8" xfId="0" applyNumberFormat="1" applyFont="1" applyFill="1" applyBorder="1"/>
    <xf numFmtId="0" fontId="4" fillId="2" borderId="8" xfId="0" applyFont="1" applyFill="1" applyBorder="1" applyAlignment="1">
      <alignment horizontal="center"/>
    </xf>
    <xf numFmtId="167" fontId="4" fillId="2" borderId="8" xfId="0" applyNumberFormat="1" applyFont="1" applyFill="1" applyBorder="1"/>
    <xf numFmtId="176" fontId="1" fillId="4" borderId="8" xfId="0" applyNumberFormat="1" applyFont="1" applyFill="1" applyBorder="1"/>
    <xf numFmtId="0" fontId="5" fillId="0" borderId="0" xfId="0" applyFont="1"/>
    <xf numFmtId="172" fontId="1" fillId="4" borderId="8" xfId="0" applyNumberFormat="1" applyFont="1" applyFill="1" applyBorder="1"/>
    <xf numFmtId="167" fontId="1" fillId="4" borderId="8" xfId="0" applyNumberFormat="1" applyFont="1" applyFill="1" applyBorder="1"/>
    <xf numFmtId="9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77" fontId="1" fillId="0" borderId="16" xfId="0" applyNumberFormat="1" applyFont="1" applyBorder="1"/>
    <xf numFmtId="171" fontId="1" fillId="0" borderId="3" xfId="0" applyNumberFormat="1" applyFont="1" applyBorder="1"/>
    <xf numFmtId="164" fontId="1" fillId="5" borderId="8" xfId="0" applyNumberFormat="1" applyFont="1" applyFill="1" applyBorder="1"/>
    <xf numFmtId="165" fontId="1" fillId="0" borderId="0" xfId="0" applyNumberFormat="1" applyFont="1"/>
    <xf numFmtId="164" fontId="1" fillId="0" borderId="17" xfId="0" applyNumberFormat="1" applyFont="1" applyBorder="1"/>
    <xf numFmtId="171" fontId="1" fillId="5" borderId="3" xfId="0" applyNumberFormat="1" applyFont="1" applyFill="1" applyBorder="1"/>
    <xf numFmtId="178" fontId="1" fillId="0" borderId="3" xfId="0" applyNumberFormat="1" applyFont="1" applyBorder="1"/>
    <xf numFmtId="171" fontId="1" fillId="0" borderId="18" xfId="0" applyNumberFormat="1" applyFont="1" applyBorder="1"/>
    <xf numFmtId="174" fontId="1" fillId="0" borderId="3" xfId="0" applyNumberFormat="1" applyFont="1" applyBorder="1"/>
    <xf numFmtId="164" fontId="1" fillId="5" borderId="3" xfId="0" applyNumberFormat="1" applyFont="1" applyFill="1" applyBorder="1"/>
    <xf numFmtId="177" fontId="1" fillId="5" borderId="19" xfId="0" applyNumberFormat="1" applyFont="1" applyFill="1" applyBorder="1"/>
    <xf numFmtId="174" fontId="1" fillId="5" borderId="3" xfId="0" applyNumberFormat="1" applyFont="1" applyFill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71" fontId="1" fillId="5" borderId="21" xfId="0" applyNumberFormat="1" applyFont="1" applyFill="1" applyBorder="1"/>
    <xf numFmtId="178" fontId="1" fillId="0" borderId="21" xfId="0" applyNumberFormat="1" applyFont="1" applyBorder="1"/>
    <xf numFmtId="171" fontId="1" fillId="0" borderId="22" xfId="0" applyNumberFormat="1" applyFont="1" applyBorder="1"/>
    <xf numFmtId="166" fontId="3" fillId="0" borderId="0" xfId="0" applyNumberFormat="1" applyFont="1"/>
    <xf numFmtId="0" fontId="1" fillId="0" borderId="0" xfId="0" applyFont="1" applyAlignment="1">
      <alignment horizontal="center"/>
    </xf>
    <xf numFmtId="0" fontId="1" fillId="6" borderId="26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center" vertical="center"/>
    </xf>
    <xf numFmtId="179" fontId="1" fillId="8" borderId="3" xfId="0" applyNumberFormat="1" applyFont="1" applyFill="1" applyBorder="1" applyAlignment="1">
      <alignment horizontal="center" vertical="center"/>
    </xf>
    <xf numFmtId="170" fontId="1" fillId="0" borderId="5" xfId="0" applyNumberFormat="1" applyFont="1" applyBorder="1" applyAlignment="1">
      <alignment horizontal="center" vertical="center"/>
    </xf>
    <xf numFmtId="179" fontId="1" fillId="8" borderId="3" xfId="0" applyNumberFormat="1" applyFont="1" applyFill="1" applyBorder="1" applyAlignment="1">
      <alignment horizontal="center"/>
    </xf>
    <xf numFmtId="179" fontId="1" fillId="9" borderId="3" xfId="0" applyNumberFormat="1" applyFont="1" applyFill="1" applyBorder="1" applyAlignment="1">
      <alignment horizontal="center"/>
    </xf>
    <xf numFmtId="174" fontId="1" fillId="0" borderId="3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0" fontId="1" fillId="0" borderId="3" xfId="0" applyNumberFormat="1" applyFont="1" applyBorder="1" applyAlignment="1">
      <alignment horizontal="center"/>
    </xf>
    <xf numFmtId="180" fontId="1" fillId="8" borderId="3" xfId="0" applyNumberFormat="1" applyFont="1" applyFill="1" applyBorder="1" applyAlignment="1">
      <alignment horizontal="center"/>
    </xf>
    <xf numFmtId="180" fontId="1" fillId="9" borderId="3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77" fontId="6" fillId="5" borderId="3" xfId="0" applyNumberFormat="1" applyFont="1" applyFill="1" applyBorder="1" applyAlignment="1">
      <alignment horizontal="center"/>
    </xf>
    <xf numFmtId="181" fontId="1" fillId="0" borderId="3" xfId="0" applyNumberFormat="1" applyFont="1" applyBorder="1" applyAlignment="1">
      <alignment vertical="center"/>
    </xf>
    <xf numFmtId="0" fontId="1" fillId="0" borderId="3" xfId="0" applyFont="1" applyBorder="1"/>
    <xf numFmtId="182" fontId="1" fillId="8" borderId="3" xfId="0" applyNumberFormat="1" applyFont="1" applyFill="1" applyBorder="1" applyAlignment="1">
      <alignment horizontal="center" vertical="center"/>
    </xf>
    <xf numFmtId="183" fontId="1" fillId="11" borderId="3" xfId="0" applyNumberFormat="1" applyFont="1" applyFill="1" applyBorder="1"/>
    <xf numFmtId="182" fontId="1" fillId="9" borderId="3" xfId="0" applyNumberFormat="1" applyFont="1" applyFill="1" applyBorder="1" applyAlignment="1">
      <alignment horizontal="center" vertical="center"/>
    </xf>
    <xf numFmtId="183" fontId="1" fillId="9" borderId="3" xfId="0" applyNumberFormat="1" applyFont="1" applyFill="1" applyBorder="1"/>
    <xf numFmtId="0" fontId="4" fillId="0" borderId="27" xfId="0" applyFont="1" applyBorder="1"/>
    <xf numFmtId="170" fontId="1" fillId="0" borderId="0" xfId="0" applyNumberFormat="1" applyFont="1"/>
    <xf numFmtId="0" fontId="4" fillId="0" borderId="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28" xfId="0" applyFont="1" applyBorder="1"/>
    <xf numFmtId="177" fontId="1" fillId="0" borderId="37" xfId="0" applyNumberFormat="1" applyFont="1" applyBorder="1" applyAlignment="1">
      <alignment horizontal="center"/>
    </xf>
    <xf numFmtId="0" fontId="1" fillId="0" borderId="38" xfId="0" applyFont="1" applyBorder="1"/>
    <xf numFmtId="0" fontId="4" fillId="0" borderId="24" xfId="0" applyFont="1" applyBorder="1" applyAlignment="1">
      <alignment horizontal="right"/>
    </xf>
    <xf numFmtId="0" fontId="4" fillId="0" borderId="0" xfId="0" applyFont="1"/>
    <xf numFmtId="187" fontId="1" fillId="0" borderId="3" xfId="0" applyNumberFormat="1" applyFont="1" applyBorder="1"/>
    <xf numFmtId="0" fontId="7" fillId="0" borderId="0" xfId="0" applyFont="1"/>
    <xf numFmtId="0" fontId="8" fillId="0" borderId="0" xfId="0" applyFont="1"/>
    <xf numFmtId="184" fontId="1" fillId="0" borderId="0" xfId="0" applyNumberFormat="1" applyFont="1"/>
    <xf numFmtId="184" fontId="3" fillId="0" borderId="0" xfId="0" applyNumberFormat="1" applyFont="1"/>
    <xf numFmtId="166" fontId="4" fillId="0" borderId="0" xfId="0" applyNumberFormat="1" applyFont="1"/>
    <xf numFmtId="176" fontId="1" fillId="0" borderId="0" xfId="0" applyNumberFormat="1" applyFont="1" applyAlignment="1">
      <alignment horizontal="right"/>
    </xf>
    <xf numFmtId="17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center" vertical="center"/>
    </xf>
    <xf numFmtId="0" fontId="1" fillId="0" borderId="39" xfId="0" applyFont="1" applyBorder="1" applyAlignment="1">
      <alignment horizontal="center"/>
    </xf>
    <xf numFmtId="166" fontId="4" fillId="0" borderId="40" xfId="0" applyNumberFormat="1" applyFont="1" applyBorder="1"/>
    <xf numFmtId="0" fontId="1" fillId="0" borderId="26" xfId="0" applyFont="1" applyBorder="1"/>
    <xf numFmtId="0" fontId="1" fillId="0" borderId="27" xfId="0" applyFont="1" applyBorder="1" applyAlignment="1">
      <alignment horizontal="left"/>
    </xf>
    <xf numFmtId="177" fontId="1" fillId="0" borderId="27" xfId="0" applyNumberFormat="1" applyFont="1" applyBorder="1"/>
    <xf numFmtId="184" fontId="4" fillId="0" borderId="30" xfId="0" applyNumberFormat="1" applyFont="1" applyBorder="1" applyAlignment="1">
      <alignment horizontal="right"/>
    </xf>
    <xf numFmtId="184" fontId="4" fillId="0" borderId="16" xfId="0" applyNumberFormat="1" applyFont="1" applyBorder="1"/>
    <xf numFmtId="0" fontId="1" fillId="0" borderId="29" xfId="0" applyFont="1" applyBorder="1"/>
    <xf numFmtId="185" fontId="1" fillId="0" borderId="3" xfId="0" applyNumberFormat="1" applyFont="1" applyBorder="1"/>
    <xf numFmtId="186" fontId="1" fillId="0" borderId="3" xfId="0" applyNumberFormat="1" applyFont="1" applyBorder="1"/>
    <xf numFmtId="166" fontId="4" fillId="0" borderId="24" xfId="0" applyNumberFormat="1" applyFont="1" applyBorder="1"/>
    <xf numFmtId="184" fontId="4" fillId="0" borderId="4" xfId="0" applyNumberFormat="1" applyFont="1" applyBorder="1" applyAlignment="1">
      <alignment horizontal="right"/>
    </xf>
    <xf numFmtId="0" fontId="1" fillId="0" borderId="3" xfId="0" applyFont="1" applyBorder="1" applyAlignment="1"/>
    <xf numFmtId="0" fontId="1" fillId="0" borderId="43" xfId="0" applyFont="1" applyBorder="1"/>
    <xf numFmtId="0" fontId="1" fillId="0" borderId="44" xfId="0" applyFont="1" applyBorder="1"/>
    <xf numFmtId="184" fontId="4" fillId="0" borderId="45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88" fontId="1" fillId="0" borderId="0" xfId="0" applyNumberFormat="1" applyFont="1"/>
    <xf numFmtId="0" fontId="3" fillId="0" borderId="23" xfId="0" applyFont="1" applyBorder="1"/>
    <xf numFmtId="0" fontId="1" fillId="0" borderId="46" xfId="0" applyFont="1" applyBorder="1" applyAlignment="1">
      <alignment horizontal="center"/>
    </xf>
    <xf numFmtId="177" fontId="1" fillId="0" borderId="47" xfId="0" applyNumberFormat="1" applyFont="1" applyBorder="1"/>
    <xf numFmtId="0" fontId="1" fillId="7" borderId="2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9" fillId="12" borderId="49" xfId="0" applyFont="1" applyFill="1" applyBorder="1" applyAlignment="1">
      <alignment horizontal="center" vertical="center" wrapText="1"/>
    </xf>
    <xf numFmtId="170" fontId="1" fillId="7" borderId="50" xfId="0" applyNumberFormat="1" applyFont="1" applyFill="1" applyBorder="1" applyAlignment="1">
      <alignment horizontal="center" vertical="center"/>
    </xf>
    <xf numFmtId="170" fontId="1" fillId="0" borderId="50" xfId="0" applyNumberFormat="1" applyFont="1" applyBorder="1" applyAlignment="1">
      <alignment horizontal="center" vertical="center"/>
    </xf>
    <xf numFmtId="170" fontId="1" fillId="7" borderId="51" xfId="0" applyNumberFormat="1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 wrapText="1"/>
    </xf>
    <xf numFmtId="179" fontId="1" fillId="9" borderId="19" xfId="0" applyNumberFormat="1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171" fontId="1" fillId="0" borderId="50" xfId="0" applyNumberFormat="1" applyFont="1" applyBorder="1" applyAlignment="1">
      <alignment horizontal="center" vertical="center"/>
    </xf>
    <xf numFmtId="171" fontId="1" fillId="0" borderId="5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5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2" xfId="0" applyFont="1" applyBorder="1"/>
    <xf numFmtId="0" fontId="4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1" fillId="10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6" xfId="0" applyFont="1" applyBorder="1"/>
    <xf numFmtId="184" fontId="4" fillId="0" borderId="41" xfId="0" applyNumberFormat="1" applyFont="1" applyBorder="1" applyAlignment="1">
      <alignment horizontal="right" vertical="center"/>
    </xf>
    <xf numFmtId="0" fontId="2" fillId="0" borderId="42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144" Type="http://schemas.openxmlformats.org/officeDocument/2006/relationships/theme" Target="theme/theme1.xml"/><Relationship Id="rId143" Type="http://customschemas.google.com/relationships/workbookmetadata" Target="metadata"/><Relationship Id="rId14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47625</xdr:rowOff>
    </xdr:from>
    <xdr:ext cx="13277850" cy="70961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E13" sqref="E13"/>
    </sheetView>
  </sheetViews>
  <sheetFormatPr defaultColWidth="14.42578125" defaultRowHeight="15" customHeight="1" x14ac:dyDescent="0.25"/>
  <cols>
    <col min="1" max="1" width="9.140625" customWidth="1"/>
    <col min="2" max="2" width="22.7109375" customWidth="1"/>
    <col min="3" max="3" width="13.7109375" customWidth="1"/>
    <col min="4" max="6" width="10" customWidth="1"/>
    <col min="7" max="7" width="26.42578125" customWidth="1"/>
    <col min="8" max="8" width="13.28515625" customWidth="1"/>
    <col min="9" max="9" width="7.140625" customWidth="1"/>
    <col min="10" max="10" width="9.85546875" customWidth="1"/>
    <col min="11" max="11" width="8.7109375" customWidth="1"/>
    <col min="12" max="12" width="18.42578125" customWidth="1"/>
    <col min="13" max="13" width="21.140625" customWidth="1"/>
    <col min="14" max="14" width="17.5703125" customWidth="1"/>
    <col min="15" max="15" width="8.85546875" customWidth="1"/>
    <col min="16" max="16" width="24.140625" customWidth="1"/>
    <col min="17" max="17" width="15.42578125" customWidth="1"/>
    <col min="18" max="18" width="15.85546875" customWidth="1"/>
    <col min="19" max="19" width="39.42578125" customWidth="1"/>
    <col min="20" max="20" width="26.85546875" customWidth="1"/>
    <col min="21" max="21" width="13.28515625" customWidth="1"/>
    <col min="22" max="22" width="8.7109375" customWidth="1"/>
    <col min="23" max="23" width="22.85546875" customWidth="1"/>
    <col min="24" max="26" width="8.7109375" customWidth="1"/>
  </cols>
  <sheetData>
    <row r="1" spans="1:24" x14ac:dyDescent="0.25">
      <c r="A1" s="1"/>
      <c r="E1" s="158" t="s">
        <v>0</v>
      </c>
      <c r="F1" s="159"/>
    </row>
    <row r="2" spans="1:24" x14ac:dyDescent="0.25">
      <c r="A2" s="1"/>
      <c r="B2" s="2" t="s">
        <v>1</v>
      </c>
      <c r="C2" s="2" t="s">
        <v>2</v>
      </c>
      <c r="D2" s="3" t="s">
        <v>3</v>
      </c>
      <c r="E2" s="4" t="s">
        <v>4</v>
      </c>
      <c r="F2" s="5" t="s">
        <v>5</v>
      </c>
      <c r="G2" s="6" t="s">
        <v>6</v>
      </c>
      <c r="H2" s="2" t="s">
        <v>7</v>
      </c>
      <c r="I2" s="1"/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7" t="s">
        <v>17</v>
      </c>
      <c r="T2" s="2" t="s">
        <v>18</v>
      </c>
      <c r="U2" s="7" t="s">
        <v>19</v>
      </c>
      <c r="V2" s="7"/>
      <c r="W2" s="7" t="s">
        <v>20</v>
      </c>
      <c r="X2" s="7"/>
    </row>
    <row r="3" spans="1:24" x14ac:dyDescent="0.25">
      <c r="A3" s="1" t="s">
        <v>21</v>
      </c>
      <c r="B3" s="8">
        <v>40</v>
      </c>
      <c r="C3" s="8">
        <v>100</v>
      </c>
      <c r="D3" s="9">
        <f>1*0.4</f>
        <v>0.4</v>
      </c>
      <c r="E3" s="10">
        <f t="shared" ref="E3:E9" si="0">F3*1.27</f>
        <v>6350</v>
      </c>
      <c r="F3" s="11">
        <f t="shared" ref="F3:F9" si="1">G3*D3</f>
        <v>5000</v>
      </c>
      <c r="G3" s="12">
        <v>12500</v>
      </c>
      <c r="H3" s="13">
        <f t="shared" ref="H3:H9" si="2">G3*0.7</f>
        <v>8750</v>
      </c>
      <c r="J3" s="14">
        <f>B3/1000*0.004*0.432*7800</f>
        <v>0.53913600000000006</v>
      </c>
      <c r="K3" s="15">
        <f t="shared" ref="K3:K9" si="3">J3*$L$11</f>
        <v>404.75635200000005</v>
      </c>
      <c r="L3" s="16">
        <v>2</v>
      </c>
      <c r="M3" s="15">
        <f t="shared" ref="M3:M9" si="4">L3*$L$12</f>
        <v>520</v>
      </c>
      <c r="N3" s="17">
        <f>9.5</f>
        <v>9.5</v>
      </c>
      <c r="O3" s="15">
        <f t="shared" ref="O3:O9" si="5">N3*$L$13</f>
        <v>1045</v>
      </c>
      <c r="P3" s="18">
        <f t="shared" ref="P3:P9" si="6">B3/100*$L$14</f>
        <v>40</v>
      </c>
      <c r="Q3" s="19">
        <f t="shared" ref="Q3:Q9" si="7">L3*$L$15</f>
        <v>100</v>
      </c>
      <c r="R3" s="19">
        <f t="shared" ref="R3:R9" si="8">D3*$L$16</f>
        <v>160</v>
      </c>
      <c r="S3" s="20">
        <f t="shared" ref="S3:S9" si="9">K3+M3+O3+P3+Q3+R3</f>
        <v>2269.7563520000003</v>
      </c>
      <c r="T3" s="21">
        <f t="shared" ref="T3:T9" si="10">S3/D3</f>
        <v>5674.3908800000008</v>
      </c>
      <c r="U3" s="22">
        <f t="shared" ref="U3:U9" si="11">$T$15-T3</f>
        <v>6825.6091199999992</v>
      </c>
      <c r="V3" s="160"/>
      <c r="W3" s="23">
        <f t="shared" ref="W3:W9" si="12">F3-S3</f>
        <v>2730.2436479999997</v>
      </c>
      <c r="X3" s="24"/>
    </row>
    <row r="4" spans="1:24" x14ac:dyDescent="0.25">
      <c r="A4" s="1" t="s">
        <v>22</v>
      </c>
      <c r="B4" s="8">
        <v>90</v>
      </c>
      <c r="C4" s="8">
        <v>150</v>
      </c>
      <c r="D4" s="9">
        <f>1.5*0.4</f>
        <v>0.60000000000000009</v>
      </c>
      <c r="E4" s="10">
        <f t="shared" si="0"/>
        <v>9525.0000000000018</v>
      </c>
      <c r="F4" s="11">
        <f t="shared" si="1"/>
        <v>7500.0000000000009</v>
      </c>
      <c r="G4" s="12">
        <v>12500</v>
      </c>
      <c r="H4" s="13">
        <f t="shared" si="2"/>
        <v>8750</v>
      </c>
      <c r="J4" s="14">
        <f>B4/1000*0.005*0.495*7800</f>
        <v>1.7374499999999999</v>
      </c>
      <c r="K4" s="15">
        <f t="shared" si="3"/>
        <v>1304.3905875</v>
      </c>
      <c r="L4" s="16">
        <v>2</v>
      </c>
      <c r="M4" s="15">
        <f t="shared" si="4"/>
        <v>520</v>
      </c>
      <c r="N4" s="17">
        <v>13.5</v>
      </c>
      <c r="O4" s="15">
        <f t="shared" si="5"/>
        <v>1485</v>
      </c>
      <c r="P4" s="18">
        <f t="shared" si="6"/>
        <v>90</v>
      </c>
      <c r="Q4" s="19">
        <f t="shared" si="7"/>
        <v>100</v>
      </c>
      <c r="R4" s="19">
        <f t="shared" si="8"/>
        <v>240.00000000000003</v>
      </c>
      <c r="S4" s="20">
        <f t="shared" si="9"/>
        <v>3739.3905875</v>
      </c>
      <c r="T4" s="21">
        <f t="shared" si="10"/>
        <v>6232.3176458333328</v>
      </c>
      <c r="U4" s="22">
        <f t="shared" si="11"/>
        <v>6267.6823541666672</v>
      </c>
      <c r="V4" s="161"/>
      <c r="W4" s="23">
        <f t="shared" si="12"/>
        <v>3760.6094125000009</v>
      </c>
      <c r="X4" s="24"/>
    </row>
    <row r="5" spans="1:24" x14ac:dyDescent="0.25">
      <c r="A5" s="1" t="s">
        <v>23</v>
      </c>
      <c r="B5" s="8">
        <v>140</v>
      </c>
      <c r="C5" s="8">
        <v>200</v>
      </c>
      <c r="D5" s="9">
        <f>2*0.4</f>
        <v>0.8</v>
      </c>
      <c r="E5" s="10">
        <f t="shared" si="0"/>
        <v>12700</v>
      </c>
      <c r="F5" s="11">
        <f t="shared" si="1"/>
        <v>10000</v>
      </c>
      <c r="G5" s="12">
        <v>12500</v>
      </c>
      <c r="H5" s="13">
        <f t="shared" si="2"/>
        <v>8750</v>
      </c>
      <c r="J5" s="25">
        <f>B5/1000*0.004*0.432*7800</f>
        <v>1.8869760000000002</v>
      </c>
      <c r="K5" s="26">
        <f t="shared" si="3"/>
        <v>1416.6472320000003</v>
      </c>
      <c r="L5" s="27">
        <v>2</v>
      </c>
      <c r="M5" s="26">
        <f t="shared" si="4"/>
        <v>520</v>
      </c>
      <c r="N5" s="17">
        <v>17.5</v>
      </c>
      <c r="O5" s="26">
        <f t="shared" si="5"/>
        <v>1925</v>
      </c>
      <c r="P5" s="28">
        <f t="shared" si="6"/>
        <v>140</v>
      </c>
      <c r="Q5" s="29">
        <f t="shared" si="7"/>
        <v>100</v>
      </c>
      <c r="R5" s="29">
        <f t="shared" si="8"/>
        <v>320</v>
      </c>
      <c r="S5" s="30">
        <f t="shared" si="9"/>
        <v>4421.6472320000003</v>
      </c>
      <c r="T5" s="31">
        <f t="shared" si="10"/>
        <v>5527.0590400000001</v>
      </c>
      <c r="U5" s="32">
        <f t="shared" si="11"/>
        <v>6972.9409599999999</v>
      </c>
      <c r="V5" s="161"/>
      <c r="W5" s="23">
        <f t="shared" si="12"/>
        <v>5578.3527679999997</v>
      </c>
      <c r="X5" s="24"/>
    </row>
    <row r="6" spans="1:24" x14ac:dyDescent="0.25">
      <c r="A6" s="1" t="s">
        <v>24</v>
      </c>
      <c r="B6" s="8">
        <v>190</v>
      </c>
      <c r="C6" s="8">
        <v>250</v>
      </c>
      <c r="D6" s="9">
        <f>2.5*0.4</f>
        <v>1</v>
      </c>
      <c r="E6" s="10">
        <f t="shared" si="0"/>
        <v>16510</v>
      </c>
      <c r="F6" s="11">
        <f t="shared" si="1"/>
        <v>13000</v>
      </c>
      <c r="G6" s="12">
        <v>13000</v>
      </c>
      <c r="H6" s="13">
        <f t="shared" si="2"/>
        <v>9100</v>
      </c>
      <c r="J6" s="14">
        <f t="shared" ref="J6:J9" si="13">B6/1000*0.005*0.495*7800</f>
        <v>3.6679500000000003</v>
      </c>
      <c r="K6" s="15">
        <f t="shared" si="3"/>
        <v>2753.7134625000003</v>
      </c>
      <c r="L6" s="16">
        <v>3</v>
      </c>
      <c r="M6" s="15">
        <f t="shared" si="4"/>
        <v>780</v>
      </c>
      <c r="N6" s="17">
        <v>21.5</v>
      </c>
      <c r="O6" s="15">
        <f t="shared" si="5"/>
        <v>2365</v>
      </c>
      <c r="P6" s="18">
        <f t="shared" si="6"/>
        <v>190</v>
      </c>
      <c r="Q6" s="19">
        <f t="shared" si="7"/>
        <v>150</v>
      </c>
      <c r="R6" s="19">
        <f t="shared" si="8"/>
        <v>400</v>
      </c>
      <c r="S6" s="20">
        <f t="shared" si="9"/>
        <v>6638.7134624999999</v>
      </c>
      <c r="T6" s="21">
        <f t="shared" si="10"/>
        <v>6638.7134624999999</v>
      </c>
      <c r="U6" s="22">
        <f t="shared" si="11"/>
        <v>5861.2865375000001</v>
      </c>
      <c r="V6" s="161"/>
      <c r="W6" s="23">
        <f t="shared" si="12"/>
        <v>6361.2865375000001</v>
      </c>
      <c r="X6" s="24"/>
    </row>
    <row r="7" spans="1:24" x14ac:dyDescent="0.25">
      <c r="A7" s="1" t="s">
        <v>25</v>
      </c>
      <c r="B7" s="8">
        <v>240</v>
      </c>
      <c r="C7" s="8">
        <v>300</v>
      </c>
      <c r="D7" s="9">
        <f>3*0.4</f>
        <v>1.2000000000000002</v>
      </c>
      <c r="E7" s="10">
        <f t="shared" si="0"/>
        <v>19812.000000000004</v>
      </c>
      <c r="F7" s="11">
        <f t="shared" si="1"/>
        <v>15600.000000000002</v>
      </c>
      <c r="G7" s="12">
        <v>13000</v>
      </c>
      <c r="H7" s="13">
        <f t="shared" si="2"/>
        <v>9100</v>
      </c>
      <c r="J7" s="14">
        <f t="shared" si="13"/>
        <v>4.6331999999999995</v>
      </c>
      <c r="K7" s="15">
        <f t="shared" si="3"/>
        <v>3478.3748999999998</v>
      </c>
      <c r="L7" s="16">
        <v>3</v>
      </c>
      <c r="M7" s="15">
        <f t="shared" si="4"/>
        <v>780</v>
      </c>
      <c r="N7" s="17">
        <v>25.5</v>
      </c>
      <c r="O7" s="15">
        <f t="shared" si="5"/>
        <v>2805</v>
      </c>
      <c r="P7" s="18">
        <f t="shared" si="6"/>
        <v>240</v>
      </c>
      <c r="Q7" s="19">
        <f t="shared" si="7"/>
        <v>150</v>
      </c>
      <c r="R7" s="19">
        <f t="shared" si="8"/>
        <v>480.00000000000006</v>
      </c>
      <c r="S7" s="20">
        <f t="shared" si="9"/>
        <v>7933.3748999999998</v>
      </c>
      <c r="T7" s="21">
        <f t="shared" si="10"/>
        <v>6611.1457499999988</v>
      </c>
      <c r="U7" s="22">
        <f t="shared" si="11"/>
        <v>5888.8542500000012</v>
      </c>
      <c r="V7" s="161"/>
      <c r="W7" s="23">
        <f t="shared" si="12"/>
        <v>7666.625100000002</v>
      </c>
      <c r="X7" s="24"/>
    </row>
    <row r="8" spans="1:24" x14ac:dyDescent="0.25">
      <c r="A8" s="1" t="s">
        <v>26</v>
      </c>
      <c r="B8" s="8">
        <v>290</v>
      </c>
      <c r="C8" s="8">
        <v>350</v>
      </c>
      <c r="D8" s="9">
        <f>3.5*0.4</f>
        <v>1.4000000000000001</v>
      </c>
      <c r="E8" s="10">
        <f t="shared" si="0"/>
        <v>23114</v>
      </c>
      <c r="F8" s="11">
        <f t="shared" si="1"/>
        <v>18200</v>
      </c>
      <c r="G8" s="12">
        <v>13000</v>
      </c>
      <c r="H8" s="13">
        <f t="shared" si="2"/>
        <v>9100</v>
      </c>
      <c r="J8" s="14">
        <f t="shared" si="13"/>
        <v>5.5984499999999997</v>
      </c>
      <c r="K8" s="15">
        <f t="shared" si="3"/>
        <v>4203.0363374999997</v>
      </c>
      <c r="L8" s="16">
        <v>4</v>
      </c>
      <c r="M8" s="15">
        <f t="shared" si="4"/>
        <v>1040</v>
      </c>
      <c r="N8" s="17">
        <v>29.5</v>
      </c>
      <c r="O8" s="15">
        <f t="shared" si="5"/>
        <v>3245</v>
      </c>
      <c r="P8" s="18">
        <f t="shared" si="6"/>
        <v>290</v>
      </c>
      <c r="Q8" s="19">
        <f t="shared" si="7"/>
        <v>200</v>
      </c>
      <c r="R8" s="19">
        <f t="shared" si="8"/>
        <v>560</v>
      </c>
      <c r="S8" s="20">
        <f t="shared" si="9"/>
        <v>9538.0363374999997</v>
      </c>
      <c r="T8" s="21">
        <f t="shared" si="10"/>
        <v>6812.8830982142845</v>
      </c>
      <c r="U8" s="22">
        <f t="shared" si="11"/>
        <v>5687.1169017857155</v>
      </c>
      <c r="V8" s="161"/>
      <c r="W8" s="23">
        <f t="shared" si="12"/>
        <v>8661.9636625000003</v>
      </c>
      <c r="X8" s="24"/>
    </row>
    <row r="9" spans="1:24" x14ac:dyDescent="0.25">
      <c r="A9" s="1" t="s">
        <v>27</v>
      </c>
      <c r="B9" s="8">
        <v>340</v>
      </c>
      <c r="C9" s="8">
        <v>400</v>
      </c>
      <c r="D9" s="9">
        <f>4*0.4</f>
        <v>1.6</v>
      </c>
      <c r="E9" s="10">
        <f t="shared" si="0"/>
        <v>26416</v>
      </c>
      <c r="F9" s="11">
        <f t="shared" si="1"/>
        <v>20800</v>
      </c>
      <c r="G9" s="12">
        <v>13000</v>
      </c>
      <c r="H9" s="13">
        <f t="shared" si="2"/>
        <v>9100</v>
      </c>
      <c r="J9" s="14">
        <f t="shared" si="13"/>
        <v>6.5636999999999999</v>
      </c>
      <c r="K9" s="15">
        <f t="shared" si="3"/>
        <v>4927.6977749999996</v>
      </c>
      <c r="L9" s="16">
        <v>4</v>
      </c>
      <c r="M9" s="15">
        <f t="shared" si="4"/>
        <v>1040</v>
      </c>
      <c r="N9" s="17">
        <v>33.5</v>
      </c>
      <c r="O9" s="15">
        <f t="shared" si="5"/>
        <v>3685</v>
      </c>
      <c r="P9" s="18">
        <f t="shared" si="6"/>
        <v>340</v>
      </c>
      <c r="Q9" s="19">
        <f t="shared" si="7"/>
        <v>200</v>
      </c>
      <c r="R9" s="19">
        <f t="shared" si="8"/>
        <v>640</v>
      </c>
      <c r="S9" s="20">
        <f t="shared" si="9"/>
        <v>10832.697775000001</v>
      </c>
      <c r="T9" s="21">
        <f t="shared" si="10"/>
        <v>6770.4361093750003</v>
      </c>
      <c r="U9" s="22">
        <f t="shared" si="11"/>
        <v>5729.5638906249997</v>
      </c>
      <c r="V9" s="161"/>
      <c r="W9" s="23">
        <f t="shared" si="12"/>
        <v>9967.3022249999995</v>
      </c>
      <c r="X9" s="24"/>
    </row>
    <row r="10" spans="1:24" x14ac:dyDescent="0.25">
      <c r="A10" s="1"/>
      <c r="N10" s="33"/>
      <c r="O10" s="33"/>
      <c r="V10" s="161"/>
      <c r="X10" s="34"/>
    </row>
    <row r="11" spans="1:24" x14ac:dyDescent="0.25">
      <c r="A11" s="1"/>
      <c r="H11" s="22"/>
      <c r="L11" s="35">
        <f>1950*385/1000</f>
        <v>750.75</v>
      </c>
      <c r="R11" s="36">
        <v>44501</v>
      </c>
      <c r="S11" s="37" t="s">
        <v>28</v>
      </c>
      <c r="T11" s="38">
        <f>AVERAGE(T3:T9)</f>
        <v>6323.8494265603731</v>
      </c>
      <c r="U11" s="22">
        <f>T15-T11</f>
        <v>6176.1505734396269</v>
      </c>
      <c r="V11" s="161"/>
    </row>
    <row r="12" spans="1:24" x14ac:dyDescent="0.25">
      <c r="A12" s="1"/>
      <c r="L12" s="39">
        <v>260</v>
      </c>
      <c r="S12" s="40" t="s">
        <v>29</v>
      </c>
      <c r="T12" s="38">
        <f>T11*(1+L17)</f>
        <v>6640.0418978883918</v>
      </c>
      <c r="U12" s="22">
        <f>T15-T12</f>
        <v>5859.9581021116082</v>
      </c>
      <c r="V12" s="161"/>
      <c r="W12" s="22"/>
      <c r="X12" s="22"/>
    </row>
    <row r="13" spans="1:24" x14ac:dyDescent="0.25">
      <c r="A13" s="1"/>
      <c r="L13" s="41">
        <v>110</v>
      </c>
      <c r="S13" s="42" t="s">
        <v>30</v>
      </c>
      <c r="T13" s="43">
        <f>T12*L18+T12</f>
        <v>9960.0628468325885</v>
      </c>
      <c r="U13" s="22">
        <f>T15-T13</f>
        <v>2539.9371531674115</v>
      </c>
      <c r="V13" s="161"/>
    </row>
    <row r="14" spans="1:24" x14ac:dyDescent="0.25">
      <c r="A14" s="1"/>
      <c r="L14" s="44">
        <v>100</v>
      </c>
      <c r="S14" s="45" t="s">
        <v>31</v>
      </c>
      <c r="T14" s="38">
        <f t="shared" ref="T14:T15" si="14">G4</f>
        <v>12500</v>
      </c>
      <c r="V14" s="161"/>
      <c r="W14" s="40" t="s">
        <v>32</v>
      </c>
    </row>
    <row r="15" spans="1:24" x14ac:dyDescent="0.25">
      <c r="A15" s="1"/>
      <c r="L15" s="46">
        <v>50</v>
      </c>
      <c r="S15" s="45" t="s">
        <v>31</v>
      </c>
      <c r="T15" s="38">
        <f t="shared" si="14"/>
        <v>12500</v>
      </c>
      <c r="U15" s="22"/>
      <c r="V15" s="161"/>
    </row>
    <row r="16" spans="1:24" x14ac:dyDescent="0.25">
      <c r="A16" s="1"/>
      <c r="B16" s="45" t="s">
        <v>33</v>
      </c>
      <c r="C16" s="45">
        <v>16</v>
      </c>
      <c r="D16" s="45">
        <v>760</v>
      </c>
      <c r="E16" s="45" t="s">
        <v>34</v>
      </c>
      <c r="L16" s="47">
        <v>400</v>
      </c>
      <c r="V16" s="161"/>
    </row>
    <row r="17" spans="1:22" x14ac:dyDescent="0.25">
      <c r="A17" s="1"/>
      <c r="B17" s="45" t="s">
        <v>35</v>
      </c>
      <c r="C17" s="45">
        <v>16</v>
      </c>
      <c r="D17" s="45">
        <v>850</v>
      </c>
      <c r="E17" s="45" t="s">
        <v>36</v>
      </c>
      <c r="L17" s="48">
        <v>0.05</v>
      </c>
      <c r="V17" s="161"/>
    </row>
    <row r="18" spans="1:22" x14ac:dyDescent="0.25">
      <c r="A18" s="1"/>
      <c r="B18" s="1" t="s">
        <v>37</v>
      </c>
      <c r="C18" s="1">
        <v>17</v>
      </c>
      <c r="D18" s="1">
        <v>330</v>
      </c>
      <c r="E18" s="1" t="s">
        <v>34</v>
      </c>
      <c r="L18" s="48">
        <v>0.5</v>
      </c>
      <c r="Q18" s="22"/>
      <c r="S18" s="34"/>
      <c r="V18" s="161"/>
    </row>
    <row r="19" spans="1:22" x14ac:dyDescent="0.25">
      <c r="A19" s="1"/>
      <c r="B19" s="1" t="s">
        <v>35</v>
      </c>
      <c r="C19" s="1">
        <v>17</v>
      </c>
      <c r="D19" s="1">
        <v>920</v>
      </c>
      <c r="E19" s="1" t="s">
        <v>36</v>
      </c>
      <c r="L19" s="163" t="s">
        <v>38</v>
      </c>
      <c r="M19" s="164"/>
      <c r="N19" s="164"/>
      <c r="O19" s="164"/>
      <c r="P19" s="164"/>
      <c r="Q19" s="164"/>
      <c r="R19" s="164"/>
      <c r="S19" s="164"/>
      <c r="T19" s="164"/>
      <c r="U19" s="165"/>
      <c r="V19" s="162"/>
    </row>
    <row r="20" spans="1:22" x14ac:dyDescent="0.25">
      <c r="A20" s="1"/>
      <c r="G20" s="45" t="s">
        <v>1</v>
      </c>
      <c r="H20" s="45" t="s">
        <v>39</v>
      </c>
      <c r="I20" s="45" t="s">
        <v>3</v>
      </c>
      <c r="L20" s="49" t="s">
        <v>40</v>
      </c>
      <c r="M20" s="50" t="s">
        <v>41</v>
      </c>
      <c r="N20" s="50" t="s">
        <v>42</v>
      </c>
      <c r="O20" s="50"/>
      <c r="P20" s="50" t="s">
        <v>43</v>
      </c>
      <c r="Q20" s="50" t="s">
        <v>44</v>
      </c>
      <c r="R20" s="50" t="s">
        <v>45</v>
      </c>
      <c r="S20" s="50" t="s">
        <v>46</v>
      </c>
      <c r="T20" s="50" t="s">
        <v>47</v>
      </c>
      <c r="U20" s="51" t="s">
        <v>48</v>
      </c>
    </row>
    <row r="21" spans="1:22" ht="15.75" customHeight="1" x14ac:dyDescent="0.25">
      <c r="A21" s="1"/>
      <c r="B21" s="8">
        <v>100</v>
      </c>
      <c r="C21" s="8">
        <f t="shared" ref="C21:C27" si="15">B21+65</f>
        <v>165</v>
      </c>
      <c r="D21" s="52"/>
      <c r="E21" s="53">
        <v>13.5</v>
      </c>
      <c r="G21" s="54">
        <v>40</v>
      </c>
      <c r="H21" s="54">
        <v>100</v>
      </c>
      <c r="I21" s="55">
        <f t="shared" ref="I21:I27" si="16">G21/100*1</f>
        <v>0.4</v>
      </c>
      <c r="L21" s="56">
        <f t="shared" ref="L21:L27" si="17">E21*100-(B21*8)</f>
        <v>550</v>
      </c>
      <c r="M21" s="8">
        <f t="shared" ref="M21:M27" si="18">G21*8</f>
        <v>320</v>
      </c>
      <c r="N21" s="57">
        <f t="shared" ref="N21:N27" si="19">L21/100+M21/100</f>
        <v>8.6999999999999993</v>
      </c>
      <c r="O21" s="8">
        <f t="shared" ref="O21:O27" si="20">SUM(L21:M21)</f>
        <v>870</v>
      </c>
      <c r="P21" s="8">
        <f t="shared" ref="P21:P27" si="21">8*G21</f>
        <v>320</v>
      </c>
      <c r="Q21" s="8">
        <v>482</v>
      </c>
      <c r="R21" s="8">
        <v>120</v>
      </c>
      <c r="S21" s="8">
        <f t="shared" ref="S21:S27" si="22">Q21+R21+P21</f>
        <v>922</v>
      </c>
      <c r="T21" s="58">
        <f t="shared" ref="T21:T27" si="23">S21/100</f>
        <v>9.2200000000000006</v>
      </c>
      <c r="U21" s="59">
        <f>9.5</f>
        <v>9.5</v>
      </c>
    </row>
    <row r="22" spans="1:22" ht="15.75" customHeight="1" x14ac:dyDescent="0.25">
      <c r="A22" s="1"/>
      <c r="B22" s="8">
        <v>150</v>
      </c>
      <c r="C22" s="8">
        <f t="shared" si="15"/>
        <v>215</v>
      </c>
      <c r="D22" s="52"/>
      <c r="E22" s="60">
        <v>18</v>
      </c>
      <c r="F22" s="45">
        <v>8</v>
      </c>
      <c r="G22" s="54">
        <v>90</v>
      </c>
      <c r="H22" s="54">
        <v>150</v>
      </c>
      <c r="I22" s="55">
        <f t="shared" si="16"/>
        <v>0.9</v>
      </c>
      <c r="L22" s="56">
        <f t="shared" si="17"/>
        <v>600</v>
      </c>
      <c r="M22" s="8">
        <f t="shared" si="18"/>
        <v>720</v>
      </c>
      <c r="N22" s="57">
        <f t="shared" si="19"/>
        <v>13.2</v>
      </c>
      <c r="O22" s="8">
        <f t="shared" si="20"/>
        <v>1320</v>
      </c>
      <c r="P22" s="8">
        <f t="shared" si="21"/>
        <v>720</v>
      </c>
      <c r="Q22" s="8">
        <v>482</v>
      </c>
      <c r="R22" s="8">
        <v>120</v>
      </c>
      <c r="S22" s="8">
        <f t="shared" si="22"/>
        <v>1322</v>
      </c>
      <c r="T22" s="58">
        <f t="shared" si="23"/>
        <v>13.22</v>
      </c>
      <c r="U22" s="59">
        <v>13.5</v>
      </c>
    </row>
    <row r="23" spans="1:22" ht="15.75" customHeight="1" x14ac:dyDescent="0.25">
      <c r="A23" s="1"/>
      <c r="B23" s="61">
        <v>200</v>
      </c>
      <c r="C23" s="61">
        <f t="shared" si="15"/>
        <v>265</v>
      </c>
      <c r="D23" s="62"/>
      <c r="E23" s="63">
        <v>22</v>
      </c>
      <c r="F23" s="45">
        <v>8</v>
      </c>
      <c r="G23" s="54">
        <v>140</v>
      </c>
      <c r="H23" s="54">
        <v>200</v>
      </c>
      <c r="I23" s="55">
        <f t="shared" si="16"/>
        <v>1.4</v>
      </c>
      <c r="L23" s="56">
        <f t="shared" si="17"/>
        <v>600</v>
      </c>
      <c r="M23" s="8">
        <f t="shared" si="18"/>
        <v>1120</v>
      </c>
      <c r="N23" s="57">
        <f t="shared" si="19"/>
        <v>17.2</v>
      </c>
      <c r="O23" s="8">
        <f t="shared" si="20"/>
        <v>1720</v>
      </c>
      <c r="P23" s="8">
        <f t="shared" si="21"/>
        <v>1120</v>
      </c>
      <c r="Q23" s="8">
        <v>482</v>
      </c>
      <c r="R23" s="8">
        <v>120</v>
      </c>
      <c r="S23" s="8">
        <f t="shared" si="22"/>
        <v>1722</v>
      </c>
      <c r="T23" s="58">
        <f t="shared" si="23"/>
        <v>17.22</v>
      </c>
      <c r="U23" s="59">
        <v>17.5</v>
      </c>
    </row>
    <row r="24" spans="1:22" ht="15.75" customHeight="1" x14ac:dyDescent="0.25">
      <c r="A24" s="1"/>
      <c r="B24" s="8">
        <v>250</v>
      </c>
      <c r="C24" s="8">
        <f t="shared" si="15"/>
        <v>315</v>
      </c>
      <c r="D24" s="52"/>
      <c r="E24" s="60">
        <v>27</v>
      </c>
      <c r="F24" s="45">
        <v>16</v>
      </c>
      <c r="G24" s="54">
        <v>190</v>
      </c>
      <c r="H24" s="54">
        <v>250</v>
      </c>
      <c r="I24" s="55">
        <f t="shared" si="16"/>
        <v>1.9</v>
      </c>
      <c r="L24" s="56">
        <f t="shared" si="17"/>
        <v>700</v>
      </c>
      <c r="M24" s="8">
        <f t="shared" si="18"/>
        <v>1520</v>
      </c>
      <c r="N24" s="57">
        <f t="shared" si="19"/>
        <v>22.2</v>
      </c>
      <c r="O24" s="8">
        <f t="shared" si="20"/>
        <v>2220</v>
      </c>
      <c r="P24" s="8">
        <f t="shared" si="21"/>
        <v>1520</v>
      </c>
      <c r="Q24" s="8">
        <v>482</v>
      </c>
      <c r="R24" s="8">
        <v>120</v>
      </c>
      <c r="S24" s="8">
        <f t="shared" si="22"/>
        <v>2122</v>
      </c>
      <c r="T24" s="58">
        <f t="shared" si="23"/>
        <v>21.22</v>
      </c>
      <c r="U24" s="59">
        <v>21.5</v>
      </c>
    </row>
    <row r="25" spans="1:22" ht="15.75" customHeight="1" x14ac:dyDescent="0.25">
      <c r="A25" s="1"/>
      <c r="B25" s="8">
        <v>300</v>
      </c>
      <c r="C25" s="8">
        <f t="shared" si="15"/>
        <v>365</v>
      </c>
      <c r="D25" s="52"/>
      <c r="E25" s="60">
        <v>32</v>
      </c>
      <c r="F25" s="45">
        <v>16</v>
      </c>
      <c r="G25" s="54">
        <v>240</v>
      </c>
      <c r="H25" s="54">
        <v>300</v>
      </c>
      <c r="I25" s="55">
        <f t="shared" si="16"/>
        <v>2.4</v>
      </c>
      <c r="L25" s="56">
        <f t="shared" si="17"/>
        <v>800</v>
      </c>
      <c r="M25" s="8">
        <f t="shared" si="18"/>
        <v>1920</v>
      </c>
      <c r="N25" s="57">
        <f t="shared" si="19"/>
        <v>27.2</v>
      </c>
      <c r="O25" s="8">
        <f t="shared" si="20"/>
        <v>2720</v>
      </c>
      <c r="P25" s="8">
        <f t="shared" si="21"/>
        <v>1920</v>
      </c>
      <c r="Q25" s="8">
        <v>482</v>
      </c>
      <c r="R25" s="8">
        <v>120</v>
      </c>
      <c r="S25" s="8">
        <f t="shared" si="22"/>
        <v>2522</v>
      </c>
      <c r="T25" s="58">
        <f t="shared" si="23"/>
        <v>25.22</v>
      </c>
      <c r="U25" s="59">
        <v>25.5</v>
      </c>
    </row>
    <row r="26" spans="1:22" ht="15.75" customHeight="1" x14ac:dyDescent="0.25">
      <c r="A26" s="1"/>
      <c r="B26" s="8">
        <v>350</v>
      </c>
      <c r="C26" s="8">
        <f t="shared" si="15"/>
        <v>415</v>
      </c>
      <c r="D26" s="52"/>
      <c r="E26" s="60">
        <v>36</v>
      </c>
      <c r="F26" s="45">
        <v>24</v>
      </c>
      <c r="G26" s="54">
        <v>290</v>
      </c>
      <c r="H26" s="54">
        <v>350</v>
      </c>
      <c r="I26" s="55">
        <f t="shared" si="16"/>
        <v>2.9</v>
      </c>
      <c r="L26" s="56">
        <f t="shared" si="17"/>
        <v>800</v>
      </c>
      <c r="M26" s="8">
        <f t="shared" si="18"/>
        <v>2320</v>
      </c>
      <c r="N26" s="57">
        <f t="shared" si="19"/>
        <v>31.2</v>
      </c>
      <c r="O26" s="8">
        <f t="shared" si="20"/>
        <v>3120</v>
      </c>
      <c r="P26" s="8">
        <f t="shared" si="21"/>
        <v>2320</v>
      </c>
      <c r="Q26" s="8">
        <v>482</v>
      </c>
      <c r="R26" s="8">
        <v>120</v>
      </c>
      <c r="S26" s="8">
        <f t="shared" si="22"/>
        <v>2922</v>
      </c>
      <c r="T26" s="58">
        <f t="shared" si="23"/>
        <v>29.22</v>
      </c>
      <c r="U26" s="59">
        <v>29.5</v>
      </c>
    </row>
    <row r="27" spans="1:22" ht="15.75" customHeight="1" x14ac:dyDescent="0.25">
      <c r="A27" s="1"/>
      <c r="B27" s="8">
        <v>400</v>
      </c>
      <c r="C27" s="8">
        <f t="shared" si="15"/>
        <v>465</v>
      </c>
      <c r="D27" s="52"/>
      <c r="E27" s="60">
        <v>41</v>
      </c>
      <c r="F27" s="45">
        <v>24</v>
      </c>
      <c r="G27" s="54">
        <v>340</v>
      </c>
      <c r="H27" s="54">
        <v>400</v>
      </c>
      <c r="I27" s="55">
        <f t="shared" si="16"/>
        <v>3.4</v>
      </c>
      <c r="L27" s="64">
        <f t="shared" si="17"/>
        <v>900</v>
      </c>
      <c r="M27" s="65">
        <f t="shared" si="18"/>
        <v>2720</v>
      </c>
      <c r="N27" s="66">
        <f t="shared" si="19"/>
        <v>36.200000000000003</v>
      </c>
      <c r="O27" s="65">
        <f t="shared" si="20"/>
        <v>3620</v>
      </c>
      <c r="P27" s="65">
        <f t="shared" si="21"/>
        <v>2720</v>
      </c>
      <c r="Q27" s="65">
        <v>482</v>
      </c>
      <c r="R27" s="65">
        <v>120</v>
      </c>
      <c r="S27" s="65">
        <f t="shared" si="22"/>
        <v>3322</v>
      </c>
      <c r="T27" s="67">
        <f t="shared" si="23"/>
        <v>33.22</v>
      </c>
      <c r="U27" s="68">
        <v>33.5</v>
      </c>
    </row>
    <row r="28" spans="1:22" ht="15.75" customHeight="1" x14ac:dyDescent="0.25">
      <c r="A28" s="1"/>
    </row>
    <row r="29" spans="1:22" ht="15.75" customHeight="1" x14ac:dyDescent="0.25">
      <c r="A29" s="1"/>
    </row>
    <row r="30" spans="1:22" ht="15.75" customHeight="1" x14ac:dyDescent="0.25">
      <c r="A30" s="1"/>
    </row>
    <row r="31" spans="1:22" ht="15.75" customHeight="1" x14ac:dyDescent="0.25">
      <c r="A31" s="1"/>
    </row>
    <row r="32" spans="1:22" ht="15.75" customHeight="1" x14ac:dyDescent="0.25">
      <c r="A32" s="1"/>
    </row>
    <row r="33" spans="1:12" ht="15.75" customHeight="1" x14ac:dyDescent="0.25">
      <c r="A33" s="1"/>
    </row>
    <row r="34" spans="1:12" ht="15.75" customHeight="1" x14ac:dyDescent="0.25">
      <c r="A34" s="1"/>
      <c r="D34" s="1"/>
      <c r="E34" s="1"/>
      <c r="F34" s="1"/>
    </row>
    <row r="35" spans="1:12" ht="15.75" customHeight="1" x14ac:dyDescent="0.25">
      <c r="A35" s="1"/>
      <c r="D35" s="69"/>
      <c r="E35" s="69"/>
      <c r="F35" s="1"/>
    </row>
    <row r="36" spans="1:12" ht="15.75" customHeight="1" x14ac:dyDescent="0.25">
      <c r="A36" s="1"/>
      <c r="D36" s="69"/>
      <c r="E36" s="69"/>
      <c r="F36" s="1"/>
    </row>
    <row r="37" spans="1:12" ht="15.75" customHeight="1" x14ac:dyDescent="0.25">
      <c r="A37" s="1"/>
      <c r="D37" s="69"/>
      <c r="E37" s="69"/>
      <c r="F37" s="1"/>
    </row>
    <row r="38" spans="1:12" ht="15.75" customHeight="1" x14ac:dyDescent="0.25">
      <c r="A38" s="1"/>
      <c r="D38" s="69"/>
      <c r="E38" s="69"/>
      <c r="F38" s="1"/>
    </row>
    <row r="39" spans="1:12" ht="15.75" customHeight="1" x14ac:dyDescent="0.25">
      <c r="A39" s="1"/>
      <c r="D39" s="69"/>
      <c r="E39" s="69"/>
      <c r="F39" s="1"/>
    </row>
    <row r="40" spans="1:12" ht="15.75" customHeight="1" x14ac:dyDescent="0.25">
      <c r="A40" s="1"/>
      <c r="D40" s="69"/>
      <c r="E40" s="69"/>
      <c r="F40" s="1"/>
    </row>
    <row r="41" spans="1:12" ht="15.75" customHeight="1" x14ac:dyDescent="0.25">
      <c r="A41" s="1"/>
      <c r="D41" s="69"/>
      <c r="E41" s="69"/>
      <c r="F41" s="1"/>
    </row>
    <row r="42" spans="1:12" ht="15.75" customHeight="1" x14ac:dyDescent="0.25">
      <c r="A42" s="1"/>
      <c r="D42" s="1"/>
      <c r="E42" s="1"/>
      <c r="F42" s="1"/>
      <c r="L42" s="45">
        <f>11000*1.27</f>
        <v>13970</v>
      </c>
    </row>
    <row r="43" spans="1:12" ht="15.75" customHeight="1" x14ac:dyDescent="0.25">
      <c r="A43" s="1"/>
    </row>
    <row r="44" spans="1:12" ht="15.75" customHeight="1" x14ac:dyDescent="0.25">
      <c r="A44" s="1"/>
    </row>
    <row r="45" spans="1:12" ht="15.75" customHeight="1" x14ac:dyDescent="0.25">
      <c r="A45" s="1"/>
    </row>
    <row r="46" spans="1:12" ht="15.75" customHeight="1" x14ac:dyDescent="0.25">
      <c r="A46" s="1"/>
    </row>
    <row r="47" spans="1:12" ht="15.75" customHeight="1" x14ac:dyDescent="0.25">
      <c r="A47" s="1"/>
    </row>
    <row r="48" spans="1:12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mergeCells count="3">
    <mergeCell ref="E1:F1"/>
    <mergeCell ref="V3:V19"/>
    <mergeCell ref="L19:U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workbookViewId="0"/>
  </sheetViews>
  <sheetFormatPr defaultColWidth="14.42578125" defaultRowHeight="15" customHeight="1" x14ac:dyDescent="0.25"/>
  <cols>
    <col min="1" max="1" width="11.42578125" customWidth="1"/>
    <col min="2" max="2" width="11.28515625" customWidth="1"/>
    <col min="3" max="3" width="12.42578125" customWidth="1"/>
    <col min="4" max="4" width="14.85546875" customWidth="1"/>
    <col min="5" max="5" width="12.42578125" customWidth="1"/>
    <col min="6" max="6" width="27.5703125" customWidth="1"/>
    <col min="7" max="7" width="14.28515625" customWidth="1"/>
    <col min="8" max="8" width="15.140625" customWidth="1"/>
    <col min="9" max="9" width="11.42578125" customWidth="1"/>
    <col min="10" max="10" width="10.42578125" customWidth="1"/>
    <col min="11" max="11" width="31.28515625" customWidth="1"/>
    <col min="12" max="13" width="12.42578125" customWidth="1"/>
    <col min="14" max="14" width="26.5703125" customWidth="1"/>
    <col min="15" max="15" width="14.85546875" customWidth="1"/>
    <col min="16" max="16" width="12.42578125" customWidth="1"/>
    <col min="17" max="17" width="8.7109375" customWidth="1"/>
    <col min="18" max="18" width="7.140625" customWidth="1"/>
    <col min="19" max="19" width="7.28515625" customWidth="1"/>
    <col min="20" max="33" width="8.7109375" customWidth="1"/>
  </cols>
  <sheetData>
    <row r="1" spans="1:33" ht="15.75" thickBot="1" x14ac:dyDescent="0.3">
      <c r="G1" s="70"/>
      <c r="H1" s="145"/>
      <c r="I1" s="120"/>
      <c r="J1" s="70"/>
    </row>
    <row r="2" spans="1:33" ht="30.75" thickBot="1" x14ac:dyDescent="0.3">
      <c r="A2" s="71" t="s">
        <v>1</v>
      </c>
      <c r="B2" s="72" t="s">
        <v>2</v>
      </c>
      <c r="C2" s="72" t="s">
        <v>3</v>
      </c>
      <c r="D2" s="72" t="s">
        <v>49</v>
      </c>
      <c r="E2" s="150" t="s">
        <v>50</v>
      </c>
      <c r="F2" s="155" t="s">
        <v>12</v>
      </c>
      <c r="G2" s="152" t="s">
        <v>51</v>
      </c>
      <c r="H2" s="146"/>
      <c r="I2" s="73" t="s">
        <v>51</v>
      </c>
      <c r="J2" s="74" t="s">
        <v>52</v>
      </c>
      <c r="K2" s="75" t="s">
        <v>53</v>
      </c>
      <c r="L2" s="75" t="s">
        <v>54</v>
      </c>
      <c r="M2" s="75" t="s">
        <v>55</v>
      </c>
      <c r="N2" s="2" t="s">
        <v>56</v>
      </c>
      <c r="O2" s="2" t="s">
        <v>3</v>
      </c>
      <c r="AE2" s="1" t="s">
        <v>73</v>
      </c>
      <c r="AF2" s="1">
        <v>0</v>
      </c>
      <c r="AG2" s="1"/>
    </row>
    <row r="3" spans="1:33" x14ac:dyDescent="0.25">
      <c r="A3" s="76">
        <v>40</v>
      </c>
      <c r="B3" s="77">
        <v>100</v>
      </c>
      <c r="C3" s="78">
        <v>0.4</v>
      </c>
      <c r="D3" s="79">
        <f t="shared" ref="D3:D9" si="0">C3*$E$12</f>
        <v>24.28</v>
      </c>
      <c r="E3" s="151">
        <f t="shared" ref="E3:E9" si="1">C3*$E$13</f>
        <v>29.439999999999998</v>
      </c>
      <c r="F3" s="156">
        <f>9.5</f>
        <v>9.5</v>
      </c>
      <c r="G3" s="153" t="s">
        <v>21</v>
      </c>
      <c r="H3" s="147"/>
      <c r="I3" s="142" t="s">
        <v>21</v>
      </c>
      <c r="J3" s="80">
        <f t="shared" ref="J3:J9" si="2">SUM(H3:H3)</f>
        <v>0</v>
      </c>
      <c r="K3" s="81">
        <f t="shared" ref="K3:K9" si="3">D3*J3</f>
        <v>0</v>
      </c>
      <c r="L3" s="82">
        <f t="shared" ref="L3:L9" si="4">E3*J3</f>
        <v>0</v>
      </c>
      <c r="M3" s="24">
        <f>J3*Alap!E3</f>
        <v>0</v>
      </c>
      <c r="N3" s="83">
        <f t="shared" ref="N3:N9" si="5">F3*J3</f>
        <v>0</v>
      </c>
      <c r="O3" s="84">
        <f t="shared" ref="O3:O9" si="6">J3*C3</f>
        <v>0</v>
      </c>
      <c r="AE3" s="1" t="s">
        <v>74</v>
      </c>
      <c r="AF3" s="108">
        <v>32000</v>
      </c>
      <c r="AG3" s="1"/>
    </row>
    <row r="4" spans="1:33" x14ac:dyDescent="0.25">
      <c r="A4" s="85">
        <v>90</v>
      </c>
      <c r="B4" s="86">
        <v>150</v>
      </c>
      <c r="C4" s="87">
        <v>0.6</v>
      </c>
      <c r="D4" s="79">
        <f t="shared" si="0"/>
        <v>36.42</v>
      </c>
      <c r="E4" s="151">
        <f t="shared" si="1"/>
        <v>44.16</v>
      </c>
      <c r="F4" s="156">
        <v>13.5</v>
      </c>
      <c r="G4" s="154" t="s">
        <v>22</v>
      </c>
      <c r="H4" s="148"/>
      <c r="I4" s="143" t="s">
        <v>22</v>
      </c>
      <c r="J4" s="80">
        <f t="shared" si="2"/>
        <v>0</v>
      </c>
      <c r="K4" s="81">
        <f t="shared" si="3"/>
        <v>0</v>
      </c>
      <c r="L4" s="82">
        <f t="shared" si="4"/>
        <v>0</v>
      </c>
      <c r="M4" s="24">
        <f>J4*Alap!E4</f>
        <v>0</v>
      </c>
      <c r="N4" s="83">
        <f t="shared" si="5"/>
        <v>0</v>
      </c>
      <c r="O4" s="84">
        <f t="shared" si="6"/>
        <v>0</v>
      </c>
      <c r="AE4" s="1" t="s">
        <v>75</v>
      </c>
      <c r="AF4" s="108">
        <v>38000</v>
      </c>
      <c r="AG4" s="1"/>
    </row>
    <row r="5" spans="1:33" x14ac:dyDescent="0.25">
      <c r="A5" s="76">
        <v>140</v>
      </c>
      <c r="B5" s="77">
        <v>200</v>
      </c>
      <c r="C5" s="78">
        <v>0.8</v>
      </c>
      <c r="D5" s="79">
        <f t="shared" si="0"/>
        <v>48.56</v>
      </c>
      <c r="E5" s="151">
        <f t="shared" si="1"/>
        <v>58.879999999999995</v>
      </c>
      <c r="F5" s="156">
        <v>17.5</v>
      </c>
      <c r="G5" s="153" t="s">
        <v>23</v>
      </c>
      <c r="H5" s="147"/>
      <c r="I5" s="144" t="s">
        <v>23</v>
      </c>
      <c r="J5" s="80">
        <f t="shared" si="2"/>
        <v>0</v>
      </c>
      <c r="K5" s="81">
        <f t="shared" si="3"/>
        <v>0</v>
      </c>
      <c r="L5" s="82">
        <f t="shared" si="4"/>
        <v>0</v>
      </c>
      <c r="M5" s="24">
        <f>J5*Alap!E5</f>
        <v>0</v>
      </c>
      <c r="N5" s="83">
        <f t="shared" si="5"/>
        <v>0</v>
      </c>
      <c r="O5" s="84">
        <f t="shared" si="6"/>
        <v>0</v>
      </c>
      <c r="AE5" s="1" t="s">
        <v>76</v>
      </c>
      <c r="AF5" s="108">
        <v>42000</v>
      </c>
      <c r="AG5" s="1"/>
    </row>
    <row r="6" spans="1:33" x14ac:dyDescent="0.25">
      <c r="A6" s="85">
        <v>190</v>
      </c>
      <c r="B6" s="86">
        <v>250</v>
      </c>
      <c r="C6" s="87">
        <v>1</v>
      </c>
      <c r="D6" s="79">
        <f t="shared" si="0"/>
        <v>60.7</v>
      </c>
      <c r="E6" s="151">
        <f t="shared" si="1"/>
        <v>73.599999999999994</v>
      </c>
      <c r="F6" s="156">
        <v>21.5</v>
      </c>
      <c r="G6" s="154" t="s">
        <v>24</v>
      </c>
      <c r="H6" s="148"/>
      <c r="I6" s="143" t="s">
        <v>24</v>
      </c>
      <c r="J6" s="80">
        <f t="shared" si="2"/>
        <v>0</v>
      </c>
      <c r="K6" s="81">
        <f t="shared" si="3"/>
        <v>0</v>
      </c>
      <c r="L6" s="82">
        <f t="shared" si="4"/>
        <v>0</v>
      </c>
      <c r="M6" s="24">
        <f>J6*Alap!E6</f>
        <v>0</v>
      </c>
      <c r="N6" s="83">
        <f t="shared" si="5"/>
        <v>0</v>
      </c>
      <c r="O6" s="84">
        <f t="shared" si="6"/>
        <v>0</v>
      </c>
      <c r="AE6" s="1" t="s">
        <v>77</v>
      </c>
      <c r="AF6" s="108">
        <v>48000</v>
      </c>
      <c r="AG6" s="1"/>
    </row>
    <row r="7" spans="1:33" x14ac:dyDescent="0.25">
      <c r="A7" s="76">
        <v>240</v>
      </c>
      <c r="B7" s="77">
        <v>300</v>
      </c>
      <c r="C7" s="78">
        <v>1.2</v>
      </c>
      <c r="D7" s="79">
        <f t="shared" si="0"/>
        <v>72.84</v>
      </c>
      <c r="E7" s="151">
        <f t="shared" si="1"/>
        <v>88.32</v>
      </c>
      <c r="F7" s="156">
        <v>25.5</v>
      </c>
      <c r="G7" s="153" t="s">
        <v>25</v>
      </c>
      <c r="H7" s="147"/>
      <c r="I7" s="144" t="s">
        <v>25</v>
      </c>
      <c r="J7" s="80">
        <f t="shared" si="2"/>
        <v>0</v>
      </c>
      <c r="K7" s="81">
        <f t="shared" si="3"/>
        <v>0</v>
      </c>
      <c r="L7" s="82">
        <f t="shared" si="4"/>
        <v>0</v>
      </c>
      <c r="M7" s="24">
        <f>J7*Alap!E7</f>
        <v>0</v>
      </c>
      <c r="N7" s="83">
        <f t="shared" si="5"/>
        <v>0</v>
      </c>
      <c r="O7" s="84">
        <f t="shared" si="6"/>
        <v>0</v>
      </c>
      <c r="AE7" s="1" t="s">
        <v>78</v>
      </c>
      <c r="AF7" s="108">
        <v>55000</v>
      </c>
      <c r="AG7" s="1"/>
    </row>
    <row r="8" spans="1:33" x14ac:dyDescent="0.25">
      <c r="A8" s="85">
        <v>290</v>
      </c>
      <c r="B8" s="86">
        <v>350</v>
      </c>
      <c r="C8" s="87">
        <v>1.4</v>
      </c>
      <c r="D8" s="79">
        <f t="shared" si="0"/>
        <v>84.98</v>
      </c>
      <c r="E8" s="151">
        <f t="shared" si="1"/>
        <v>103.03999999999999</v>
      </c>
      <c r="F8" s="156">
        <v>29.5</v>
      </c>
      <c r="G8" s="154" t="s">
        <v>26</v>
      </c>
      <c r="H8" s="148"/>
      <c r="I8" s="143" t="s">
        <v>26</v>
      </c>
      <c r="J8" s="80">
        <f t="shared" si="2"/>
        <v>0</v>
      </c>
      <c r="K8" s="81">
        <f t="shared" si="3"/>
        <v>0</v>
      </c>
      <c r="L8" s="82">
        <f t="shared" si="4"/>
        <v>0</v>
      </c>
      <c r="M8" s="24">
        <f>J8*Alap!E8</f>
        <v>0</v>
      </c>
      <c r="N8" s="83">
        <f t="shared" si="5"/>
        <v>0</v>
      </c>
      <c r="O8" s="84">
        <f t="shared" si="6"/>
        <v>0</v>
      </c>
      <c r="AE8" s="1" t="s">
        <v>79</v>
      </c>
      <c r="AF8" s="108">
        <v>65000</v>
      </c>
      <c r="AG8" s="1"/>
    </row>
    <row r="9" spans="1:33" ht="15.75" thickBot="1" x14ac:dyDescent="0.3">
      <c r="A9" s="76">
        <v>340</v>
      </c>
      <c r="B9" s="77">
        <v>400</v>
      </c>
      <c r="C9" s="78">
        <v>1.6</v>
      </c>
      <c r="D9" s="79">
        <f t="shared" si="0"/>
        <v>97.12</v>
      </c>
      <c r="E9" s="151">
        <f t="shared" si="1"/>
        <v>117.75999999999999</v>
      </c>
      <c r="F9" s="157">
        <v>33.5</v>
      </c>
      <c r="G9" s="153" t="s">
        <v>27</v>
      </c>
      <c r="H9" s="149"/>
      <c r="I9" s="144" t="s">
        <v>27</v>
      </c>
      <c r="J9" s="80">
        <f t="shared" si="2"/>
        <v>0</v>
      </c>
      <c r="K9" s="81">
        <f t="shared" si="3"/>
        <v>0</v>
      </c>
      <c r="L9" s="82">
        <f t="shared" si="4"/>
        <v>0</v>
      </c>
      <c r="M9" s="24">
        <f>J9*Alap!E9</f>
        <v>0</v>
      </c>
      <c r="N9" s="83">
        <f t="shared" si="5"/>
        <v>0</v>
      </c>
      <c r="O9" s="84">
        <f t="shared" si="6"/>
        <v>0</v>
      </c>
      <c r="AE9" s="1" t="s">
        <v>80</v>
      </c>
      <c r="AF9" s="108">
        <v>72000</v>
      </c>
      <c r="AG9" s="1"/>
    </row>
    <row r="10" spans="1:33" x14ac:dyDescent="0.25">
      <c r="F10" s="6"/>
      <c r="G10" s="70"/>
      <c r="I10" s="1"/>
      <c r="J10" s="1"/>
      <c r="K10" s="1"/>
      <c r="L10" s="1"/>
      <c r="M10" s="1"/>
      <c r="N10" s="1"/>
      <c r="O10" s="1"/>
      <c r="AE10" s="1" t="s">
        <v>81</v>
      </c>
      <c r="AF10" s="108">
        <v>80000</v>
      </c>
      <c r="AG10" s="1"/>
    </row>
    <row r="11" spans="1:33" x14ac:dyDescent="0.25">
      <c r="D11" s="70" t="s">
        <v>57</v>
      </c>
      <c r="G11" s="70"/>
      <c r="J11" s="88">
        <f t="shared" ref="J11:O11" si="7">SUM(J3:J9)</f>
        <v>0</v>
      </c>
      <c r="K11" s="89">
        <f t="shared" si="7"/>
        <v>0</v>
      </c>
      <c r="L11" s="90">
        <f t="shared" si="7"/>
        <v>0</v>
      </c>
      <c r="M11" s="91">
        <f t="shared" si="7"/>
        <v>0</v>
      </c>
      <c r="N11" s="83">
        <f t="shared" si="7"/>
        <v>0</v>
      </c>
      <c r="O11" s="92">
        <f t="shared" si="7"/>
        <v>0</v>
      </c>
      <c r="AE11" s="1" t="s">
        <v>82</v>
      </c>
      <c r="AF11" s="108">
        <v>88000</v>
      </c>
      <c r="AG11" s="1"/>
    </row>
    <row r="12" spans="1:33" x14ac:dyDescent="0.25">
      <c r="B12" s="93">
        <v>26</v>
      </c>
      <c r="C12" s="94" t="s">
        <v>49</v>
      </c>
      <c r="D12" s="7" t="s">
        <v>58</v>
      </c>
      <c r="E12" s="95">
        <v>60.7</v>
      </c>
      <c r="G12" s="70"/>
      <c r="H12" s="96">
        <f t="shared" ref="H12" si="8">H3*$D$3+H4*$D$4+H5*$D$5+H6*$D$6+H7*$D$7+H8*$D$8+H9*$D$9</f>
        <v>0</v>
      </c>
      <c r="AE12" s="1" t="s">
        <v>83</v>
      </c>
      <c r="AF12" s="108">
        <v>94000</v>
      </c>
      <c r="AG12" s="1"/>
    </row>
    <row r="13" spans="1:33" x14ac:dyDescent="0.25">
      <c r="B13" s="93">
        <v>22</v>
      </c>
      <c r="C13" s="94" t="s">
        <v>50</v>
      </c>
      <c r="D13" s="7" t="s">
        <v>59</v>
      </c>
      <c r="E13" s="97">
        <v>73.599999999999994</v>
      </c>
      <c r="G13" s="70"/>
      <c r="H13" s="98">
        <f t="shared" ref="H13" si="9">H3*$E$3+H4*$E$4+H5*$E$5+H6*$E$6+H7*$E$7+H8*$E$8+H9*$E$9</f>
        <v>0</v>
      </c>
      <c r="J13" s="166" t="s">
        <v>60</v>
      </c>
      <c r="K13" s="99" t="s">
        <v>61</v>
      </c>
      <c r="L13" s="121">
        <f>SUM(P13:P24)</f>
        <v>0</v>
      </c>
      <c r="M13" s="122" t="s">
        <v>84</v>
      </c>
      <c r="N13" s="123" t="s">
        <v>62</v>
      </c>
      <c r="O13" s="124">
        <f>O11</f>
        <v>0</v>
      </c>
      <c r="P13" s="125">
        <f>M11</f>
        <v>0</v>
      </c>
      <c r="R13" s="100"/>
      <c r="AE13" s="1" t="s">
        <v>85</v>
      </c>
      <c r="AF13" s="108">
        <v>102000</v>
      </c>
      <c r="AG13" s="1"/>
    </row>
    <row r="14" spans="1:33" x14ac:dyDescent="0.25">
      <c r="G14" s="70" t="s">
        <v>63</v>
      </c>
      <c r="J14" s="167"/>
      <c r="K14" s="101" t="s">
        <v>64</v>
      </c>
      <c r="L14" s="126">
        <f>P23</f>
        <v>0</v>
      </c>
      <c r="M14" s="127" t="s">
        <v>84</v>
      </c>
      <c r="N14" s="168" t="s">
        <v>86</v>
      </c>
      <c r="O14" s="128">
        <f>J11*2-$G$15*2</f>
        <v>0</v>
      </c>
      <c r="P14" s="170">
        <f>(O14+O15)*1750</f>
        <v>0</v>
      </c>
      <c r="R14" s="100"/>
      <c r="AE14" s="1"/>
      <c r="AF14" s="1"/>
      <c r="AG14" s="1"/>
    </row>
    <row r="15" spans="1:33" x14ac:dyDescent="0.25">
      <c r="F15" s="102" t="s">
        <v>65</v>
      </c>
      <c r="G15" s="139">
        <f>SUM(H15:H15)</f>
        <v>0</v>
      </c>
      <c r="H15" s="140">
        <f t="shared" ref="H15" si="10">ROUNDUP((($F$3*H3+$F$4*H4+$F$5*H5+$F$6*H6+$F$7*H7+$F$8*H8+$F$9*H9)/130),0)</f>
        <v>0</v>
      </c>
      <c r="J15" s="103"/>
      <c r="K15" s="1"/>
      <c r="L15" s="1"/>
      <c r="M15" s="127" t="s">
        <v>84</v>
      </c>
      <c r="N15" s="169"/>
      <c r="O15" s="129">
        <f>J11*2-O14</f>
        <v>0</v>
      </c>
      <c r="P15" s="171"/>
      <c r="AE15" s="1"/>
      <c r="AF15" s="1"/>
      <c r="AG15" s="1"/>
    </row>
    <row r="16" spans="1:33" x14ac:dyDescent="0.25">
      <c r="F16" s="104" t="s">
        <v>66</v>
      </c>
      <c r="G16" s="105">
        <f>SUM(H16:H16)</f>
        <v>0</v>
      </c>
      <c r="H16" s="141">
        <f t="shared" ref="H16" si="11">$C$3*H3+$C$4*H4+$C$5*H5+$C$6*H6+$C$7*H7+$C$8*H8+$C$9*H9</f>
        <v>0</v>
      </c>
      <c r="J16" s="106"/>
      <c r="K16" s="107" t="s">
        <v>67</v>
      </c>
      <c r="L16" s="130">
        <f>SUM(L13:L14)</f>
        <v>0</v>
      </c>
      <c r="M16" s="127" t="s">
        <v>84</v>
      </c>
      <c r="N16" s="94" t="s">
        <v>68</v>
      </c>
      <c r="O16" s="94" t="s">
        <v>73</v>
      </c>
      <c r="P16" s="131">
        <f>VLOOKUP(O16,AE2:AF13,2,FALSE)</f>
        <v>0</v>
      </c>
      <c r="AE16" s="1"/>
      <c r="AF16" s="1"/>
      <c r="AG16" s="1"/>
    </row>
    <row r="17" spans="1:33" x14ac:dyDescent="0.25">
      <c r="A17" s="1"/>
      <c r="B17" s="1"/>
      <c r="C17" s="1"/>
      <c r="D17" s="1"/>
      <c r="E17" s="1"/>
      <c r="F17" s="1"/>
      <c r="G17" s="70"/>
      <c r="H17" s="1"/>
      <c r="I17" s="1"/>
      <c r="M17" s="127" t="s">
        <v>84</v>
      </c>
      <c r="N17" s="94" t="s">
        <v>68</v>
      </c>
      <c r="O17" s="109" t="s">
        <v>73</v>
      </c>
      <c r="P17" s="131">
        <f>VLOOKUP(O17,AE2:AF13,2,FALSE)</f>
        <v>0</v>
      </c>
      <c r="AE17" s="1"/>
      <c r="AF17" s="1" t="s">
        <v>73</v>
      </c>
      <c r="AG17" s="1">
        <v>0</v>
      </c>
    </row>
    <row r="18" spans="1:33" x14ac:dyDescent="0.25">
      <c r="A18" s="1"/>
      <c r="B18" s="1"/>
      <c r="C18" s="1"/>
      <c r="D18" s="1"/>
      <c r="E18" s="1"/>
      <c r="F18" s="108"/>
      <c r="G18" s="70"/>
      <c r="H18" s="1"/>
      <c r="I18" s="1"/>
      <c r="M18" s="127" t="s">
        <v>84</v>
      </c>
      <c r="N18" s="94" t="s">
        <v>69</v>
      </c>
      <c r="O18" s="60">
        <f>G15*20</f>
        <v>0</v>
      </c>
      <c r="P18" s="131">
        <f>$G$15*20*Alap!D16</f>
        <v>0</v>
      </c>
      <c r="AE18" s="1" t="s">
        <v>87</v>
      </c>
      <c r="AF18" s="1" t="s">
        <v>88</v>
      </c>
      <c r="AG18" s="108">
        <v>21717</v>
      </c>
    </row>
    <row r="19" spans="1:33" x14ac:dyDescent="0.25">
      <c r="A19" s="110"/>
      <c r="B19" s="110"/>
      <c r="C19" s="110"/>
      <c r="D19" s="110"/>
      <c r="E19" s="111"/>
      <c r="F19" s="1"/>
      <c r="G19" s="70"/>
      <c r="H19" s="1"/>
      <c r="I19" s="69"/>
      <c r="M19" s="127" t="s">
        <v>84</v>
      </c>
      <c r="N19" s="94" t="s">
        <v>70</v>
      </c>
      <c r="O19" s="16">
        <f>G15*2</f>
        <v>0</v>
      </c>
      <c r="P19" s="131">
        <f>$G$15*2*Alap!D17</f>
        <v>0</v>
      </c>
      <c r="AE19" s="1" t="s">
        <v>89</v>
      </c>
      <c r="AF19" s="1" t="s">
        <v>90</v>
      </c>
      <c r="AG19" s="108">
        <v>23503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112"/>
      <c r="K20" s="112"/>
      <c r="M20" s="127" t="s">
        <v>84</v>
      </c>
      <c r="N20" s="94" t="s">
        <v>91</v>
      </c>
      <c r="O20" s="132" t="s">
        <v>73</v>
      </c>
      <c r="P20" s="131">
        <f>VLOOKUP(O20,AF17:AG27,2,FALSE)</f>
        <v>0</v>
      </c>
      <c r="AE20" s="1" t="s">
        <v>92</v>
      </c>
      <c r="AF20" s="1" t="s">
        <v>93</v>
      </c>
      <c r="AG20" s="108">
        <v>26181</v>
      </c>
    </row>
    <row r="21" spans="1:33" ht="15.75" customHeight="1" x14ac:dyDescent="0.25">
      <c r="A21" s="6"/>
      <c r="B21" s="6"/>
      <c r="C21" s="6"/>
      <c r="D21" s="6"/>
      <c r="E21" s="6"/>
      <c r="F21" s="6"/>
      <c r="G21" s="6"/>
      <c r="H21" s="6"/>
      <c r="I21" s="112"/>
      <c r="K21" s="112"/>
      <c r="M21" s="127" t="s">
        <v>84</v>
      </c>
      <c r="N21" s="94" t="s">
        <v>91</v>
      </c>
      <c r="O21" s="132" t="s">
        <v>73</v>
      </c>
      <c r="P21" s="131">
        <f>VLOOKUP(O21,AF17:AG27,2,FALSE)</f>
        <v>0</v>
      </c>
      <c r="AE21" s="1" t="s">
        <v>94</v>
      </c>
      <c r="AF21" s="1" t="s">
        <v>95</v>
      </c>
      <c r="AG21" s="108">
        <v>27918</v>
      </c>
    </row>
    <row r="22" spans="1:33" ht="15.75" customHeight="1" x14ac:dyDescent="0.25">
      <c r="A22" s="6"/>
      <c r="B22" s="6"/>
      <c r="C22" s="6"/>
      <c r="D22" s="6"/>
      <c r="E22" s="6"/>
      <c r="F22" s="6"/>
      <c r="G22" s="6"/>
      <c r="H22" s="6"/>
      <c r="I22" s="113"/>
      <c r="K22" s="112"/>
      <c r="M22" s="127"/>
      <c r="N22" s="94"/>
      <c r="O22" s="94"/>
      <c r="P22" s="131"/>
      <c r="AE22" s="1" t="s">
        <v>96</v>
      </c>
      <c r="AF22" s="1" t="s">
        <v>97</v>
      </c>
      <c r="AG22" s="108">
        <v>29566</v>
      </c>
    </row>
    <row r="23" spans="1:33" ht="15.75" customHeight="1" x14ac:dyDescent="0.25">
      <c r="A23" s="6"/>
      <c r="B23" s="6"/>
      <c r="C23" s="6"/>
      <c r="D23" s="6"/>
      <c r="E23" s="6"/>
      <c r="F23" s="6"/>
      <c r="G23" s="6"/>
      <c r="H23" s="6"/>
      <c r="I23" s="1"/>
      <c r="J23" s="1"/>
      <c r="K23" s="1"/>
      <c r="M23" s="127"/>
      <c r="N23" s="94"/>
      <c r="O23" s="94"/>
      <c r="P23" s="131"/>
      <c r="AE23" s="1" t="s">
        <v>98</v>
      </c>
      <c r="AF23" s="1" t="s">
        <v>99</v>
      </c>
      <c r="AG23" s="108">
        <v>19881</v>
      </c>
    </row>
    <row r="24" spans="1:33" ht="15.75" customHeight="1" x14ac:dyDescent="0.25">
      <c r="A24" s="6"/>
      <c r="B24" s="6"/>
      <c r="C24" s="6"/>
      <c r="D24" s="6"/>
      <c r="E24" s="6"/>
      <c r="F24" s="6"/>
      <c r="G24" s="6"/>
      <c r="H24" s="6"/>
      <c r="I24" s="1"/>
      <c r="J24" s="100"/>
      <c r="M24" s="133"/>
      <c r="N24" s="134" t="s">
        <v>71</v>
      </c>
      <c r="O24" s="134"/>
      <c r="P24" s="135">
        <v>0</v>
      </c>
      <c r="AE24" s="1" t="s">
        <v>100</v>
      </c>
      <c r="AF24" s="1" t="s">
        <v>101</v>
      </c>
      <c r="AG24" s="108">
        <v>21576</v>
      </c>
    </row>
    <row r="25" spans="1:33" ht="15.75" customHeight="1" x14ac:dyDescent="0.25">
      <c r="A25" s="6"/>
      <c r="B25" s="6"/>
      <c r="C25" s="6"/>
      <c r="D25" s="6"/>
      <c r="E25" s="6"/>
      <c r="F25" s="6"/>
      <c r="G25" s="6"/>
      <c r="H25" s="6"/>
      <c r="I25" s="100"/>
      <c r="N25" s="108" t="s">
        <v>72</v>
      </c>
      <c r="P25" s="114">
        <f>SUM(P13:P23)</f>
        <v>0</v>
      </c>
      <c r="AE25" s="1" t="s">
        <v>102</v>
      </c>
      <c r="AF25" s="1" t="s">
        <v>103</v>
      </c>
      <c r="AG25" s="108">
        <v>24260</v>
      </c>
    </row>
    <row r="26" spans="1:33" ht="15.75" customHeight="1" x14ac:dyDescent="0.25">
      <c r="A26" s="6"/>
      <c r="B26" s="6"/>
      <c r="C26" s="6"/>
      <c r="D26" s="6"/>
      <c r="E26" s="6"/>
      <c r="F26" s="6"/>
      <c r="G26" s="6"/>
      <c r="H26" s="6"/>
      <c r="I26" s="100"/>
      <c r="L26" s="1"/>
      <c r="M26" s="1"/>
      <c r="AE26" s="1" t="s">
        <v>104</v>
      </c>
      <c r="AF26" s="1" t="s">
        <v>105</v>
      </c>
      <c r="AG26" s="108">
        <v>25633</v>
      </c>
    </row>
    <row r="27" spans="1:33" ht="15.75" customHeight="1" x14ac:dyDescent="0.25">
      <c r="A27" s="6"/>
      <c r="B27" s="6"/>
      <c r="C27" s="6"/>
      <c r="D27" s="6"/>
      <c r="E27" s="6"/>
      <c r="F27" s="6"/>
      <c r="G27" s="6"/>
      <c r="H27" s="6"/>
      <c r="I27" s="100"/>
      <c r="L27" s="115"/>
      <c r="M27" s="116"/>
      <c r="N27" s="117"/>
      <c r="O27" s="34"/>
      <c r="AE27" s="1" t="s">
        <v>106</v>
      </c>
      <c r="AF27" s="1" t="s">
        <v>107</v>
      </c>
      <c r="AG27" s="108">
        <v>27642</v>
      </c>
    </row>
    <row r="28" spans="1:33" ht="15.75" customHeight="1" x14ac:dyDescent="0.25">
      <c r="A28" s="6"/>
      <c r="B28" s="6"/>
      <c r="C28" s="6"/>
      <c r="D28" s="6"/>
      <c r="E28" s="6"/>
      <c r="F28" s="6"/>
      <c r="G28" s="6"/>
      <c r="H28" s="6"/>
      <c r="I28" s="100"/>
      <c r="L28" s="118"/>
      <c r="M28" s="1"/>
      <c r="N28" s="119"/>
      <c r="O28" s="34"/>
      <c r="AE28" s="1"/>
      <c r="AF28" s="1"/>
      <c r="AG28" s="108"/>
    </row>
    <row r="29" spans="1:33" ht="15.75" customHeight="1" x14ac:dyDescent="0.25">
      <c r="A29" s="6"/>
      <c r="B29" s="6"/>
      <c r="C29" s="6"/>
      <c r="D29" s="6"/>
      <c r="E29" s="6"/>
      <c r="F29" s="6"/>
      <c r="G29" s="6"/>
      <c r="H29" s="6"/>
      <c r="I29" s="100"/>
      <c r="L29" s="1"/>
      <c r="M29" s="1"/>
      <c r="N29" s="119"/>
      <c r="O29" s="34"/>
      <c r="P29" s="1"/>
      <c r="Q29" s="1"/>
      <c r="AE29" s="1"/>
      <c r="AF29" s="1"/>
      <c r="AG29" s="1"/>
    </row>
    <row r="30" spans="1:33" ht="15.75" customHeight="1" x14ac:dyDescent="0.25">
      <c r="A30" s="6"/>
      <c r="B30" s="6"/>
      <c r="C30" s="6"/>
      <c r="D30" s="6"/>
      <c r="E30" s="6"/>
      <c r="F30" s="6"/>
      <c r="G30" s="6"/>
      <c r="H30" s="6"/>
      <c r="I30" s="100"/>
      <c r="L30" s="1"/>
      <c r="M30" s="1"/>
      <c r="N30" s="1"/>
      <c r="O30" s="136"/>
      <c r="P30" s="1"/>
      <c r="Q30" s="1"/>
      <c r="AE30" s="1"/>
      <c r="AF30" s="1"/>
      <c r="AG30" s="1"/>
    </row>
    <row r="31" spans="1:33" ht="15.75" customHeight="1" x14ac:dyDescent="0.25">
      <c r="A31" s="6"/>
      <c r="B31" s="6"/>
      <c r="C31" s="6"/>
      <c r="D31" s="6"/>
      <c r="E31" s="6"/>
      <c r="F31" s="6"/>
      <c r="G31" s="6"/>
      <c r="H31" s="6"/>
      <c r="I31" s="100"/>
      <c r="L31" s="1"/>
      <c r="M31" s="1"/>
      <c r="N31" s="1"/>
      <c r="O31" s="137"/>
      <c r="P31" s="1"/>
      <c r="Q31" s="1"/>
      <c r="AE31" s="1"/>
      <c r="AF31" s="1" t="s">
        <v>73</v>
      </c>
      <c r="AG31" s="108">
        <v>0</v>
      </c>
    </row>
    <row r="32" spans="1:33" ht="15.75" customHeight="1" x14ac:dyDescent="0.25">
      <c r="A32" s="6"/>
      <c r="B32" s="6"/>
      <c r="C32" s="6"/>
      <c r="D32" s="6"/>
      <c r="E32" s="6"/>
      <c r="F32" s="6"/>
      <c r="G32" s="6"/>
      <c r="H32" s="6"/>
      <c r="I32" s="100"/>
      <c r="L32" s="1"/>
      <c r="M32" s="1"/>
      <c r="N32" s="1"/>
      <c r="O32" s="137"/>
      <c r="P32" s="1"/>
      <c r="Q32" s="1"/>
      <c r="AE32" s="1"/>
      <c r="AF32" s="1" t="s">
        <v>108</v>
      </c>
      <c r="AG32" s="138">
        <v>931860</v>
      </c>
    </row>
    <row r="33" spans="7:17" ht="15.75" customHeight="1" x14ac:dyDescent="0.25">
      <c r="G33" s="70"/>
      <c r="I33" s="100"/>
      <c r="L33" s="1"/>
      <c r="M33" s="1"/>
      <c r="N33" s="1"/>
      <c r="O33" s="1"/>
      <c r="P33" s="1"/>
      <c r="Q33" s="1"/>
    </row>
    <row r="34" spans="7:17" ht="15.75" customHeight="1" x14ac:dyDescent="0.25">
      <c r="N34" s="1"/>
      <c r="O34" s="108"/>
      <c r="P34" s="1"/>
      <c r="Q34" s="1"/>
    </row>
    <row r="35" spans="7:17" ht="15.75" customHeight="1" x14ac:dyDescent="0.25">
      <c r="M35" s="108"/>
      <c r="N35" s="1"/>
      <c r="O35" s="1"/>
      <c r="P35" s="1"/>
      <c r="Q35" s="1"/>
    </row>
    <row r="36" spans="7:17" ht="15.75" customHeight="1" x14ac:dyDescent="0.25">
      <c r="N36" s="1"/>
      <c r="O36" s="1"/>
      <c r="P36" s="1"/>
      <c r="Q36" s="1"/>
    </row>
    <row r="37" spans="7:17" ht="15.75" customHeight="1" x14ac:dyDescent="0.25">
      <c r="N37" s="1"/>
      <c r="O37" s="1"/>
      <c r="P37" s="1"/>
      <c r="Q37" s="1"/>
    </row>
    <row r="38" spans="7:17" ht="15.75" customHeight="1" x14ac:dyDescent="0.25">
      <c r="N38" s="1"/>
      <c r="O38" s="1"/>
      <c r="P38" s="1"/>
      <c r="Q38" s="1"/>
    </row>
    <row r="39" spans="7:17" ht="15.75" customHeight="1" x14ac:dyDescent="0.25">
      <c r="N39" s="1"/>
      <c r="O39" s="1"/>
      <c r="P39" s="1"/>
      <c r="Q39" s="1"/>
    </row>
    <row r="40" spans="7:17" ht="15.75" customHeight="1" x14ac:dyDescent="0.25">
      <c r="N40" s="1"/>
      <c r="O40" s="1"/>
      <c r="P40" s="1"/>
      <c r="Q40" s="1"/>
    </row>
    <row r="41" spans="7:17" ht="15.75" customHeight="1" x14ac:dyDescent="0.25">
      <c r="N41" s="1"/>
      <c r="O41" s="1"/>
      <c r="P41" s="1"/>
      <c r="Q41" s="1"/>
    </row>
    <row r="42" spans="7:17" ht="15.75" customHeight="1" x14ac:dyDescent="0.25">
      <c r="N42" s="1"/>
      <c r="O42" s="1"/>
      <c r="P42" s="1"/>
      <c r="Q42" s="1"/>
    </row>
    <row r="43" spans="7:17" ht="15.75" customHeight="1" x14ac:dyDescent="0.25">
      <c r="N43" s="1"/>
      <c r="O43" s="1"/>
      <c r="P43" s="1"/>
      <c r="Q43" s="1"/>
    </row>
    <row r="44" spans="7:17" ht="15.75" customHeight="1" x14ac:dyDescent="0.25"/>
    <row r="45" spans="7:17" ht="15.75" customHeight="1" x14ac:dyDescent="0.25"/>
    <row r="46" spans="7:17" ht="15.75" customHeight="1" x14ac:dyDescent="0.25"/>
    <row r="47" spans="7:17" ht="15.75" customHeight="1" x14ac:dyDescent="0.25"/>
    <row r="48" spans="7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J13:J14"/>
    <mergeCell ref="N14:N15"/>
    <mergeCell ref="P14:P15"/>
  </mergeCells>
  <dataValidations count="2">
    <dataValidation type="list" allowBlank="1" showErrorMessage="1" sqref="O20:O21">
      <formula1>$AF$17:$AF$27</formula1>
    </dataValidation>
    <dataValidation type="list" allowBlank="1" showErrorMessage="1" sqref="O16:O17">
      <formula1>$AE$2:$AE$13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Benedek</dc:creator>
  <cp:lastModifiedBy>Szalai István</cp:lastModifiedBy>
  <dcterms:created xsi:type="dcterms:W3CDTF">2023-02-13T11:01:24Z</dcterms:created>
  <dcterms:modified xsi:type="dcterms:W3CDTF">2025-02-19T20:34:28Z</dcterms:modified>
</cp:coreProperties>
</file>