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zala\Desktop\apparat-heating-planner\xlsx\"/>
    </mc:Choice>
  </mc:AlternateContent>
  <bookViews>
    <workbookView xWindow="0" yWindow="0" windowWidth="28800" windowHeight="14235" activeTab="1"/>
  </bookViews>
  <sheets>
    <sheet name="Munka2" sheetId="2" r:id="rId1"/>
    <sheet name="Munka1" sheetId="1" r:id="rId2"/>
  </sheets>
  <definedNames>
    <definedName name="alfa_belső">Munka1!$C$5</definedName>
    <definedName name="alfa_külső">Munka1!$C$6</definedName>
    <definedName name="Csőköz">Munka1!$C$9</definedName>
    <definedName name="Csőszám">Munka1!$C$10</definedName>
    <definedName name="D_cső_belső">Munka1!$C$7</definedName>
    <definedName name="D_cső_külső">Munka1!$C$8</definedName>
    <definedName name="delta_T">Munka1!$C$15</definedName>
    <definedName name="GK_vast">Munka1!$C$14</definedName>
    <definedName name="Hossz">Munka1!$C$11</definedName>
    <definedName name="lambda_acél">Munka1!$C$3</definedName>
    <definedName name="lambda_GK">Munka1!$C$4</definedName>
    <definedName name="lambda_PE">Munka1!$C$2</definedName>
    <definedName name="Lemezvastagság">Munka1!$C$13</definedName>
    <definedName name="Levegő_hőmérséklet">Munka1!$J$39</definedName>
    <definedName name="Szélesség">Munka1!$C$12</definedName>
    <definedName name="Víz_átlagos_hőmérséklet">Munka1!$J$42</definedName>
    <definedName name="Víz_bemenő_hőmérséklet">Munka1!$J$40</definedName>
    <definedName name="Víz_kimenő_hőmérséklet">Munka1!$J$41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1" l="1"/>
  <c r="J9" i="1" l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N5" i="2" l="1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R2" i="2"/>
  <c r="Q2" i="2"/>
  <c r="R1" i="2"/>
  <c r="O1" i="2" s="1"/>
  <c r="Q1" i="2"/>
  <c r="N6" i="2"/>
  <c r="R12" i="1" s="1"/>
  <c r="N4" i="2"/>
  <c r="AL64" i="1"/>
  <c r="AM64" i="1" s="1"/>
  <c r="AL63" i="1"/>
  <c r="AM63" i="1" s="1"/>
  <c r="AL62" i="1"/>
  <c r="AM62" i="1" s="1"/>
  <c r="AL61" i="1"/>
  <c r="AM61" i="1" s="1"/>
  <c r="AL60" i="1"/>
  <c r="AM60" i="1" s="1"/>
  <c r="AL59" i="1"/>
  <c r="AM59" i="1" s="1"/>
  <c r="AL58" i="1"/>
  <c r="AM58" i="1" s="1"/>
  <c r="AL57" i="1"/>
  <c r="AM57" i="1" s="1"/>
  <c r="AL56" i="1"/>
  <c r="AM56" i="1" s="1"/>
  <c r="AL55" i="1"/>
  <c r="AM55" i="1" s="1"/>
  <c r="AL54" i="1"/>
  <c r="AM54" i="1" s="1"/>
  <c r="AL53" i="1"/>
  <c r="AM53" i="1" s="1"/>
  <c r="AL52" i="1"/>
  <c r="AM52" i="1" s="1"/>
  <c r="AL51" i="1"/>
  <c r="AM51" i="1" s="1"/>
  <c r="AL50" i="1"/>
  <c r="AM50" i="1" s="1"/>
  <c r="AL49" i="1"/>
  <c r="AM49" i="1" s="1"/>
  <c r="AL48" i="1"/>
  <c r="AM48" i="1" s="1"/>
  <c r="AL47" i="1"/>
  <c r="AM47" i="1" s="1"/>
  <c r="AL46" i="1"/>
  <c r="AM46" i="1" s="1"/>
  <c r="AL45" i="1"/>
  <c r="AM45" i="1" s="1"/>
  <c r="AL44" i="1"/>
  <c r="AM44" i="1" s="1"/>
  <c r="AL43" i="1"/>
  <c r="AM43" i="1" s="1"/>
  <c r="AL42" i="1"/>
  <c r="AM42" i="1" s="1"/>
  <c r="AL41" i="1"/>
  <c r="AM41" i="1" s="1"/>
  <c r="AL40" i="1"/>
  <c r="AM40" i="1" s="1"/>
  <c r="AL39" i="1"/>
  <c r="AM39" i="1" s="1"/>
  <c r="AL38" i="1"/>
  <c r="AM38" i="1" s="1"/>
  <c r="AL37" i="1"/>
  <c r="AM37" i="1" s="1"/>
  <c r="AL36" i="1"/>
  <c r="AM36" i="1" s="1"/>
  <c r="AL35" i="1"/>
  <c r="AM35" i="1" s="1"/>
  <c r="AL34" i="1"/>
  <c r="AM34" i="1" s="1"/>
  <c r="AL33" i="1"/>
  <c r="AM33" i="1" s="1"/>
  <c r="Q12" i="1"/>
  <c r="Q13" i="1" s="1"/>
  <c r="J17" i="2"/>
  <c r="J16" i="2"/>
  <c r="J15" i="2"/>
  <c r="C14" i="1" s="1"/>
  <c r="J50" i="1" s="1"/>
  <c r="J14" i="2"/>
  <c r="J13" i="2"/>
  <c r="C12" i="1" s="1"/>
  <c r="J12" i="2"/>
  <c r="C11" i="1" s="1"/>
  <c r="J11" i="2"/>
  <c r="C10" i="1" s="1"/>
  <c r="J10" i="2"/>
  <c r="J9" i="2"/>
  <c r="C8" i="1" s="1"/>
  <c r="J8" i="2"/>
  <c r="C7" i="1" s="1"/>
  <c r="J7" i="2"/>
  <c r="J17" i="1" s="1"/>
  <c r="J6" i="2"/>
  <c r="J16" i="1" s="1"/>
  <c r="J5" i="2"/>
  <c r="C4" i="1" s="1"/>
  <c r="J4" i="2"/>
  <c r="C3" i="1" s="1"/>
  <c r="J3" i="2"/>
  <c r="C2" i="1" s="1"/>
  <c r="J55" i="1" l="1"/>
  <c r="J19" i="1" s="1"/>
  <c r="J54" i="1"/>
  <c r="J23" i="1" s="1"/>
  <c r="U3" i="2"/>
  <c r="U5" i="2" s="1"/>
  <c r="O2" i="2"/>
  <c r="J35" i="1"/>
  <c r="J31" i="1"/>
  <c r="U4" i="2" l="1"/>
  <c r="U6" i="2" s="1"/>
  <c r="J46" i="1"/>
  <c r="J21" i="1" s="1"/>
  <c r="J45" i="1"/>
  <c r="J51" i="1" s="1"/>
  <c r="J18" i="1" s="1"/>
  <c r="J48" i="1" l="1"/>
  <c r="J47" i="1"/>
  <c r="J52" i="1"/>
  <c r="AL6" i="1"/>
  <c r="AM6" i="1" s="1"/>
  <c r="AL7" i="1"/>
  <c r="AM7" i="1" s="1"/>
  <c r="AL8" i="1"/>
  <c r="AM8" i="1" s="1"/>
  <c r="AL9" i="1"/>
  <c r="AM9" i="1" s="1"/>
  <c r="AL10" i="1"/>
  <c r="AM10" i="1" s="1"/>
  <c r="AL11" i="1"/>
  <c r="AM11" i="1" s="1"/>
  <c r="AL12" i="1"/>
  <c r="AM12" i="1" s="1"/>
  <c r="AL13" i="1"/>
  <c r="AM13" i="1" s="1"/>
  <c r="AL14" i="1"/>
  <c r="AM14" i="1" s="1"/>
  <c r="AL15" i="1"/>
  <c r="AM15" i="1" s="1"/>
  <c r="AL16" i="1"/>
  <c r="AM16" i="1" s="1"/>
  <c r="AL17" i="1"/>
  <c r="AM17" i="1" s="1"/>
  <c r="AL18" i="1"/>
  <c r="AM18" i="1" s="1"/>
  <c r="AL19" i="1"/>
  <c r="AM19" i="1" s="1"/>
  <c r="AL20" i="1"/>
  <c r="AM20" i="1" s="1"/>
  <c r="AL21" i="1"/>
  <c r="AM21" i="1" s="1"/>
  <c r="AL22" i="1"/>
  <c r="AM22" i="1" s="1"/>
  <c r="AL23" i="1"/>
  <c r="AM23" i="1" s="1"/>
  <c r="AL24" i="1"/>
  <c r="AM24" i="1" s="1"/>
  <c r="AL25" i="1"/>
  <c r="AM25" i="1" s="1"/>
  <c r="AL26" i="1"/>
  <c r="AM26" i="1" s="1"/>
  <c r="AL27" i="1"/>
  <c r="AM27" i="1" s="1"/>
  <c r="AL28" i="1"/>
  <c r="AM28" i="1" s="1"/>
  <c r="AL29" i="1"/>
  <c r="AM29" i="1" s="1"/>
  <c r="AL30" i="1"/>
  <c r="AM30" i="1" s="1"/>
  <c r="AL31" i="1"/>
  <c r="AM31" i="1" s="1"/>
  <c r="AL32" i="1"/>
  <c r="AM32" i="1" s="1"/>
  <c r="AL5" i="1"/>
  <c r="AM5" i="1" s="1"/>
  <c r="Q11" i="1"/>
  <c r="J22" i="1" l="1"/>
  <c r="J25" i="1" s="1"/>
  <c r="J49" i="1"/>
  <c r="J8" i="1" s="1"/>
  <c r="J10" i="1" s="1"/>
  <c r="J53" i="1"/>
  <c r="Q8" i="1"/>
  <c r="J20" i="1" l="1"/>
  <c r="J26" i="1" s="1"/>
  <c r="J24" i="1"/>
  <c r="J40" i="1"/>
  <c r="J39" i="1"/>
  <c r="R13" i="1"/>
  <c r="J7" i="1" l="1"/>
  <c r="Q4" i="1"/>
  <c r="J41" i="1"/>
  <c r="Q5" i="1" l="1"/>
  <c r="J42" i="1"/>
  <c r="J4" i="1" s="1"/>
  <c r="J5" i="1" s="1"/>
  <c r="J6" i="1" s="1"/>
  <c r="J11" i="1" l="1"/>
  <c r="J12" i="1"/>
  <c r="J13" i="1" s="1"/>
  <c r="Q7" i="1" s="1"/>
  <c r="Q9" i="1" s="1"/>
</calcChain>
</file>

<file path=xl/sharedStrings.xml><?xml version="1.0" encoding="utf-8"?>
<sst xmlns="http://schemas.openxmlformats.org/spreadsheetml/2006/main" count="882" uniqueCount="381">
  <si>
    <t>[W/m K]</t>
  </si>
  <si>
    <t>[mm]</t>
  </si>
  <si>
    <t>Csőköz:</t>
  </si>
  <si>
    <t>Csőszám:</t>
  </si>
  <si>
    <t>[db]</t>
  </si>
  <si>
    <t>Hossz:</t>
  </si>
  <si>
    <t>Lemezvast.:</t>
  </si>
  <si>
    <t>[°C]</t>
  </si>
  <si>
    <r>
      <t>α</t>
    </r>
    <r>
      <rPr>
        <vertAlign val="subscript"/>
        <sz val="11"/>
        <color theme="1"/>
        <rFont val="Calibri"/>
        <family val="2"/>
        <charset val="238"/>
        <scheme val="minor"/>
      </rPr>
      <t>belső</t>
    </r>
    <r>
      <rPr>
        <sz val="11"/>
        <color theme="1"/>
        <rFont val="Calibri"/>
        <family val="2"/>
        <charset val="238"/>
        <scheme val="minor"/>
      </rPr>
      <t>=</t>
    </r>
  </si>
  <si>
    <r>
      <t>α</t>
    </r>
    <r>
      <rPr>
        <vertAlign val="subscript"/>
        <sz val="11"/>
        <color theme="1"/>
        <rFont val="Calibri"/>
        <family val="2"/>
        <charset val="238"/>
        <scheme val="minor"/>
      </rPr>
      <t>külső</t>
    </r>
    <r>
      <rPr>
        <sz val="11"/>
        <color theme="1"/>
        <rFont val="Calibri"/>
        <family val="2"/>
        <charset val="238"/>
        <scheme val="minor"/>
      </rPr>
      <t>=</t>
    </r>
  </si>
  <si>
    <r>
      <t xml:space="preserve">D </t>
    </r>
    <r>
      <rPr>
        <vertAlign val="subscript"/>
        <sz val="11"/>
        <color theme="1"/>
        <rFont val="Calibri"/>
        <family val="2"/>
        <charset val="238"/>
        <scheme val="minor"/>
      </rPr>
      <t>cső belső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</si>
  <si>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 xml:space="preserve">D </t>
    </r>
    <r>
      <rPr>
        <vertAlign val="subscript"/>
        <sz val="11"/>
        <color theme="1"/>
        <rFont val="Calibri"/>
        <family val="2"/>
        <charset val="238"/>
        <scheme val="minor"/>
      </rPr>
      <t>cső külső</t>
    </r>
    <r>
      <rPr>
        <sz val="11"/>
        <color theme="1"/>
        <rFont val="Calibri"/>
        <family val="2"/>
        <charset val="238"/>
        <scheme val="minor"/>
      </rPr>
      <t xml:space="preserve"> =</t>
    </r>
  </si>
  <si>
    <t>Belépő víz hőm. [°C]</t>
  </si>
  <si>
    <t>Levegő hőm. [°C]</t>
  </si>
  <si>
    <t>[W/m² K]</t>
  </si>
  <si>
    <r>
      <t>λ</t>
    </r>
    <r>
      <rPr>
        <vertAlign val="subscript"/>
        <sz val="11"/>
        <color theme="1"/>
        <rFont val="Calibri"/>
        <family val="2"/>
        <charset val="238"/>
        <scheme val="minor"/>
      </rPr>
      <t>PE</t>
    </r>
    <r>
      <rPr>
        <sz val="11"/>
        <color theme="1"/>
        <rFont val="Calibri"/>
        <family val="2"/>
        <charset val="238"/>
        <scheme val="minor"/>
      </rPr>
      <t>=</t>
    </r>
  </si>
  <si>
    <r>
      <t>λ</t>
    </r>
    <r>
      <rPr>
        <vertAlign val="subscript"/>
        <sz val="11"/>
        <color theme="1"/>
        <rFont val="Calibri"/>
        <family val="2"/>
        <charset val="238"/>
        <scheme val="minor"/>
      </rPr>
      <t>acél</t>
    </r>
    <r>
      <rPr>
        <sz val="11"/>
        <color theme="1"/>
        <rFont val="Calibri"/>
        <family val="2"/>
        <charset val="238"/>
        <scheme val="minor"/>
      </rPr>
      <t>=</t>
    </r>
  </si>
  <si>
    <r>
      <t>λ</t>
    </r>
    <r>
      <rPr>
        <vertAlign val="subscript"/>
        <sz val="11"/>
        <color theme="1"/>
        <rFont val="Calibri"/>
        <family val="2"/>
        <charset val="238"/>
        <scheme val="minor"/>
      </rPr>
      <t>gipszkarton</t>
    </r>
    <r>
      <rPr>
        <sz val="11"/>
        <color theme="1"/>
        <rFont val="Calibri"/>
        <family val="2"/>
        <charset val="238"/>
        <scheme val="minor"/>
      </rPr>
      <t>=</t>
    </r>
  </si>
  <si>
    <r>
      <t>D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>=</t>
    </r>
  </si>
  <si>
    <r>
      <t>D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=</t>
    </r>
  </si>
  <si>
    <r>
      <t>D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>=</t>
    </r>
  </si>
  <si>
    <t>Gipszk. vast.:</t>
  </si>
  <si>
    <t>Cső belső átmérő</t>
  </si>
  <si>
    <t>Cső külső átmérő</t>
  </si>
  <si>
    <t>Lemez ív külső átmérő</t>
  </si>
  <si>
    <r>
      <t>S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>=</t>
    </r>
  </si>
  <si>
    <r>
      <t>S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=</t>
    </r>
  </si>
  <si>
    <t>Cső falvastagság</t>
  </si>
  <si>
    <t>Lemez falvastagság</t>
  </si>
  <si>
    <r>
      <t>S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>=</t>
    </r>
  </si>
  <si>
    <t>Gipszkarton falvasagság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</si>
  <si>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>=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</si>
  <si>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=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</si>
  <si>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>=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</si>
  <si>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>=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</si>
  <si>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5</t>
    </r>
    <r>
      <rPr>
        <sz val="11"/>
        <color theme="1"/>
        <rFont val="Calibri"/>
        <family val="2"/>
        <charset val="238"/>
        <scheme val="minor"/>
      </rPr>
      <t>=</t>
    </r>
  </si>
  <si>
    <t>Lemez összes sík fűtőfelülete</t>
  </si>
  <si>
    <t>Befoglaló téglalap felülete</t>
  </si>
  <si>
    <t>2. Hőtani ellenállások</t>
  </si>
  <si>
    <r>
      <t>α</t>
    </r>
    <r>
      <rPr>
        <vertAlign val="subscript"/>
        <sz val="11"/>
        <color theme="1"/>
        <rFont val="Calibri"/>
        <family val="2"/>
        <charset val="238"/>
      </rPr>
      <t>b</t>
    </r>
    <r>
      <rPr>
        <sz val="11"/>
        <color theme="1"/>
        <rFont val="Calibri"/>
        <family val="2"/>
        <charset val="238"/>
      </rPr>
      <t>=</t>
    </r>
  </si>
  <si>
    <r>
      <t>α</t>
    </r>
    <r>
      <rPr>
        <vertAlign val="subscript"/>
        <sz val="11"/>
        <color theme="1"/>
        <rFont val="Calibri"/>
        <family val="2"/>
        <charset val="238"/>
      </rPr>
      <t>k</t>
    </r>
    <r>
      <rPr>
        <sz val="11"/>
        <color theme="1"/>
        <rFont val="Calibri"/>
        <family val="2"/>
        <charset val="238"/>
      </rPr>
      <t>=</t>
    </r>
  </si>
  <si>
    <t>Folyadék és csőfal közti hőátbocsátás</t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</si>
  <si>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b</t>
    </r>
    <r>
      <rPr>
        <sz val="11"/>
        <color theme="1"/>
        <rFont val="Calibri"/>
        <family val="2"/>
        <charset val="238"/>
        <scheme val="minor"/>
      </rPr>
      <t>=</t>
    </r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</si>
  <si>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k</t>
    </r>
    <r>
      <rPr>
        <sz val="11"/>
        <color theme="1"/>
        <rFont val="Calibri"/>
        <family val="2"/>
        <charset val="238"/>
        <scheme val="minor"/>
      </rPr>
      <t>=</t>
    </r>
  </si>
  <si>
    <t>Folyadék és csőfal közti fázishatár ellenállás</t>
  </si>
  <si>
    <t>Lemez ív külső felület és levegő közötti fázishatár ellenállás</t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</si>
  <si>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>=</t>
    </r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</si>
  <si>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=</t>
    </r>
  </si>
  <si>
    <t>Csőfalban való hővezetés ellenállása</t>
  </si>
  <si>
    <t>Lemezfalban való hővezetés ellenállása</t>
  </si>
  <si>
    <t xml:space="preserve">Megjegyzések a geometriai viszonyokhoz: 
 • A fűtőpanel felülete a hosszúság, csőszám és csőköz segítségével kerül kiszámításra, figyelembe véve, hogy a termék több kisebb blokkból, résekkel is készülhet. 
 • A befoglaló téglalap felülete egyben a termék által elfoglalt hely, gipszkarton hőleadó keresztmetszete, és a kiszámított teljesítmény ezzel az értékkel osztva lesz fajlagosítva. </t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</si>
  <si>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k</t>
    </r>
    <r>
      <rPr>
        <sz val="11"/>
        <color theme="1"/>
        <rFont val="Calibri"/>
        <family val="2"/>
        <charset val="238"/>
        <scheme val="minor"/>
      </rPr>
      <t>'=</t>
    </r>
  </si>
  <si>
    <t>Gipszkarton felület és levegő közötti fázishatár ellenállás</t>
  </si>
  <si>
    <t>Gipszkarton felület és levegő közti hőátbocsátás</t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</si>
  <si>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>=</t>
    </r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</si>
  <si>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b-f</t>
    </r>
    <r>
      <rPr>
        <sz val="11"/>
        <color theme="1"/>
        <rFont val="Calibri"/>
        <family val="2"/>
        <charset val="238"/>
        <scheme val="minor"/>
      </rPr>
      <t>=</t>
    </r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</si>
  <si>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b-k</t>
    </r>
    <r>
      <rPr>
        <sz val="11"/>
        <color theme="1"/>
        <rFont val="Calibri"/>
        <family val="2"/>
        <charset val="238"/>
        <scheme val="minor"/>
      </rPr>
      <t>=</t>
    </r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</si>
  <si>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b-k'</t>
    </r>
    <r>
      <rPr>
        <sz val="11"/>
        <color theme="1"/>
        <rFont val="Calibri"/>
        <family val="2"/>
        <charset val="238"/>
        <scheme val="minor"/>
      </rPr>
      <t>=</t>
    </r>
  </si>
  <si>
    <t>Hőellenállások soros összege folyadéktól lemezív külső felületig</t>
  </si>
  <si>
    <t>Hőellenállások soros összege folyadéktól lemezív külső felületével érintkező levegőig</t>
  </si>
  <si>
    <t>Megjegyzések a hőellenállások kiszámításához: 
 • Minden kiszámított ellenállás a rendszer "ismétlődő egységére" vonatkozik, tehát egy csőjárat, és mindkét oldalon 
[csőköz]/2 szélességű síklemez</t>
  </si>
  <si>
    <t>Min</t>
  </si>
  <si>
    <t>Max</t>
  </si>
  <si>
    <t>Levegő sor</t>
  </si>
  <si>
    <t>Víz sor</t>
  </si>
  <si>
    <t>index</t>
  </si>
  <si>
    <t>4. Hőmérséklet jellemzők</t>
  </si>
  <si>
    <t>3. Hőmérsékletadat iterátor</t>
  </si>
  <si>
    <r>
      <t>T</t>
    </r>
    <r>
      <rPr>
        <vertAlign val="subscript"/>
        <sz val="11"/>
        <color theme="1"/>
        <rFont val="Calibri"/>
        <family val="2"/>
        <charset val="238"/>
        <scheme val="minor"/>
      </rPr>
      <t>L</t>
    </r>
    <r>
      <rPr>
        <sz val="11"/>
        <color theme="1"/>
        <rFont val="Calibri"/>
        <family val="2"/>
        <charset val="238"/>
        <scheme val="minor"/>
      </rPr>
      <t>=</t>
    </r>
  </si>
  <si>
    <r>
      <t>T</t>
    </r>
    <r>
      <rPr>
        <vertAlign val="subscript"/>
        <sz val="11"/>
        <color theme="1"/>
        <rFont val="Calibri"/>
        <family val="2"/>
        <charset val="238"/>
        <scheme val="minor"/>
      </rPr>
      <t>v, be</t>
    </r>
    <r>
      <rPr>
        <sz val="11"/>
        <color theme="1"/>
        <rFont val="Calibri"/>
        <family val="2"/>
        <charset val="238"/>
        <scheme val="minor"/>
      </rPr>
      <t>=</t>
    </r>
  </si>
  <si>
    <r>
      <t>T</t>
    </r>
    <r>
      <rPr>
        <vertAlign val="subscript"/>
        <sz val="11"/>
        <color theme="1"/>
        <rFont val="Calibri"/>
        <family val="2"/>
        <charset val="238"/>
        <scheme val="minor"/>
      </rPr>
      <t>v, ki</t>
    </r>
    <r>
      <rPr>
        <sz val="11"/>
        <color theme="1"/>
        <rFont val="Calibri"/>
        <family val="2"/>
        <charset val="238"/>
        <scheme val="minor"/>
      </rPr>
      <t>=</t>
    </r>
  </si>
  <si>
    <r>
      <t>T</t>
    </r>
    <r>
      <rPr>
        <vertAlign val="subscript"/>
        <sz val="11"/>
        <color theme="1"/>
        <rFont val="Calibri"/>
        <family val="2"/>
        <charset val="238"/>
        <scheme val="minor"/>
      </rPr>
      <t>v, átl</t>
    </r>
    <r>
      <rPr>
        <sz val="11"/>
        <color theme="1"/>
        <rFont val="Calibri"/>
        <family val="2"/>
        <charset val="238"/>
        <scheme val="minor"/>
      </rPr>
      <t>=</t>
    </r>
  </si>
  <si>
    <t>Helyiség levegő hőmérséklete</t>
  </si>
  <si>
    <t>Bemenő folyadék hőmérséklete</t>
  </si>
  <si>
    <t>Kimenő folyadék hőmérséklete</t>
  </si>
  <si>
    <t>Folyadék átlaghőmérséklete</t>
  </si>
  <si>
    <t>Q=</t>
  </si>
  <si>
    <t>Hőáram, "egymágában álló", 1 db, fémréteggel borított műanyag hengerhéj esetén</t>
  </si>
  <si>
    <t>Hőmérséklet a csőív külső acélfelületén</t>
  </si>
  <si>
    <t>Bordatő hőmérséklete</t>
  </si>
  <si>
    <t>Levegő hőmérséklet</t>
  </si>
  <si>
    <t>m=</t>
  </si>
  <si>
    <t>H=</t>
  </si>
  <si>
    <t>Borda magassága</t>
  </si>
  <si>
    <t>η=</t>
  </si>
  <si>
    <t>Borda hatásfoka</t>
  </si>
  <si>
    <r>
      <t xml:space="preserve">t </t>
    </r>
    <r>
      <rPr>
        <vertAlign val="subscript"/>
        <sz val="11"/>
        <color theme="1"/>
        <rFont val="Calibri"/>
        <family val="2"/>
        <charset val="238"/>
        <scheme val="minor"/>
      </rPr>
      <t>f</t>
    </r>
    <r>
      <rPr>
        <sz val="11"/>
        <color theme="1"/>
        <rFont val="Calibri"/>
        <family val="2"/>
        <charset val="238"/>
        <scheme val="minor"/>
      </rPr>
      <t>=</t>
    </r>
  </si>
  <si>
    <r>
      <t xml:space="preserve">t </t>
    </r>
    <r>
      <rPr>
        <vertAlign val="subscript"/>
        <sz val="11"/>
        <color theme="1"/>
        <rFont val="Calibri"/>
        <family val="2"/>
        <charset val="238"/>
        <scheme val="minor"/>
      </rPr>
      <t>0</t>
    </r>
    <r>
      <rPr>
        <sz val="11"/>
        <color theme="1"/>
        <rFont val="Calibri"/>
        <family val="2"/>
        <charset val="238"/>
        <scheme val="minor"/>
      </rPr>
      <t>=</t>
    </r>
  </si>
  <si>
    <r>
      <t xml:space="preserve">t </t>
    </r>
    <r>
      <rPr>
        <vertAlign val="subscript"/>
        <sz val="11"/>
        <color theme="1"/>
        <rFont val="Calibri"/>
        <family val="2"/>
        <charset val="238"/>
        <scheme val="minor"/>
      </rPr>
      <t>L</t>
    </r>
    <r>
      <rPr>
        <sz val="11"/>
        <color theme="1"/>
        <rFont val="Calibri"/>
        <family val="2"/>
        <charset val="238"/>
        <scheme val="minor"/>
      </rPr>
      <t>=</t>
    </r>
  </si>
  <si>
    <r>
      <t xml:space="preserve">T </t>
    </r>
    <r>
      <rPr>
        <vertAlign val="subscript"/>
        <sz val="11"/>
        <color theme="1"/>
        <rFont val="Calibri"/>
        <family val="2"/>
        <charset val="238"/>
        <scheme val="minor"/>
      </rPr>
      <t>f</t>
    </r>
    <r>
      <rPr>
        <sz val="11"/>
        <color theme="1"/>
        <rFont val="Calibri"/>
        <family val="2"/>
        <charset val="238"/>
        <scheme val="minor"/>
      </rPr>
      <t>=</t>
    </r>
  </si>
  <si>
    <t>Lemez hőleadó felület hőmérsékletének felületen vett átlaga</t>
  </si>
  <si>
    <t>q=</t>
  </si>
  <si>
    <t>Q'=</t>
  </si>
  <si>
    <t xml:space="preserve">A számolást segítő blokk, az "index" sorokban látható értékek a számításhoz pillanatnyilag felhasznált hőmérséklet pár helyére mutatnak. </t>
  </si>
  <si>
    <t>A rendszer leadott hőárama</t>
  </si>
  <si>
    <t>Leadott hőáram felületegységre fajlagosítva</t>
  </si>
  <si>
    <t xml:space="preserve">A számítás a végtelen hosszú hengeres héj, a hűtőbordával ellátott test, és a síkfalban történő hőáramlás számítási modelljét implementálja. </t>
  </si>
  <si>
    <t>Érvényes pár:</t>
  </si>
  <si>
    <t>Fajlagos:</t>
  </si>
  <si>
    <t>1. Hőáram számítás</t>
  </si>
  <si>
    <t>5. Geometriai viszonyok</t>
  </si>
  <si>
    <t>Telj.számérték:</t>
  </si>
  <si>
    <t>Mért.egys.:</t>
  </si>
  <si>
    <t>Telj.érték:</t>
  </si>
  <si>
    <t>Hőm.érték:</t>
  </si>
  <si>
    <t>Oszlop:</t>
  </si>
  <si>
    <t>Sor1:</t>
  </si>
  <si>
    <t>Sor2:</t>
  </si>
  <si>
    <t>Hűtés:</t>
  </si>
  <si>
    <t>Táblázat építéshez segédtábla</t>
  </si>
  <si>
    <t>Egy cső belső felülete</t>
  </si>
  <si>
    <t>Egy cső külső felülete</t>
  </si>
  <si>
    <t>Lemez 1 db ív külső felület</t>
  </si>
  <si>
    <t>Gipszkarton falban való hőáramlás ellenállása</t>
  </si>
  <si>
    <r>
      <t xml:space="preserve">ΔT </t>
    </r>
    <r>
      <rPr>
        <vertAlign val="subscript"/>
        <sz val="11"/>
        <color theme="1"/>
        <rFont val="Calibri"/>
        <family val="2"/>
        <charset val="238"/>
        <scheme val="minor"/>
      </rPr>
      <t>víz fűtés</t>
    </r>
    <r>
      <rPr>
        <sz val="11"/>
        <color theme="1"/>
        <rFont val="Calibri"/>
        <family val="2"/>
        <charset val="238"/>
        <scheme val="minor"/>
      </rPr>
      <t xml:space="preserve"> = </t>
    </r>
  </si>
  <si>
    <r>
      <t xml:space="preserve">ΔT </t>
    </r>
    <r>
      <rPr>
        <vertAlign val="subscript"/>
        <sz val="11"/>
        <color theme="1"/>
        <rFont val="Calibri"/>
        <family val="2"/>
        <charset val="238"/>
        <scheme val="minor"/>
      </rPr>
      <t>víz hűtés</t>
    </r>
    <r>
      <rPr>
        <sz val="11"/>
        <color theme="1"/>
        <rFont val="Calibri"/>
        <family val="2"/>
        <charset val="238"/>
        <scheme val="minor"/>
      </rPr>
      <t xml:space="preserve"> = </t>
    </r>
  </si>
  <si>
    <t>oszlop</t>
  </si>
  <si>
    <r>
      <t xml:space="preserve">ΔT </t>
    </r>
    <r>
      <rPr>
        <vertAlign val="subscript"/>
        <sz val="11"/>
        <color theme="1"/>
        <rFont val="Calibri"/>
        <family val="2"/>
        <charset val="238"/>
        <scheme val="minor"/>
      </rPr>
      <t>víz fűtés</t>
    </r>
    <r>
      <rPr>
        <sz val="11"/>
        <color theme="1"/>
        <rFont val="Calibri"/>
        <family val="2"/>
        <charset val="238"/>
        <scheme val="minor"/>
      </rPr>
      <t xml:space="preserve">= </t>
    </r>
  </si>
  <si>
    <t>firstRow</t>
  </si>
  <si>
    <t>__</t>
  </si>
  <si>
    <t>Összehasonlítandók adatai</t>
  </si>
  <si>
    <t>Tengelytáv:</t>
  </si>
  <si>
    <t>kül</t>
  </si>
  <si>
    <t>Helyiség levegő hőmérséklet</t>
  </si>
  <si>
    <t>Belépő</t>
  </si>
  <si>
    <t>Kilépő</t>
  </si>
  <si>
    <t>15 °C</t>
  </si>
  <si>
    <t>18 °C</t>
  </si>
  <si>
    <t>20 °C</t>
  </si>
  <si>
    <t>22 °C</t>
  </si>
  <si>
    <t>17 °C</t>
  </si>
  <si>
    <t>25 °C</t>
  </si>
  <si>
    <t>30 °C</t>
  </si>
  <si>
    <t>35 °C</t>
  </si>
  <si>
    <t>40 °C</t>
  </si>
  <si>
    <t>45 °C</t>
  </si>
  <si>
    <t>36 °C</t>
  </si>
  <si>
    <t>16 °C</t>
  </si>
  <si>
    <t>19 °C</t>
  </si>
  <si>
    <t>21 °C</t>
  </si>
  <si>
    <t>24 °C</t>
  </si>
  <si>
    <t>23 °C</t>
  </si>
  <si>
    <t xml:space="preserve">A számítás nem veszi figyelembe a kanyarodó csőívek hőleadását, mivel ez elhanyagolható a lemezen létrejövő kontakt hőtranszferhez képest. </t>
  </si>
  <si>
    <t>NGBS SCS400</t>
  </si>
  <si>
    <t>Bordaparaméter</t>
  </si>
  <si>
    <t>Belépő foly. hőm. [°C]</t>
  </si>
  <si>
    <t>31 °C</t>
  </si>
  <si>
    <t>28 °C</t>
  </si>
  <si>
    <t>APPARAT AP100</t>
  </si>
  <si>
    <t>26 °C</t>
  </si>
  <si>
    <t>14 °C</t>
  </si>
  <si>
    <t>12 °C</t>
  </si>
  <si>
    <t>Hűtő-fűtő közeg hőmérs.</t>
  </si>
  <si>
    <t>27 °C</t>
  </si>
  <si>
    <t>Hőellenállások soros összege folyadéktól gipszk. külső felületével érintkező levegőig</t>
  </si>
  <si>
    <t>14 W/m²</t>
  </si>
  <si>
    <t>13.3 °C</t>
  </si>
  <si>
    <t>87.8 W/m²</t>
  </si>
  <si>
    <t>25.5 °C</t>
  </si>
  <si>
    <t>123 W/m²</t>
  </si>
  <si>
    <t>29.7 °C</t>
  </si>
  <si>
    <t>158.2 W/m²</t>
  </si>
  <si>
    <t>33.9 °C</t>
  </si>
  <si>
    <t>193.3 W/m²</t>
  </si>
  <si>
    <t>38.2 °C</t>
  </si>
  <si>
    <t>50 °C</t>
  </si>
  <si>
    <t>228.5 W/m²</t>
  </si>
  <si>
    <t>42.4 °C</t>
  </si>
  <si>
    <t>55 °C</t>
  </si>
  <si>
    <t>263.6 W/m²</t>
  </si>
  <si>
    <t>46.6 °C</t>
  </si>
  <si>
    <t>60 °C</t>
  </si>
  <si>
    <t>298.8 W/m²</t>
  </si>
  <si>
    <t>50.8 °C</t>
  </si>
  <si>
    <t>65 °C</t>
  </si>
  <si>
    <t>334 W/m²</t>
  </si>
  <si>
    <t>70 °C</t>
  </si>
  <si>
    <t>369.1 W/m²</t>
  </si>
  <si>
    <t>59.2 °C</t>
  </si>
  <si>
    <t>21 W/m²</t>
  </si>
  <si>
    <t>13.4 °C</t>
  </si>
  <si>
    <t>80.8 W/m²</t>
  </si>
  <si>
    <t>25.7 °C</t>
  </si>
  <si>
    <t>116 W/m²</t>
  </si>
  <si>
    <t>29.9 °C</t>
  </si>
  <si>
    <t>151.1 W/m²</t>
  </si>
  <si>
    <t>34.1 °C</t>
  </si>
  <si>
    <t>186.3 W/m²</t>
  </si>
  <si>
    <t>38.3 °C</t>
  </si>
  <si>
    <t>221.4 W/m²</t>
  </si>
  <si>
    <t>42.5 °C</t>
  </si>
  <si>
    <t>256.6 W/m²</t>
  </si>
  <si>
    <t>46.7 °C</t>
  </si>
  <si>
    <t>291.8 W/m²</t>
  </si>
  <si>
    <t>51 °C</t>
  </si>
  <si>
    <t>326.9 W/m²</t>
  </si>
  <si>
    <t>55.2 °C</t>
  </si>
  <si>
    <t>362.1 W/m²</t>
  </si>
  <si>
    <t>59.4 °C</t>
  </si>
  <si>
    <t>28.1 W/m²</t>
  </si>
  <si>
    <t>13.6 °C</t>
  </si>
  <si>
    <t>15.3 °C</t>
  </si>
  <si>
    <t>73.8 W/m²</t>
  </si>
  <si>
    <t>25.8 °C</t>
  </si>
  <si>
    <t>108.9 W/m²</t>
  </si>
  <si>
    <t>144.1 W/m²</t>
  </si>
  <si>
    <t>34.2 °C</t>
  </si>
  <si>
    <t>179.3 W/m²</t>
  </si>
  <si>
    <t>38.5 °C</t>
  </si>
  <si>
    <t>214.4 W/m²</t>
  </si>
  <si>
    <t>42.7 °C</t>
  </si>
  <si>
    <t>249.6 W/m²</t>
  </si>
  <si>
    <t>46.9 °C</t>
  </si>
  <si>
    <t>284.7 W/m²</t>
  </si>
  <si>
    <t>51.1 °C</t>
  </si>
  <si>
    <t>319.9 W/m²</t>
  </si>
  <si>
    <t>55.3 °C</t>
  </si>
  <si>
    <t>355 W/m²</t>
  </si>
  <si>
    <t>59.6 °C</t>
  </si>
  <si>
    <t>35.1 W/m²</t>
  </si>
  <si>
    <t>13.7 °C</t>
  </si>
  <si>
    <t>15.4 °C</t>
  </si>
  <si>
    <t>66.8 W/m²</t>
  </si>
  <si>
    <t>101.9 W/m²</t>
  </si>
  <si>
    <t>30.2 °C</t>
  </si>
  <si>
    <t>137.1 W/m²</t>
  </si>
  <si>
    <t>34.4 °C</t>
  </si>
  <si>
    <t>172.2 W/m²</t>
  </si>
  <si>
    <t>38.6 °C</t>
  </si>
  <si>
    <t>207.4 W/m²</t>
  </si>
  <si>
    <t>42.8 °C</t>
  </si>
  <si>
    <t>242.5 W/m²</t>
  </si>
  <si>
    <t>47.1 °C</t>
  </si>
  <si>
    <t>277.7 W/m²</t>
  </si>
  <si>
    <t>51.3 °C</t>
  </si>
  <si>
    <t>312.9 W/m²</t>
  </si>
  <si>
    <t>55.5 °C</t>
  </si>
  <si>
    <t>348 W/m²</t>
  </si>
  <si>
    <t>59.7 °C</t>
  </si>
  <si>
    <t>42.1 W/m²</t>
  </si>
  <si>
    <t>13.9 °C</t>
  </si>
  <si>
    <t>15.6 °C</t>
  </si>
  <si>
    <t>17.3 °C</t>
  </si>
  <si>
    <t>59.7 W/m²</t>
  </si>
  <si>
    <t>26.1 °C</t>
  </si>
  <si>
    <t>94.9 W/m²</t>
  </si>
  <si>
    <t>30.3 °C</t>
  </si>
  <si>
    <t>130 W/m²</t>
  </si>
  <si>
    <t>34.6 °C</t>
  </si>
  <si>
    <t>165.2 W/m²</t>
  </si>
  <si>
    <t>38.8 °C</t>
  </si>
  <si>
    <t>200.4 W/m²</t>
  </si>
  <si>
    <t>43 °C</t>
  </si>
  <si>
    <t>235.5 W/m²</t>
  </si>
  <si>
    <t>47.2 °C</t>
  </si>
  <si>
    <t>270.7 W/m²</t>
  </si>
  <si>
    <t>51.4 °C</t>
  </si>
  <si>
    <t>305.8 W/m²</t>
  </si>
  <si>
    <t>55.7 °C</t>
  </si>
  <si>
    <t>341 W/m²</t>
  </si>
  <si>
    <t>59.9 °C</t>
  </si>
  <si>
    <t>49.2 W/m²</t>
  </si>
  <si>
    <t>15.7 °C</t>
  </si>
  <si>
    <t>17.4 °C</t>
  </si>
  <si>
    <t>52.7 W/m²</t>
  </si>
  <si>
    <t>26.3 °C</t>
  </si>
  <si>
    <t>30.5 °C</t>
  </si>
  <si>
    <t>34.7 °C</t>
  </si>
  <si>
    <t>38.9 °C</t>
  </si>
  <si>
    <t>43.2 °C</t>
  </si>
  <si>
    <t>47.4 °C</t>
  </si>
  <si>
    <t>51.6 °C</t>
  </si>
  <si>
    <t>55.8 °C</t>
  </si>
  <si>
    <t>56.2 W/m²</t>
  </si>
  <si>
    <t>14.2 °C</t>
  </si>
  <si>
    <t>15.9 °C</t>
  </si>
  <si>
    <t>17.6 °C</t>
  </si>
  <si>
    <t>19.3 °C</t>
  </si>
  <si>
    <t>45.7 W/m²</t>
  </si>
  <si>
    <t>26.4 °C</t>
  </si>
  <si>
    <t>30.7 °C</t>
  </si>
  <si>
    <t>34.9 °C</t>
  </si>
  <si>
    <t>39.1 °C</t>
  </si>
  <si>
    <t>43.3 °C</t>
  </si>
  <si>
    <t>47.5 °C</t>
  </si>
  <si>
    <t>51.7 °C</t>
  </si>
  <si>
    <t>56 °C</t>
  </si>
  <si>
    <t>60.2 °C</t>
  </si>
  <si>
    <t>63.2 W/m²</t>
  </si>
  <si>
    <t>14.4 °C</t>
  </si>
  <si>
    <t>17.7 °C</t>
  </si>
  <si>
    <t>19.4 °C</t>
  </si>
  <si>
    <t>38.6 W/m²</t>
  </si>
  <si>
    <t>26.6 °C</t>
  </si>
  <si>
    <t>30.8 °C</t>
  </si>
  <si>
    <t>39.2 °C</t>
  </si>
  <si>
    <t>43.5 °C</t>
  </si>
  <si>
    <t>47.7 °C</t>
  </si>
  <si>
    <t>51.9 °C</t>
  </si>
  <si>
    <t>56.1 °C</t>
  </si>
  <si>
    <t>60.3 °C</t>
  </si>
  <si>
    <t>70.3 W/m²</t>
  </si>
  <si>
    <t>14.5 °C</t>
  </si>
  <si>
    <t>16.2 °C</t>
  </si>
  <si>
    <t>17.9 °C</t>
  </si>
  <si>
    <t>19.6 °C</t>
  </si>
  <si>
    <t>21.3 °C</t>
  </si>
  <si>
    <t>31.6 W/m²</t>
  </si>
  <si>
    <t>26.7 °C</t>
  </si>
  <si>
    <t>35.2 °C</t>
  </si>
  <si>
    <t>39.4 °C</t>
  </si>
  <si>
    <t>43.6 °C</t>
  </si>
  <si>
    <t>47.8 °C</t>
  </si>
  <si>
    <t>52.1 °C</t>
  </si>
  <si>
    <t>56.3 °C</t>
  </si>
  <si>
    <t>60.5 °C</t>
  </si>
  <si>
    <t>77.3 W/m²</t>
  </si>
  <si>
    <t>14.7 °C</t>
  </si>
  <si>
    <t>16.4 °C</t>
  </si>
  <si>
    <t>19.7 °C</t>
  </si>
  <si>
    <t>21.4 °C</t>
  </si>
  <si>
    <t>24.6 W/m²</t>
  </si>
  <si>
    <t>26.9 °C</t>
  </si>
  <si>
    <t>31.1 °C</t>
  </si>
  <si>
    <t>35.3 °C</t>
  </si>
  <si>
    <t>39.6 °C</t>
  </si>
  <si>
    <t>43.8 °C</t>
  </si>
  <si>
    <t>48 °C</t>
  </si>
  <si>
    <t>52.2 °C</t>
  </si>
  <si>
    <t>56.4 °C</t>
  </si>
  <si>
    <t>60.7 °C</t>
  </si>
  <si>
    <t>84.3 W/m²</t>
  </si>
  <si>
    <t>14.8 °C</t>
  </si>
  <si>
    <t>16.5 °C</t>
  </si>
  <si>
    <t>18.2 °C</t>
  </si>
  <si>
    <t>19.9 °C</t>
  </si>
  <si>
    <t>21.6 °C</t>
  </si>
  <si>
    <t>31.3 °C</t>
  </si>
  <si>
    <t>35.5 °C</t>
  </si>
  <si>
    <t>39.7 °C</t>
  </si>
  <si>
    <t>43.9 °C</t>
  </si>
  <si>
    <t>48.2 °C</t>
  </si>
  <si>
    <t>52.4 °C</t>
  </si>
  <si>
    <t>56.6 °C</t>
  </si>
  <si>
    <t>60.8 °C</t>
  </si>
  <si>
    <t>91.4 W/m²</t>
  </si>
  <si>
    <t>16.7 °C</t>
  </si>
  <si>
    <t>18.4 °C</t>
  </si>
  <si>
    <t>21.7 °C</t>
  </si>
  <si>
    <t>31.4 °C</t>
  </si>
  <si>
    <t>35.7 °C</t>
  </si>
  <si>
    <t>39.9 °C</t>
  </si>
  <si>
    <t>44.1 °C</t>
  </si>
  <si>
    <t>48.3 °C</t>
  </si>
  <si>
    <t>52.5 °C</t>
  </si>
  <si>
    <t>56.7 °C</t>
  </si>
  <si>
    <t>61 °C</t>
  </si>
  <si>
    <t>98.4 W/m²</t>
  </si>
  <si>
    <t>15.1 °C</t>
  </si>
  <si>
    <t>16.8 °C</t>
  </si>
  <si>
    <t>18.5 °C</t>
  </si>
  <si>
    <t>20.2 °C</t>
  </si>
  <si>
    <t>21.9 °C</t>
  </si>
  <si>
    <t>31.6 °C</t>
  </si>
  <si>
    <t>35.8 °C</t>
  </si>
  <si>
    <t>44.2 °C</t>
  </si>
  <si>
    <t>48.5 °C</t>
  </si>
  <si>
    <t>52.7 °C</t>
  </si>
  <si>
    <t>56.9 °C</t>
  </si>
  <si>
    <t>61.1 °C</t>
  </si>
  <si>
    <t>105.4 W/m²</t>
  </si>
  <si>
    <t>18.7 °C</t>
  </si>
  <si>
    <t>20.4 °C</t>
  </si>
  <si>
    <t>31.7 °C</t>
  </si>
  <si>
    <t>40.2 °C</t>
  </si>
  <si>
    <t>44.4 °C</t>
  </si>
  <si>
    <t>48.6 °C</t>
  </si>
  <si>
    <t>52.8 °C</t>
  </si>
  <si>
    <t>57.1 °C</t>
  </si>
  <si>
    <t>61.3 °C</t>
  </si>
  <si>
    <t xml:space="preserve">NGBS SCS400 terméke átlagosan 0 %-al jobban teljesít.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</si>
</sst>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##&quot; °C&quot;"/>
    <numFmt numFmtId="165" formatCode="0.000#&quot; [m]&quot;"/>
    <numFmt numFmtId="166" formatCode="0.0000"/>
    <numFmt numFmtId="167" formatCode="0.000#&quot; [m²]&quot;"/>
    <numFmt numFmtId="168" formatCode="##0.00&quot; [W/m² K]&quot;"/>
    <numFmt numFmtId="169" formatCode="0.0000&quot; [K/W]&quot;"/>
    <numFmt numFmtId="170" formatCode="0.00&quot; [W]&quot;"/>
    <numFmt numFmtId="171" formatCode="00.0&quot; [°C]&quot;"/>
    <numFmt numFmtId="172" formatCode="#0.0&quot; [°C]&quot;"/>
    <numFmt numFmtId="173" formatCode="0.000&quot; [m]&quot;"/>
    <numFmt numFmtId="174" formatCode="0.0&quot; [°C]&quot;"/>
    <numFmt numFmtId="175" formatCode="0.0000&quot; [-]&quot;"/>
    <numFmt numFmtId="176" formatCode="#0.00&quot; [W]&quot;"/>
    <numFmt numFmtId="177" formatCode="#0.00&quot; [W/m²]&quot;"/>
    <numFmt numFmtId="178" formatCode="#0.0&quot; °C&quot;"/>
    <numFmt numFmtId="179" formatCode="0.0"/>
    <numFmt numFmtId="180" formatCode="00.0&quot; [1/m]&quot;"/>
  </numFmts>
  <fonts count="11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vertAlign val="subscript"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vertAlign val="subscript"/>
      <sz val="11"/>
      <color theme="1"/>
      <name val="Calibri"/>
      <family val="2"/>
      <charset val="238"/>
    </font>
    <font>
      <sz val="11"/>
      <color theme="5" tint="0.59999389629810485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6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/>
      <bottom/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164" fontId="0" fillId="0" borderId="0" xfId="0" applyNumberFormat="1" applyBorder="1" applyAlignment="1">
      <alignment horizontal="center" vertical="center"/>
    </xf>
    <xf numFmtId="171" fontId="0" fillId="0" borderId="1" xfId="0" applyNumberFormat="1" applyBorder="1" applyAlignment="1">
      <alignment vertical="center"/>
    </xf>
    <xf numFmtId="172" fontId="0" fillId="0" borderId="3" xfId="0" applyNumberFormat="1" applyBorder="1" applyAlignment="1">
      <alignment vertical="center"/>
    </xf>
    <xf numFmtId="172" fontId="0" fillId="0" borderId="1" xfId="0" applyNumberFormat="1" applyBorder="1" applyAlignment="1">
      <alignment vertical="center"/>
    </xf>
    <xf numFmtId="172" fontId="0" fillId="0" borderId="8" xfId="0" applyNumberFormat="1" applyBorder="1" applyAlignment="1">
      <alignment vertical="center"/>
    </xf>
    <xf numFmtId="173" fontId="0" fillId="0" borderId="1" xfId="0" applyNumberFormat="1" applyBorder="1" applyAlignment="1">
      <alignment vertical="center"/>
    </xf>
    <xf numFmtId="0" fontId="3" fillId="0" borderId="10" xfId="0" applyFont="1" applyBorder="1" applyAlignment="1">
      <alignment horizontal="right" vertical="center"/>
    </xf>
    <xf numFmtId="175" fontId="0" fillId="0" borderId="11" xfId="0" applyNumberFormat="1" applyBorder="1" applyAlignment="1">
      <alignment vertical="center"/>
    </xf>
    <xf numFmtId="174" fontId="0" fillId="0" borderId="1" xfId="0" applyNumberFormat="1" applyBorder="1" applyAlignment="1">
      <alignment vertical="center"/>
    </xf>
    <xf numFmtId="0" fontId="0" fillId="4" borderId="2" xfId="0" applyFill="1" applyBorder="1" applyAlignment="1">
      <alignment horizontal="right" vertical="center"/>
    </xf>
    <xf numFmtId="174" fontId="0" fillId="4" borderId="3" xfId="0" applyNumberFormat="1" applyFill="1" applyBorder="1" applyAlignment="1">
      <alignment vertical="center"/>
    </xf>
    <xf numFmtId="0" fontId="0" fillId="4" borderId="5" xfId="0" applyFill="1" applyBorder="1" applyAlignment="1">
      <alignment horizontal="right" vertical="center"/>
    </xf>
    <xf numFmtId="176" fontId="0" fillId="4" borderId="1" xfId="0" applyNumberFormat="1" applyFill="1" applyBorder="1" applyAlignment="1">
      <alignment vertical="center"/>
    </xf>
    <xf numFmtId="0" fontId="0" fillId="4" borderId="7" xfId="0" applyFill="1" applyBorder="1" applyAlignment="1">
      <alignment horizontal="right" vertical="center"/>
    </xf>
    <xf numFmtId="177" fontId="0" fillId="4" borderId="8" xfId="0" applyNumberForma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1" xfId="0" applyFont="1" applyFill="1" applyBorder="1" applyAlignment="1" applyProtection="1">
      <alignment vertical="center"/>
      <protection locked="0"/>
    </xf>
    <xf numFmtId="178" fontId="0" fillId="0" borderId="2" xfId="0" applyNumberFormat="1" applyBorder="1" applyAlignment="1" applyProtection="1">
      <alignment horizontal="center" vertical="center" wrapText="1"/>
      <protection locked="0"/>
    </xf>
    <xf numFmtId="178" fontId="0" fillId="0" borderId="4" xfId="0" applyNumberFormat="1" applyBorder="1" applyAlignment="1" applyProtection="1">
      <alignment horizontal="center" vertical="center" wrapText="1"/>
      <protection locked="0"/>
    </xf>
    <xf numFmtId="178" fontId="0" fillId="0" borderId="5" xfId="0" applyNumberFormat="1" applyBorder="1" applyAlignment="1" applyProtection="1">
      <alignment horizontal="center" vertical="center"/>
      <protection locked="0"/>
    </xf>
    <xf numFmtId="178" fontId="0" fillId="0" borderId="6" xfId="0" applyNumberFormat="1" applyBorder="1" applyAlignment="1" applyProtection="1">
      <alignment horizontal="center" vertical="center"/>
      <protection locked="0"/>
    </xf>
    <xf numFmtId="178" fontId="0" fillId="0" borderId="7" xfId="0" applyNumberFormat="1" applyBorder="1" applyAlignment="1" applyProtection="1">
      <alignment horizontal="center" vertical="center"/>
      <protection locked="0"/>
    </xf>
    <xf numFmtId="178" fontId="0" fillId="0" borderId="9" xfId="0" applyNumberFormat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0" fillId="0" borderId="4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0" fillId="0" borderId="12" xfId="0" applyFont="1" applyBorder="1" applyAlignment="1">
      <alignment vertical="center"/>
    </xf>
    <xf numFmtId="0" fontId="0" fillId="4" borderId="4" xfId="0" applyFont="1" applyFill="1" applyBorder="1" applyAlignment="1">
      <alignment vertical="center"/>
    </xf>
    <xf numFmtId="0" fontId="0" fillId="4" borderId="6" xfId="0" applyFont="1" applyFill="1" applyBorder="1" applyAlignment="1">
      <alignment vertical="center"/>
    </xf>
    <xf numFmtId="0" fontId="0" fillId="4" borderId="9" xfId="0" applyFont="1" applyFill="1" applyBorder="1" applyAlignment="1">
      <alignment vertical="center"/>
    </xf>
    <xf numFmtId="0" fontId="0" fillId="0" borderId="9" xfId="0" applyFont="1" applyBorder="1" applyAlignment="1">
      <alignment vertical="center"/>
    </xf>
    <xf numFmtId="166" fontId="0" fillId="0" borderId="0" xfId="0" applyNumberFormat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 applyProtection="1">
      <alignment horizontal="right" vertical="center"/>
      <protection locked="0"/>
    </xf>
    <xf numFmtId="0" fontId="0" fillId="2" borderId="2" xfId="0" applyFill="1" applyBorder="1" applyAlignment="1">
      <alignment horizontal="right" vertical="center"/>
    </xf>
    <xf numFmtId="0" fontId="0" fillId="2" borderId="5" xfId="0" applyFill="1" applyBorder="1" applyAlignment="1">
      <alignment horizontal="right" vertical="center"/>
    </xf>
    <xf numFmtId="0" fontId="0" fillId="2" borderId="7" xfId="0" applyFill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1" fontId="0" fillId="0" borderId="6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0" borderId="3" xfId="0" applyBorder="1" applyAlignment="1" applyProtection="1">
      <alignment vertical="center"/>
    </xf>
    <xf numFmtId="0" fontId="0" fillId="0" borderId="1" xfId="0" applyBorder="1" applyAlignment="1" applyProtection="1">
      <alignment vertical="center"/>
    </xf>
    <xf numFmtId="0" fontId="0" fillId="0" borderId="8" xfId="0" applyBorder="1" applyAlignment="1" applyProtection="1">
      <alignment vertical="center"/>
    </xf>
    <xf numFmtId="178" fontId="0" fillId="0" borderId="2" xfId="0" applyNumberFormat="1" applyBorder="1" applyAlignment="1" applyProtection="1">
      <alignment horizontal="center" vertical="center" wrapText="1"/>
    </xf>
    <xf numFmtId="178" fontId="0" fillId="0" borderId="4" xfId="0" applyNumberFormat="1" applyBorder="1" applyAlignment="1" applyProtection="1">
      <alignment horizontal="center" vertical="center" wrapText="1"/>
    </xf>
    <xf numFmtId="178" fontId="0" fillId="0" borderId="5" xfId="0" applyNumberFormat="1" applyBorder="1" applyAlignment="1" applyProtection="1">
      <alignment horizontal="center" vertical="center"/>
    </xf>
    <xf numFmtId="178" fontId="0" fillId="0" borderId="6" xfId="0" applyNumberFormat="1" applyBorder="1" applyAlignment="1" applyProtection="1">
      <alignment horizontal="center" vertical="center"/>
    </xf>
    <xf numFmtId="178" fontId="0" fillId="0" borderId="7" xfId="0" applyNumberFormat="1" applyBorder="1" applyAlignment="1" applyProtection="1">
      <alignment horizontal="center" vertical="center"/>
    </xf>
    <xf numFmtId="178" fontId="0" fillId="0" borderId="9" xfId="0" applyNumberFormat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>
      <alignment horizontal="center" vertical="center" wrapText="1"/>
    </xf>
    <xf numFmtId="0" fontId="0" fillId="0" borderId="0" xfId="0" applyNumberFormat="1" applyBorder="1" applyAlignment="1" applyProtection="1">
      <alignment horizontal="center" vertical="center" wrapText="1"/>
    </xf>
    <xf numFmtId="0" fontId="0" fillId="0" borderId="0" xfId="0" applyNumberFormat="1" applyBorder="1" applyAlignment="1" applyProtection="1">
      <alignment horizontal="center" vertical="center"/>
    </xf>
    <xf numFmtId="0" fontId="1" fillId="0" borderId="24" xfId="0" applyFont="1" applyBorder="1" applyAlignment="1" applyProtection="1">
      <alignment horizontal="center" vertical="center"/>
      <protection locked="0"/>
    </xf>
    <xf numFmtId="0" fontId="1" fillId="0" borderId="26" xfId="0" applyFont="1" applyBorder="1" applyAlignment="1" applyProtection="1">
      <alignment horizontal="center" vertical="center"/>
      <protection locked="0"/>
    </xf>
    <xf numFmtId="179" fontId="0" fillId="0" borderId="0" xfId="0" applyNumberFormat="1" applyAlignment="1">
      <alignment vertical="center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</xf>
    <xf numFmtId="0" fontId="0" fillId="0" borderId="0" xfId="0" applyFont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horizontal="center" vertical="center"/>
    </xf>
    <xf numFmtId="0" fontId="0" fillId="5" borderId="2" xfId="0" applyFill="1" applyBorder="1" applyAlignment="1">
      <alignment horizontal="right" vertical="center"/>
    </xf>
    <xf numFmtId="165" fontId="0" fillId="5" borderId="3" xfId="0" applyNumberFormat="1" applyFill="1" applyBorder="1" applyAlignment="1">
      <alignment vertical="center"/>
    </xf>
    <xf numFmtId="0" fontId="0" fillId="5" borderId="5" xfId="0" applyFill="1" applyBorder="1" applyAlignment="1">
      <alignment horizontal="right" vertical="center"/>
    </xf>
    <xf numFmtId="165" fontId="0" fillId="5" borderId="1" xfId="0" applyNumberFormat="1" applyFill="1" applyBorder="1" applyAlignment="1">
      <alignment vertical="center"/>
    </xf>
    <xf numFmtId="167" fontId="0" fillId="5" borderId="1" xfId="0" applyNumberFormat="1" applyFill="1" applyBorder="1" applyAlignment="1">
      <alignment vertical="center"/>
    </xf>
    <xf numFmtId="0" fontId="0" fillId="5" borderId="7" xfId="0" applyFill="1" applyBorder="1" applyAlignment="1">
      <alignment horizontal="right" vertical="center"/>
    </xf>
    <xf numFmtId="167" fontId="0" fillId="5" borderId="8" xfId="0" applyNumberFormat="1" applyFill="1" applyBorder="1" applyAlignment="1">
      <alignment vertical="center"/>
    </xf>
    <xf numFmtId="0" fontId="3" fillId="5" borderId="2" xfId="0" applyFont="1" applyFill="1" applyBorder="1" applyAlignment="1">
      <alignment horizontal="right" vertical="center"/>
    </xf>
    <xf numFmtId="168" fontId="0" fillId="5" borderId="3" xfId="0" applyNumberFormat="1" applyFill="1" applyBorder="1" applyAlignment="1">
      <alignment vertical="center"/>
    </xf>
    <xf numFmtId="0" fontId="3" fillId="5" borderId="5" xfId="0" applyFont="1" applyFill="1" applyBorder="1" applyAlignment="1">
      <alignment horizontal="right" vertical="center"/>
    </xf>
    <xf numFmtId="168" fontId="0" fillId="5" borderId="1" xfId="0" applyNumberFormat="1" applyFill="1" applyBorder="1" applyAlignment="1">
      <alignment vertical="center"/>
    </xf>
    <xf numFmtId="169" fontId="0" fillId="5" borderId="1" xfId="0" applyNumberFormat="1" applyFill="1" applyBorder="1" applyAlignment="1">
      <alignment vertical="center"/>
    </xf>
    <xf numFmtId="169" fontId="0" fillId="5" borderId="8" xfId="0" applyNumberFormat="1" applyFill="1" applyBorder="1" applyAlignment="1">
      <alignment vertical="center"/>
    </xf>
    <xf numFmtId="180" fontId="0" fillId="5" borderId="1" xfId="0" applyNumberFormat="1" applyFill="1" applyBorder="1" applyAlignment="1">
      <alignment vertical="center"/>
    </xf>
    <xf numFmtId="170" fontId="0" fillId="5" borderId="3" xfId="0" applyNumberFormat="1" applyFill="1" applyBorder="1" applyAlignment="1">
      <alignment vertical="center"/>
    </xf>
    <xf numFmtId="171" fontId="0" fillId="5" borderId="1" xfId="0" applyNumberFormat="1" applyFill="1" applyBorder="1" applyAlignment="1">
      <alignment vertical="center"/>
    </xf>
    <xf numFmtId="0" fontId="9" fillId="0" borderId="17" xfId="0" applyFont="1" applyBorder="1" applyAlignment="1">
      <alignment horizontal="left" vertical="top" wrapText="1"/>
    </xf>
    <xf numFmtId="0" fontId="9" fillId="0" borderId="18" xfId="0" applyFont="1" applyBorder="1" applyAlignment="1">
      <alignment horizontal="left" vertical="top" wrapText="1"/>
    </xf>
    <xf numFmtId="0" fontId="9" fillId="0" borderId="19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0" fontId="9" fillId="0" borderId="20" xfId="0" applyFont="1" applyBorder="1" applyAlignment="1">
      <alignment horizontal="left" vertical="top" wrapText="1"/>
    </xf>
    <xf numFmtId="0" fontId="9" fillId="0" borderId="21" xfId="0" applyFont="1" applyBorder="1" applyAlignment="1">
      <alignment horizontal="left" vertical="top" wrapText="1"/>
    </xf>
    <xf numFmtId="0" fontId="9" fillId="0" borderId="22" xfId="0" applyFont="1" applyBorder="1" applyAlignment="1">
      <alignment horizontal="left" vertical="top" wrapText="1"/>
    </xf>
    <xf numFmtId="0" fontId="9" fillId="0" borderId="23" xfId="0" applyFont="1" applyBorder="1" applyAlignment="1">
      <alignment horizontal="left" vertical="top" wrapText="1"/>
    </xf>
    <xf numFmtId="0" fontId="8" fillId="0" borderId="13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2" borderId="2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2" borderId="32" xfId="0" applyFill="1" applyBorder="1" applyAlignment="1">
      <alignment horizontal="center" vertical="center" wrapText="1"/>
    </xf>
    <xf numFmtId="0" fontId="0" fillId="2" borderId="33" xfId="0" applyFill="1" applyBorder="1" applyAlignment="1">
      <alignment horizontal="center" vertical="center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7" fillId="0" borderId="0" xfId="0" applyFont="1" applyFill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0" fillId="0" borderId="23" xfId="0" applyBorder="1" applyAlignment="1">
      <alignment horizontal="left" vertical="top"/>
    </xf>
    <xf numFmtId="0" fontId="0" fillId="0" borderId="28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</cellXfs>
  <cellStyles count="1">
    <cellStyle name="Normál" xfId="0" builtinId="0"/>
  </cellStyles>
  <dxfs count="22">
    <dxf>
      <border>
        <left style="thin">
          <color auto="1"/>
        </left>
      </border>
    </dxf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176564</xdr:colOff>
      <xdr:row>12</xdr:row>
      <xdr:rowOff>99873</xdr:rowOff>
    </xdr:from>
    <xdr:to>
      <xdr:col>36</xdr:col>
      <xdr:colOff>184188</xdr:colOff>
      <xdr:row>24</xdr:row>
      <xdr:rowOff>57853</xdr:rowOff>
    </xdr:to>
    <xdr:pic>
      <xdr:nvPicPr>
        <xdr:cNvPr id="2" name="Kép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719117">
          <a:off x="3986564" y="3058226"/>
          <a:ext cx="12916800" cy="2916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Kiszámítás teljesítményértékekkel [W]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Tábla törlése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Számítások megjelenítése/elrejtése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</xdr:row>
          <xdr:rowOff>171450</xdr:rowOff>
        </xdr:from>
        <xdr:to>
          <xdr:col>5</xdr:col>
          <xdr:colOff>152400</xdr:colOff>
          <xdr:row>2</xdr:row>
          <xdr:rowOff>209550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228600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Kiszámítás fajlagos értékekkel [W/m²]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B1:AC210"/>
  <sheetViews>
    <sheetView showGridLines="0" zoomScale="115" zoomScaleNormal="115" workbookViewId="0">
      <selection activeCell="C4" sqref="C4:D4"/>
    </sheetView>
  </sheetViews>
  <sheetFormatPr defaultColWidth="12.7109375" defaultRowHeight="20.100000000000001" customHeight="1" x14ac:dyDescent="0.25"/>
  <cols>
    <col min="1" max="1" width="12.7109375" style="1"/>
    <col min="2" max="4" width="14.7109375" style="7" customWidth="1"/>
    <col min="5" max="5" width="14.7109375" style="48" customWidth="1"/>
    <col min="6" max="8" width="12.7109375" style="1"/>
    <col min="9" max="20" width="0" style="1" hidden="1" customWidth="1"/>
    <col min="21" max="21" width="13.28515625" style="1" hidden="1" customWidth="1"/>
    <col min="22" max="25" width="0" style="1" hidden="1" customWidth="1"/>
    <col min="26" max="16384" width="12.7109375" style="1"/>
  </cols>
  <sheetData>
    <row r="1" spans="2:29" ht="20.100000000000001" customHeight="1" thickBot="1" x14ac:dyDescent="0.3">
      <c r="C1" s="112" t="s">
        <v>120</v>
      </c>
      <c r="D1" s="113"/>
      <c r="O1" s="1">
        <f>IF(N3=3,Q1,R1)</f>
        <v>18</v>
      </c>
      <c r="Q1" s="59">
        <f>COLUMN(Q1)</f>
        <v>17</v>
      </c>
      <c r="R1" s="60">
        <f>COLUMN(R1)</f>
        <v>18</v>
      </c>
    </row>
    <row r="2" spans="2:29" ht="20.100000000000001" customHeight="1" thickBot="1" x14ac:dyDescent="0.3">
      <c r="C2" s="75" t="s">
        <v>148</v>
      </c>
      <c r="D2" s="76" t="s">
        <v>143</v>
      </c>
      <c r="O2" s="1">
        <f>IF(N3=3,Q2,R2)</f>
        <v>101</v>
      </c>
      <c r="Q2" s="61">
        <f>COUNT(Q3:Q100)+3</f>
        <v>101</v>
      </c>
      <c r="R2" s="62">
        <f>COUNT(R3:R100)+3</f>
        <v>101</v>
      </c>
      <c r="S2" s="1" t="s">
        <v>122</v>
      </c>
    </row>
    <row r="3" spans="2:29" ht="20.100000000000001" customHeight="1" x14ac:dyDescent="0.25">
      <c r="B3" s="50" t="s">
        <v>15</v>
      </c>
      <c r="C3" s="120">
        <v>0.35</v>
      </c>
      <c r="D3" s="120"/>
      <c r="E3" s="45" t="s">
        <v>0</v>
      </c>
      <c r="J3" s="1">
        <f>IF(INDEX($A$1:$E$17,ROW(J3),$N$3)&lt;&gt;0,INDEX($A$1:$E$17,ROW(J3),$N$3),INDEX($A$1:$E$17,ROW(J3),-$N$3+7))</f>
        <v>0.35</v>
      </c>
      <c r="M3" s="1" t="s">
        <v>116</v>
      </c>
      <c r="N3" s="1">
        <v>4</v>
      </c>
      <c r="Q3" s="57">
        <v>14</v>
      </c>
      <c r="R3" s="2">
        <v>14</v>
      </c>
      <c r="S3" s="1">
        <f>IFERROR(100*(Q3-R3)/Q3,"")</f>
        <v>0</v>
      </c>
      <c r="U3" s="1">
        <f>AVERAGE(S3:S220)</f>
        <v>0</v>
      </c>
      <c r="Z3" s="103" t="s">
        <v>142</v>
      </c>
      <c r="AA3" s="104"/>
      <c r="AB3" s="104"/>
      <c r="AC3" s="105"/>
    </row>
    <row r="4" spans="2:29" ht="20.100000000000001" customHeight="1" x14ac:dyDescent="0.25">
      <c r="B4" s="51" t="s">
        <v>16</v>
      </c>
      <c r="C4" s="121">
        <v>81</v>
      </c>
      <c r="D4" s="121"/>
      <c r="E4" s="46" t="s">
        <v>0</v>
      </c>
      <c r="J4" s="1">
        <f t="shared" ref="J4:J17" si="0">IF(INDEX($A$1:$E$17,ROW(J4),$N$3)&lt;&gt;0,INDEX($A$1:$E$17,ROW(J4),$N$3),INDEX($A$1:$E$17,ROW(J4),-$N$3+7))</f>
        <v>81</v>
      </c>
      <c r="M4" s="1" t="s">
        <v>118</v>
      </c>
      <c r="N4" s="1">
        <f>(N3-3)*(2*COUNT(B21:B34)+4)+3</f>
        <v>27</v>
      </c>
      <c r="Q4" s="58">
        <v>87.8</v>
      </c>
      <c r="R4" s="4">
        <v>87.8</v>
      </c>
      <c r="S4" s="1">
        <f t="shared" ref="S4:S67" si="1">IFERROR(100*(Q4-R4)/Q4,"")</f>
        <v>0</v>
      </c>
      <c r="U4" s="1" t="str">
        <f>IF(U3&gt;0,C2,D2)</f>
        <v>NGBS SCS400</v>
      </c>
      <c r="Z4" s="106"/>
      <c r="AA4" s="107"/>
      <c r="AB4" s="107"/>
      <c r="AC4" s="108"/>
    </row>
    <row r="5" spans="2:29" ht="20.100000000000001" customHeight="1" x14ac:dyDescent="0.25">
      <c r="B5" s="51" t="s">
        <v>17</v>
      </c>
      <c r="C5" s="121">
        <v>0.25</v>
      </c>
      <c r="D5" s="121"/>
      <c r="E5" s="46" t="s">
        <v>0</v>
      </c>
      <c r="J5" s="1">
        <f t="shared" si="0"/>
        <v>0.25</v>
      </c>
      <c r="N5" s="1" t="str">
        <f>INDEX(A1:E2,2,N3)</f>
        <v>NGBS SCS400</v>
      </c>
      <c r="Q5" s="58">
        <v>123</v>
      </c>
      <c r="R5" s="4">
        <v>123</v>
      </c>
      <c r="S5" s="1">
        <f t="shared" si="1"/>
        <v>0</v>
      </c>
      <c r="U5" s="1" t="str">
        <f>TRUNC(U3,2)&amp;" %"</f>
        <v>0 %</v>
      </c>
      <c r="Z5" s="106"/>
      <c r="AA5" s="107"/>
      <c r="AB5" s="107"/>
      <c r="AC5" s="108"/>
    </row>
    <row r="6" spans="2:29" ht="20.100000000000001" customHeight="1" thickBot="1" x14ac:dyDescent="0.3">
      <c r="B6" s="51" t="s">
        <v>8</v>
      </c>
      <c r="C6" s="121">
        <v>300</v>
      </c>
      <c r="D6" s="121"/>
      <c r="E6" s="46" t="s">
        <v>14</v>
      </c>
      <c r="J6" s="1">
        <f t="shared" si="0"/>
        <v>300</v>
      </c>
      <c r="M6" s="1" t="s">
        <v>119</v>
      </c>
      <c r="N6" s="1">
        <f>(2*COUNT(B21:B34)+4)+3</f>
        <v>27</v>
      </c>
      <c r="Q6" s="58">
        <v>158.19999999999999</v>
      </c>
      <c r="R6" s="4">
        <v>158.19999999999999</v>
      </c>
      <c r="S6" s="1">
        <f t="shared" si="1"/>
        <v>0</v>
      </c>
      <c r="U6" s="1" t="str">
        <f>U4&amp;" terméke átlagosan " &amp;U5&amp;"-al jobban teljesít. "</f>
        <v xml:space="preserve">NGBS SCS400 terméke átlagosan 0 %-al jobban teljesít. </v>
      </c>
      <c r="Z6" s="109"/>
      <c r="AA6" s="110"/>
      <c r="AB6" s="110"/>
      <c r="AC6" s="111"/>
    </row>
    <row r="7" spans="2:29" ht="20.100000000000001" customHeight="1" x14ac:dyDescent="0.25">
      <c r="B7" s="51" t="s">
        <v>9</v>
      </c>
      <c r="C7" s="121">
        <v>8</v>
      </c>
      <c r="D7" s="121"/>
      <c r="E7" s="46" t="s">
        <v>14</v>
      </c>
      <c r="J7" s="1">
        <f t="shared" si="0"/>
        <v>8</v>
      </c>
      <c r="Q7" s="58">
        <v>193.3</v>
      </c>
      <c r="R7" s="4">
        <v>193.3</v>
      </c>
      <c r="S7" s="1">
        <f t="shared" si="1"/>
        <v>0</v>
      </c>
    </row>
    <row r="8" spans="2:29" ht="20.100000000000001" customHeight="1" x14ac:dyDescent="0.25">
      <c r="B8" s="51" t="s">
        <v>10</v>
      </c>
      <c r="C8" s="49">
        <v>7.4</v>
      </c>
      <c r="D8" s="49">
        <v>7.4</v>
      </c>
      <c r="E8" s="46" t="s">
        <v>1</v>
      </c>
      <c r="J8" s="1">
        <f t="shared" si="0"/>
        <v>7.4</v>
      </c>
      <c r="Q8" s="58">
        <v>228.5</v>
      </c>
      <c r="R8" s="4">
        <v>228.5</v>
      </c>
      <c r="S8" s="1">
        <f t="shared" si="1"/>
        <v>0</v>
      </c>
    </row>
    <row r="9" spans="2:29" ht="20.100000000000001" customHeight="1" x14ac:dyDescent="0.25">
      <c r="B9" s="51" t="s">
        <v>11</v>
      </c>
      <c r="C9" s="49">
        <v>10</v>
      </c>
      <c r="D9" s="49">
        <v>10</v>
      </c>
      <c r="E9" s="46" t="s">
        <v>1</v>
      </c>
      <c r="J9" s="1">
        <f t="shared" si="0"/>
        <v>10</v>
      </c>
      <c r="Q9" s="58">
        <v>263.60000000000002</v>
      </c>
      <c r="R9" s="4">
        <v>263.60000000000002</v>
      </c>
      <c r="S9" s="1">
        <f t="shared" si="1"/>
        <v>0</v>
      </c>
    </row>
    <row r="10" spans="2:29" ht="20.100000000000001" customHeight="1" x14ac:dyDescent="0.25">
      <c r="B10" s="51" t="s">
        <v>2</v>
      </c>
      <c r="C10" s="49">
        <v>40</v>
      </c>
      <c r="D10" s="49">
        <v>37</v>
      </c>
      <c r="E10" s="46" t="s">
        <v>1</v>
      </c>
      <c r="J10" s="1">
        <f t="shared" si="0"/>
        <v>37</v>
      </c>
      <c r="Q10" s="58">
        <v>298.8</v>
      </c>
      <c r="R10" s="4">
        <v>298.8</v>
      </c>
      <c r="S10" s="1">
        <f t="shared" si="1"/>
        <v>0</v>
      </c>
    </row>
    <row r="11" spans="2:29" ht="20.100000000000001" customHeight="1" x14ac:dyDescent="0.25">
      <c r="B11" s="51" t="s">
        <v>3</v>
      </c>
      <c r="C11" s="49">
        <v>8</v>
      </c>
      <c r="D11" s="49">
        <v>8</v>
      </c>
      <c r="E11" s="46" t="s">
        <v>4</v>
      </c>
      <c r="J11" s="1">
        <f t="shared" si="0"/>
        <v>8</v>
      </c>
      <c r="Q11" s="58">
        <v>334</v>
      </c>
      <c r="R11" s="4">
        <v>334</v>
      </c>
      <c r="S11" s="1">
        <f t="shared" si="1"/>
        <v>0</v>
      </c>
    </row>
    <row r="12" spans="2:29" ht="20.100000000000001" customHeight="1" x14ac:dyDescent="0.25">
      <c r="B12" s="51" t="s">
        <v>5</v>
      </c>
      <c r="C12" s="114">
        <v>1000</v>
      </c>
      <c r="D12" s="115"/>
      <c r="E12" s="46" t="s">
        <v>1</v>
      </c>
      <c r="J12" s="1">
        <f t="shared" si="0"/>
        <v>1000</v>
      </c>
      <c r="Q12" s="58">
        <v>369.1</v>
      </c>
      <c r="R12" s="4">
        <v>369.1</v>
      </c>
      <c r="S12" s="1">
        <f t="shared" si="1"/>
        <v>0</v>
      </c>
    </row>
    <row r="13" spans="2:29" ht="20.100000000000001" customHeight="1" x14ac:dyDescent="0.25">
      <c r="B13" s="51" t="s">
        <v>121</v>
      </c>
      <c r="C13" s="114">
        <v>400</v>
      </c>
      <c r="D13" s="115"/>
      <c r="E13" s="46" t="s">
        <v>1</v>
      </c>
      <c r="J13" s="1">
        <f t="shared" si="0"/>
        <v>400</v>
      </c>
      <c r="Q13" s="58">
        <v>21</v>
      </c>
      <c r="R13" s="4">
        <v>21</v>
      </c>
      <c r="S13" s="1">
        <f t="shared" si="1"/>
        <v>0</v>
      </c>
    </row>
    <row r="14" spans="2:29" ht="20.100000000000001" customHeight="1" x14ac:dyDescent="0.25">
      <c r="B14" s="51" t="s">
        <v>6</v>
      </c>
      <c r="C14" s="49">
        <v>0.5</v>
      </c>
      <c r="D14" s="49">
        <v>0.6</v>
      </c>
      <c r="E14" s="46" t="s">
        <v>1</v>
      </c>
      <c r="J14" s="1">
        <f t="shared" si="0"/>
        <v>0.6</v>
      </c>
      <c r="Q14" s="58">
        <v>80.8</v>
      </c>
      <c r="R14" s="4">
        <v>80.8</v>
      </c>
      <c r="S14" s="1">
        <f t="shared" si="1"/>
        <v>0</v>
      </c>
    </row>
    <row r="15" spans="2:29" ht="20.100000000000001" customHeight="1" x14ac:dyDescent="0.25">
      <c r="B15" s="51" t="s">
        <v>21</v>
      </c>
      <c r="C15" s="49">
        <v>10</v>
      </c>
      <c r="D15" s="49">
        <v>10</v>
      </c>
      <c r="E15" s="46" t="s">
        <v>1</v>
      </c>
      <c r="J15" s="1">
        <f t="shared" si="0"/>
        <v>10</v>
      </c>
      <c r="Q15" s="58">
        <v>116</v>
      </c>
      <c r="R15" s="4">
        <v>116</v>
      </c>
      <c r="S15" s="1">
        <f t="shared" si="1"/>
        <v>0</v>
      </c>
    </row>
    <row r="16" spans="2:29" ht="20.100000000000001" customHeight="1" x14ac:dyDescent="0.25">
      <c r="B16" s="51" t="s">
        <v>114</v>
      </c>
      <c r="C16" s="121">
        <v>5</v>
      </c>
      <c r="D16" s="121"/>
      <c r="E16" s="46" t="s">
        <v>7</v>
      </c>
      <c r="J16" s="1">
        <f t="shared" si="0"/>
        <v>5</v>
      </c>
      <c r="Q16" s="58">
        <v>151.1</v>
      </c>
      <c r="R16" s="4">
        <v>151.1</v>
      </c>
      <c r="S16" s="1">
        <f t="shared" si="1"/>
        <v>0</v>
      </c>
    </row>
    <row r="17" spans="2:19" ht="20.100000000000001" customHeight="1" thickBot="1" x14ac:dyDescent="0.3">
      <c r="B17" s="52" t="s">
        <v>115</v>
      </c>
      <c r="C17" s="122">
        <v>2</v>
      </c>
      <c r="D17" s="122"/>
      <c r="E17" s="47" t="s">
        <v>7</v>
      </c>
      <c r="J17" s="1">
        <f t="shared" si="0"/>
        <v>2</v>
      </c>
      <c r="Q17" s="58">
        <v>186.3</v>
      </c>
      <c r="R17" s="4">
        <v>186.3</v>
      </c>
      <c r="S17" s="1">
        <f t="shared" si="1"/>
        <v>0</v>
      </c>
    </row>
    <row r="18" spans="2:19" ht="20.100000000000001" customHeight="1" thickBot="1" x14ac:dyDescent="0.3">
      <c r="Q18" s="58">
        <v>221.4</v>
      </c>
      <c r="R18" s="4">
        <v>221.4</v>
      </c>
      <c r="S18" s="1">
        <f t="shared" si="1"/>
        <v>0</v>
      </c>
    </row>
    <row r="19" spans="2:19" ht="20.100000000000001" customHeight="1" x14ac:dyDescent="0.25">
      <c r="B19" s="116" t="s">
        <v>145</v>
      </c>
      <c r="C19" s="118" t="s">
        <v>13</v>
      </c>
      <c r="D19" s="72"/>
      <c r="Q19" s="58">
        <v>256.60000000000002</v>
      </c>
      <c r="R19" s="4">
        <v>256.60000000000002</v>
      </c>
      <c r="S19" s="1">
        <f t="shared" si="1"/>
        <v>0</v>
      </c>
    </row>
    <row r="20" spans="2:19" ht="20.100000000000001" customHeight="1" thickBot="1" x14ac:dyDescent="0.3">
      <c r="B20" s="117"/>
      <c r="C20" s="119"/>
      <c r="D20" s="72"/>
      <c r="E20" s="1"/>
      <c r="Q20" s="58">
        <v>291.8</v>
      </c>
      <c r="R20" s="4">
        <v>291.8</v>
      </c>
      <c r="S20" s="1">
        <f t="shared" si="1"/>
        <v>0</v>
      </c>
    </row>
    <row r="21" spans="2:19" ht="20.100000000000001" customHeight="1" x14ac:dyDescent="0.25">
      <c r="B21" s="30">
        <v>12</v>
      </c>
      <c r="C21" s="31">
        <v>15</v>
      </c>
      <c r="D21" s="73"/>
      <c r="E21" s="1"/>
      <c r="Q21" s="58">
        <v>326.89999999999998</v>
      </c>
      <c r="R21" s="4">
        <v>326.89999999999998</v>
      </c>
      <c r="S21" s="1">
        <f t="shared" si="1"/>
        <v>0</v>
      </c>
    </row>
    <row r="22" spans="2:19" ht="20.100000000000001" customHeight="1" x14ac:dyDescent="0.25">
      <c r="B22" s="32">
        <v>14</v>
      </c>
      <c r="C22" s="33">
        <v>16</v>
      </c>
      <c r="D22" s="74"/>
      <c r="E22" s="1"/>
      <c r="Q22" s="58">
        <v>362.1</v>
      </c>
      <c r="R22" s="4">
        <v>362.1</v>
      </c>
      <c r="S22" s="1">
        <f t="shared" si="1"/>
        <v>0</v>
      </c>
    </row>
    <row r="23" spans="2:19" ht="20.100000000000001" customHeight="1" x14ac:dyDescent="0.25">
      <c r="B23" s="32">
        <v>16</v>
      </c>
      <c r="C23" s="33">
        <v>17</v>
      </c>
      <c r="D23" s="74"/>
      <c r="E23" s="1"/>
      <c r="Q23" s="58">
        <v>28.1</v>
      </c>
      <c r="R23" s="4">
        <v>28.1</v>
      </c>
      <c r="S23" s="1">
        <f t="shared" si="1"/>
        <v>0</v>
      </c>
    </row>
    <row r="24" spans="2:19" ht="20.100000000000001" customHeight="1" x14ac:dyDescent="0.25">
      <c r="B24" s="32">
        <v>18</v>
      </c>
      <c r="C24" s="33">
        <v>18</v>
      </c>
      <c r="D24" s="74"/>
      <c r="E24" s="1"/>
      <c r="Q24" s="58">
        <v>14</v>
      </c>
      <c r="R24" s="4">
        <v>14</v>
      </c>
      <c r="S24" s="1">
        <f t="shared" si="1"/>
        <v>0</v>
      </c>
    </row>
    <row r="25" spans="2:19" ht="20.100000000000001" customHeight="1" x14ac:dyDescent="0.25">
      <c r="B25" s="32">
        <v>20</v>
      </c>
      <c r="C25" s="33">
        <v>19</v>
      </c>
      <c r="D25" s="74"/>
      <c r="E25" s="1"/>
      <c r="Q25" s="58">
        <v>73.8</v>
      </c>
      <c r="R25" s="4">
        <v>73.8</v>
      </c>
      <c r="S25" s="1">
        <f t="shared" si="1"/>
        <v>0</v>
      </c>
    </row>
    <row r="26" spans="2:19" ht="20.100000000000001" customHeight="1" x14ac:dyDescent="0.25">
      <c r="B26" s="32">
        <v>30</v>
      </c>
      <c r="C26" s="33">
        <v>20</v>
      </c>
      <c r="D26" s="74"/>
      <c r="E26" s="1"/>
      <c r="Q26" s="58">
        <v>108.9</v>
      </c>
      <c r="R26" s="4">
        <v>108.9</v>
      </c>
      <c r="S26" s="1">
        <f t="shared" si="1"/>
        <v>0</v>
      </c>
    </row>
    <row r="27" spans="2:19" ht="20.100000000000001" customHeight="1" x14ac:dyDescent="0.25">
      <c r="B27" s="32">
        <v>35</v>
      </c>
      <c r="C27" s="33">
        <v>21</v>
      </c>
      <c r="D27" s="74"/>
      <c r="E27" s="1"/>
      <c r="Q27" s="58">
        <v>144.1</v>
      </c>
      <c r="R27" s="4">
        <v>144.1</v>
      </c>
      <c r="S27" s="1">
        <f t="shared" si="1"/>
        <v>0</v>
      </c>
    </row>
    <row r="28" spans="2:19" ht="20.100000000000001" customHeight="1" x14ac:dyDescent="0.25">
      <c r="B28" s="32">
        <v>40</v>
      </c>
      <c r="C28" s="33">
        <v>22</v>
      </c>
      <c r="D28" s="74"/>
      <c r="E28" s="1"/>
      <c r="Q28" s="58">
        <v>179.3</v>
      </c>
      <c r="R28" s="4">
        <v>179.3</v>
      </c>
      <c r="S28" s="1">
        <f t="shared" si="1"/>
        <v>0</v>
      </c>
    </row>
    <row r="29" spans="2:19" ht="20.100000000000001" customHeight="1" x14ac:dyDescent="0.25">
      <c r="B29" s="32">
        <v>45</v>
      </c>
      <c r="C29" s="33">
        <v>23</v>
      </c>
      <c r="D29" s="74"/>
      <c r="Q29" s="58">
        <v>214.4</v>
      </c>
      <c r="R29" s="4">
        <v>214.4</v>
      </c>
      <c r="S29" s="1">
        <f t="shared" si="1"/>
        <v>0</v>
      </c>
    </row>
    <row r="30" spans="2:19" ht="20.100000000000001" customHeight="1" x14ac:dyDescent="0.25">
      <c r="B30" s="32">
        <v>31.5</v>
      </c>
      <c r="C30" s="33">
        <v>24</v>
      </c>
      <c r="D30" s="74"/>
      <c r="Q30" s="58">
        <v>249.6</v>
      </c>
      <c r="R30" s="4">
        <v>249.6</v>
      </c>
      <c r="S30" s="1">
        <f t="shared" si="1"/>
        <v>0</v>
      </c>
    </row>
    <row r="31" spans="2:19" ht="20.100000000000001" customHeight="1" x14ac:dyDescent="0.25">
      <c r="B31" s="32"/>
      <c r="C31" s="33">
        <v>25</v>
      </c>
      <c r="D31" s="74"/>
      <c r="Q31" s="58">
        <v>284.7</v>
      </c>
      <c r="R31" s="4">
        <v>284.7</v>
      </c>
      <c r="S31" s="1">
        <f t="shared" si="1"/>
        <v>0</v>
      </c>
    </row>
    <row r="32" spans="2:19" ht="20.100000000000001" customHeight="1" x14ac:dyDescent="0.25">
      <c r="B32" s="32"/>
      <c r="C32" s="33">
        <v>26</v>
      </c>
      <c r="D32" s="74"/>
      <c r="Q32" s="58">
        <v>319.89999999999998</v>
      </c>
      <c r="R32" s="4">
        <v>319.89999999999998</v>
      </c>
      <c r="S32" s="1">
        <f t="shared" si="1"/>
        <v>0</v>
      </c>
    </row>
    <row r="33" spans="2:19" ht="20.100000000000001" customHeight="1" x14ac:dyDescent="0.25">
      <c r="B33" s="32"/>
      <c r="C33" s="33">
        <v>27</v>
      </c>
      <c r="D33" s="74"/>
      <c r="Q33" s="58">
        <v>355</v>
      </c>
      <c r="R33" s="4">
        <v>355</v>
      </c>
      <c r="S33" s="1">
        <f t="shared" si="1"/>
        <v>0</v>
      </c>
    </row>
    <row r="34" spans="2:19" ht="20.100000000000001" customHeight="1" thickBot="1" x14ac:dyDescent="0.3">
      <c r="B34" s="34"/>
      <c r="C34" s="35">
        <v>28</v>
      </c>
      <c r="D34" s="74"/>
      <c r="Q34" s="58">
        <v>35.1</v>
      </c>
      <c r="R34" s="4">
        <v>35.1</v>
      </c>
      <c r="S34" s="1">
        <f t="shared" si="1"/>
        <v>0</v>
      </c>
    </row>
    <row r="35" spans="2:19" ht="20.100000000000001" customHeight="1" x14ac:dyDescent="0.25">
      <c r="Q35" s="58">
        <v>21</v>
      </c>
      <c r="R35" s="4">
        <v>21</v>
      </c>
      <c r="S35" s="1">
        <f t="shared" si="1"/>
        <v>0</v>
      </c>
    </row>
    <row r="36" spans="2:19" ht="20.100000000000001" customHeight="1" x14ac:dyDescent="0.25">
      <c r="Q36" s="58">
        <v>66.8</v>
      </c>
      <c r="R36" s="4">
        <v>66.8</v>
      </c>
      <c r="S36" s="1">
        <f t="shared" si="1"/>
        <v>0</v>
      </c>
    </row>
    <row r="37" spans="2:19" ht="20.100000000000001" customHeight="1" x14ac:dyDescent="0.25">
      <c r="Q37" s="58">
        <v>101.9</v>
      </c>
      <c r="R37" s="4">
        <v>101.9</v>
      </c>
      <c r="S37" s="1">
        <f t="shared" si="1"/>
        <v>0</v>
      </c>
    </row>
    <row r="38" spans="2:19" ht="20.100000000000001" customHeight="1" x14ac:dyDescent="0.25">
      <c r="Q38" s="58">
        <v>137.1</v>
      </c>
      <c r="R38" s="4">
        <v>137.1</v>
      </c>
      <c r="S38" s="1">
        <f t="shared" si="1"/>
        <v>0</v>
      </c>
    </row>
    <row r="39" spans="2:19" ht="20.100000000000001" customHeight="1" x14ac:dyDescent="0.25">
      <c r="Q39" s="58">
        <v>172.2</v>
      </c>
      <c r="R39" s="4">
        <v>172.2</v>
      </c>
      <c r="S39" s="1">
        <f t="shared" si="1"/>
        <v>0</v>
      </c>
    </row>
    <row r="40" spans="2:19" ht="20.100000000000001" customHeight="1" x14ac:dyDescent="0.25">
      <c r="Q40" s="58">
        <v>207.4</v>
      </c>
      <c r="R40" s="4">
        <v>207.4</v>
      </c>
      <c r="S40" s="1">
        <f t="shared" si="1"/>
        <v>0</v>
      </c>
    </row>
    <row r="41" spans="2:19" ht="20.100000000000001" customHeight="1" x14ac:dyDescent="0.25">
      <c r="Q41" s="58">
        <v>242.5</v>
      </c>
      <c r="R41" s="4">
        <v>242.5</v>
      </c>
      <c r="S41" s="1">
        <f t="shared" si="1"/>
        <v>0</v>
      </c>
    </row>
    <row r="42" spans="2:19" ht="20.100000000000001" customHeight="1" x14ac:dyDescent="0.25">
      <c r="Q42" s="58">
        <v>277.7</v>
      </c>
      <c r="R42" s="4">
        <v>277.7</v>
      </c>
      <c r="S42" s="1">
        <f t="shared" si="1"/>
        <v>0</v>
      </c>
    </row>
    <row r="43" spans="2:19" ht="20.100000000000001" customHeight="1" x14ac:dyDescent="0.25">
      <c r="Q43" s="58">
        <v>312.89999999999998</v>
      </c>
      <c r="R43" s="4">
        <v>312.89999999999998</v>
      </c>
      <c r="S43" s="1">
        <f t="shared" si="1"/>
        <v>0</v>
      </c>
    </row>
    <row r="44" spans="2:19" ht="20.100000000000001" customHeight="1" x14ac:dyDescent="0.25">
      <c r="Q44" s="58">
        <v>348</v>
      </c>
      <c r="R44" s="4">
        <v>348</v>
      </c>
      <c r="S44" s="1">
        <f t="shared" si="1"/>
        <v>0</v>
      </c>
    </row>
    <row r="45" spans="2:19" ht="20.100000000000001" customHeight="1" x14ac:dyDescent="0.25">
      <c r="Q45" s="58">
        <v>42.1</v>
      </c>
      <c r="R45" s="4">
        <v>42.1</v>
      </c>
      <c r="S45" s="1">
        <f t="shared" si="1"/>
        <v>0</v>
      </c>
    </row>
    <row r="46" spans="2:19" ht="20.100000000000001" customHeight="1" x14ac:dyDescent="0.25">
      <c r="Q46" s="58">
        <v>28.1</v>
      </c>
      <c r="R46" s="4">
        <v>28.1</v>
      </c>
      <c r="S46" s="1">
        <f t="shared" si="1"/>
        <v>0</v>
      </c>
    </row>
    <row r="47" spans="2:19" ht="20.100000000000001" customHeight="1" x14ac:dyDescent="0.25">
      <c r="Q47" s="58">
        <v>14</v>
      </c>
      <c r="R47" s="4">
        <v>14</v>
      </c>
      <c r="S47" s="1">
        <f t="shared" si="1"/>
        <v>0</v>
      </c>
    </row>
    <row r="48" spans="2:19" ht="20.100000000000001" customHeight="1" x14ac:dyDescent="0.25">
      <c r="Q48" s="58">
        <v>59.7</v>
      </c>
      <c r="R48" s="4">
        <v>59.7</v>
      </c>
      <c r="S48" s="1">
        <f t="shared" si="1"/>
        <v>0</v>
      </c>
    </row>
    <row r="49" spans="17:19" ht="20.100000000000001" customHeight="1" x14ac:dyDescent="0.25">
      <c r="Q49" s="58">
        <v>94.9</v>
      </c>
      <c r="R49" s="4">
        <v>94.9</v>
      </c>
      <c r="S49" s="1">
        <f t="shared" si="1"/>
        <v>0</v>
      </c>
    </row>
    <row r="50" spans="17:19" ht="20.100000000000001" customHeight="1" x14ac:dyDescent="0.25">
      <c r="Q50" s="58">
        <v>130</v>
      </c>
      <c r="R50" s="4">
        <v>130</v>
      </c>
      <c r="S50" s="1">
        <f t="shared" si="1"/>
        <v>0</v>
      </c>
    </row>
    <row r="51" spans="17:19" ht="20.100000000000001" customHeight="1" x14ac:dyDescent="0.25">
      <c r="Q51" s="58">
        <v>165.2</v>
      </c>
      <c r="R51" s="4">
        <v>165.2</v>
      </c>
      <c r="S51" s="1">
        <f t="shared" si="1"/>
        <v>0</v>
      </c>
    </row>
    <row r="52" spans="17:19" ht="20.100000000000001" customHeight="1" x14ac:dyDescent="0.25">
      <c r="Q52" s="58">
        <v>200.4</v>
      </c>
      <c r="R52" s="4">
        <v>200.4</v>
      </c>
      <c r="S52" s="1">
        <f t="shared" si="1"/>
        <v>0</v>
      </c>
    </row>
    <row r="53" spans="17:19" ht="20.100000000000001" customHeight="1" x14ac:dyDescent="0.25">
      <c r="Q53" s="58">
        <v>235.5</v>
      </c>
      <c r="R53" s="4">
        <v>235.5</v>
      </c>
      <c r="S53" s="1">
        <f t="shared" si="1"/>
        <v>0</v>
      </c>
    </row>
    <row r="54" spans="17:19" ht="20.100000000000001" customHeight="1" x14ac:dyDescent="0.25">
      <c r="Q54" s="58">
        <v>270.7</v>
      </c>
      <c r="R54" s="4">
        <v>270.7</v>
      </c>
      <c r="S54" s="1">
        <f t="shared" si="1"/>
        <v>0</v>
      </c>
    </row>
    <row r="55" spans="17:19" ht="20.100000000000001" customHeight="1" x14ac:dyDescent="0.25">
      <c r="Q55" s="58">
        <v>305.8</v>
      </c>
      <c r="R55" s="4">
        <v>305.8</v>
      </c>
      <c r="S55" s="1">
        <f t="shared" si="1"/>
        <v>0</v>
      </c>
    </row>
    <row r="56" spans="17:19" ht="20.100000000000001" customHeight="1" x14ac:dyDescent="0.25">
      <c r="Q56" s="58">
        <v>341</v>
      </c>
      <c r="R56" s="4">
        <v>341</v>
      </c>
      <c r="S56" s="1">
        <f t="shared" si="1"/>
        <v>0</v>
      </c>
    </row>
    <row r="57" spans="17:19" ht="20.100000000000001" customHeight="1" x14ac:dyDescent="0.25">
      <c r="Q57" s="58">
        <v>49.2</v>
      </c>
      <c r="R57" s="4">
        <v>49.2</v>
      </c>
      <c r="S57" s="1">
        <f t="shared" si="1"/>
        <v>0</v>
      </c>
    </row>
    <row r="58" spans="17:19" ht="20.100000000000001" customHeight="1" x14ac:dyDescent="0.25">
      <c r="Q58" s="58">
        <v>35.1</v>
      </c>
      <c r="R58" s="4">
        <v>35.1</v>
      </c>
      <c r="S58" s="1">
        <f t="shared" si="1"/>
        <v>0</v>
      </c>
    </row>
    <row r="59" spans="17:19" ht="20.100000000000001" customHeight="1" x14ac:dyDescent="0.25">
      <c r="Q59" s="58">
        <v>21</v>
      </c>
      <c r="R59" s="4">
        <v>21</v>
      </c>
      <c r="S59" s="1">
        <f t="shared" si="1"/>
        <v>0</v>
      </c>
    </row>
    <row r="60" spans="17:19" ht="20.100000000000001" customHeight="1" x14ac:dyDescent="0.25">
      <c r="Q60" s="58">
        <v>52.7</v>
      </c>
      <c r="R60" s="4">
        <v>52.7</v>
      </c>
      <c r="S60" s="1">
        <f t="shared" si="1"/>
        <v>0</v>
      </c>
    </row>
    <row r="61" spans="17:19" ht="20.100000000000001" customHeight="1" x14ac:dyDescent="0.25">
      <c r="Q61" s="58">
        <v>87.8</v>
      </c>
      <c r="R61" s="4">
        <v>87.8</v>
      </c>
      <c r="S61" s="1">
        <f t="shared" si="1"/>
        <v>0</v>
      </c>
    </row>
    <row r="62" spans="17:19" ht="20.100000000000001" customHeight="1" x14ac:dyDescent="0.25">
      <c r="Q62" s="58">
        <v>123</v>
      </c>
      <c r="R62" s="4">
        <v>123</v>
      </c>
      <c r="S62" s="1">
        <f t="shared" si="1"/>
        <v>0</v>
      </c>
    </row>
    <row r="63" spans="17:19" ht="20.100000000000001" customHeight="1" x14ac:dyDescent="0.25">
      <c r="Q63" s="58">
        <v>158.19999999999999</v>
      </c>
      <c r="R63" s="4">
        <v>158.19999999999999</v>
      </c>
      <c r="S63" s="1">
        <f t="shared" si="1"/>
        <v>0</v>
      </c>
    </row>
    <row r="64" spans="17:19" ht="20.100000000000001" customHeight="1" x14ac:dyDescent="0.25">
      <c r="Q64" s="58">
        <v>193.3</v>
      </c>
      <c r="R64" s="4">
        <v>193.3</v>
      </c>
      <c r="S64" s="1">
        <f t="shared" si="1"/>
        <v>0</v>
      </c>
    </row>
    <row r="65" spans="17:19" ht="20.100000000000001" customHeight="1" x14ac:dyDescent="0.25">
      <c r="Q65" s="58">
        <v>228.5</v>
      </c>
      <c r="R65" s="4">
        <v>228.5</v>
      </c>
      <c r="S65" s="1">
        <f t="shared" si="1"/>
        <v>0</v>
      </c>
    </row>
    <row r="66" spans="17:19" ht="20.100000000000001" customHeight="1" x14ac:dyDescent="0.25">
      <c r="Q66" s="58">
        <v>263.60000000000002</v>
      </c>
      <c r="R66" s="4">
        <v>263.60000000000002</v>
      </c>
      <c r="S66" s="1">
        <f t="shared" si="1"/>
        <v>0</v>
      </c>
    </row>
    <row r="67" spans="17:19" ht="20.100000000000001" customHeight="1" x14ac:dyDescent="0.25">
      <c r="Q67" s="58">
        <v>298.8</v>
      </c>
      <c r="R67" s="4">
        <v>298.8</v>
      </c>
      <c r="S67" s="1">
        <f t="shared" si="1"/>
        <v>0</v>
      </c>
    </row>
    <row r="68" spans="17:19" ht="20.100000000000001" customHeight="1" x14ac:dyDescent="0.25">
      <c r="Q68" s="58">
        <v>334</v>
      </c>
      <c r="R68" s="4">
        <v>334</v>
      </c>
      <c r="S68" s="1">
        <f t="shared" ref="S68:S131" si="2">IFERROR(100*(Q68-R68)/Q68,"")</f>
        <v>0</v>
      </c>
    </row>
    <row r="69" spans="17:19" ht="20.100000000000001" customHeight="1" x14ac:dyDescent="0.25">
      <c r="Q69" s="58">
        <v>56.2</v>
      </c>
      <c r="R69" s="4">
        <v>56.2</v>
      </c>
      <c r="S69" s="1">
        <f t="shared" si="2"/>
        <v>0</v>
      </c>
    </row>
    <row r="70" spans="17:19" ht="20.100000000000001" customHeight="1" x14ac:dyDescent="0.25">
      <c r="Q70" s="58">
        <v>42.1</v>
      </c>
      <c r="R70" s="4">
        <v>42.1</v>
      </c>
      <c r="S70" s="1">
        <f t="shared" si="2"/>
        <v>0</v>
      </c>
    </row>
    <row r="71" spans="17:19" ht="20.100000000000001" customHeight="1" x14ac:dyDescent="0.25">
      <c r="Q71" s="58">
        <v>28.1</v>
      </c>
      <c r="R71" s="4">
        <v>28.1</v>
      </c>
      <c r="S71" s="1">
        <f t="shared" si="2"/>
        <v>0</v>
      </c>
    </row>
    <row r="72" spans="17:19" ht="20.100000000000001" customHeight="1" x14ac:dyDescent="0.25">
      <c r="Q72" s="58">
        <v>14</v>
      </c>
      <c r="R72" s="4">
        <v>14</v>
      </c>
      <c r="S72" s="1">
        <f t="shared" si="2"/>
        <v>0</v>
      </c>
    </row>
    <row r="73" spans="17:19" ht="20.100000000000001" customHeight="1" x14ac:dyDescent="0.25">
      <c r="Q73" s="58">
        <v>45.7</v>
      </c>
      <c r="R73" s="4">
        <v>45.7</v>
      </c>
      <c r="S73" s="1">
        <f t="shared" si="2"/>
        <v>0</v>
      </c>
    </row>
    <row r="74" spans="17:19" ht="20.100000000000001" customHeight="1" x14ac:dyDescent="0.25">
      <c r="Q74" s="58">
        <v>80.8</v>
      </c>
      <c r="R74" s="4">
        <v>80.8</v>
      </c>
      <c r="S74" s="1">
        <f t="shared" si="2"/>
        <v>0</v>
      </c>
    </row>
    <row r="75" spans="17:19" ht="20.100000000000001" customHeight="1" x14ac:dyDescent="0.25">
      <c r="Q75" s="58">
        <v>116</v>
      </c>
      <c r="R75" s="4">
        <v>116</v>
      </c>
      <c r="S75" s="1">
        <f t="shared" si="2"/>
        <v>0</v>
      </c>
    </row>
    <row r="76" spans="17:19" ht="20.100000000000001" customHeight="1" x14ac:dyDescent="0.25">
      <c r="Q76" s="58">
        <v>151.1</v>
      </c>
      <c r="R76" s="4">
        <v>151.1</v>
      </c>
      <c r="S76" s="1">
        <f t="shared" si="2"/>
        <v>0</v>
      </c>
    </row>
    <row r="77" spans="17:19" ht="20.100000000000001" customHeight="1" x14ac:dyDescent="0.25">
      <c r="Q77" s="58">
        <v>186.3</v>
      </c>
      <c r="R77" s="4">
        <v>186.3</v>
      </c>
      <c r="S77" s="1">
        <f t="shared" si="2"/>
        <v>0</v>
      </c>
    </row>
    <row r="78" spans="17:19" ht="20.100000000000001" customHeight="1" x14ac:dyDescent="0.25">
      <c r="Q78" s="58">
        <v>221.4</v>
      </c>
      <c r="R78" s="4">
        <v>221.4</v>
      </c>
      <c r="S78" s="1">
        <f t="shared" si="2"/>
        <v>0</v>
      </c>
    </row>
    <row r="79" spans="17:19" ht="20.100000000000001" customHeight="1" x14ac:dyDescent="0.25">
      <c r="Q79" s="58">
        <v>256.60000000000002</v>
      </c>
      <c r="R79" s="4">
        <v>256.60000000000002</v>
      </c>
      <c r="S79" s="1">
        <f t="shared" si="2"/>
        <v>0</v>
      </c>
    </row>
    <row r="80" spans="17:19" ht="20.100000000000001" customHeight="1" x14ac:dyDescent="0.25">
      <c r="Q80" s="58">
        <v>291.8</v>
      </c>
      <c r="R80" s="4">
        <v>291.8</v>
      </c>
      <c r="S80" s="1">
        <f t="shared" si="2"/>
        <v>0</v>
      </c>
    </row>
    <row r="81" spans="17:19" ht="20.100000000000001" customHeight="1" x14ac:dyDescent="0.25">
      <c r="Q81" s="58">
        <v>326.89999999999998</v>
      </c>
      <c r="R81" s="4">
        <v>326.89999999999998</v>
      </c>
      <c r="S81" s="1">
        <f t="shared" si="2"/>
        <v>0</v>
      </c>
    </row>
    <row r="82" spans="17:19" ht="20.100000000000001" customHeight="1" x14ac:dyDescent="0.25">
      <c r="Q82" s="58">
        <v>63.2</v>
      </c>
      <c r="R82" s="4">
        <v>63.2</v>
      </c>
      <c r="S82" s="1">
        <f t="shared" si="2"/>
        <v>0</v>
      </c>
    </row>
    <row r="83" spans="17:19" ht="20.100000000000001" customHeight="1" x14ac:dyDescent="0.25">
      <c r="Q83" s="58">
        <v>49.2</v>
      </c>
      <c r="R83" s="4">
        <v>49.2</v>
      </c>
      <c r="S83" s="1">
        <f t="shared" si="2"/>
        <v>0</v>
      </c>
    </row>
    <row r="84" spans="17:19" ht="20.100000000000001" customHeight="1" x14ac:dyDescent="0.25">
      <c r="Q84" s="58">
        <v>35.1</v>
      </c>
      <c r="R84" s="4">
        <v>35.1</v>
      </c>
      <c r="S84" s="1">
        <f t="shared" si="2"/>
        <v>0</v>
      </c>
    </row>
    <row r="85" spans="17:19" ht="20.100000000000001" customHeight="1" x14ac:dyDescent="0.25">
      <c r="Q85" s="58">
        <v>21</v>
      </c>
      <c r="R85" s="4">
        <v>21</v>
      </c>
      <c r="S85" s="1">
        <f t="shared" si="2"/>
        <v>0</v>
      </c>
    </row>
    <row r="86" spans="17:19" ht="20.100000000000001" customHeight="1" x14ac:dyDescent="0.25">
      <c r="Q86" s="58">
        <v>38.6</v>
      </c>
      <c r="R86" s="4">
        <v>38.6</v>
      </c>
      <c r="S86" s="1">
        <f t="shared" si="2"/>
        <v>0</v>
      </c>
    </row>
    <row r="87" spans="17:19" ht="20.100000000000001" customHeight="1" x14ac:dyDescent="0.25">
      <c r="Q87" s="58">
        <v>73.8</v>
      </c>
      <c r="R87" s="4">
        <v>73.8</v>
      </c>
      <c r="S87" s="1">
        <f t="shared" si="2"/>
        <v>0</v>
      </c>
    </row>
    <row r="88" spans="17:19" ht="20.100000000000001" customHeight="1" x14ac:dyDescent="0.25">
      <c r="Q88" s="58">
        <v>108.9</v>
      </c>
      <c r="R88" s="4">
        <v>108.9</v>
      </c>
      <c r="S88" s="1">
        <f t="shared" si="2"/>
        <v>0</v>
      </c>
    </row>
    <row r="89" spans="17:19" ht="20.100000000000001" customHeight="1" x14ac:dyDescent="0.25">
      <c r="Q89" s="58">
        <v>144.1</v>
      </c>
      <c r="R89" s="4">
        <v>144.1</v>
      </c>
      <c r="S89" s="1">
        <f t="shared" si="2"/>
        <v>0</v>
      </c>
    </row>
    <row r="90" spans="17:19" ht="20.100000000000001" customHeight="1" x14ac:dyDescent="0.25">
      <c r="Q90" s="58">
        <v>179.3</v>
      </c>
      <c r="R90" s="4">
        <v>179.3</v>
      </c>
      <c r="S90" s="1">
        <f t="shared" si="2"/>
        <v>0</v>
      </c>
    </row>
    <row r="91" spans="17:19" ht="20.100000000000001" customHeight="1" x14ac:dyDescent="0.25">
      <c r="Q91" s="58">
        <v>214.4</v>
      </c>
      <c r="R91" s="4">
        <v>214.4</v>
      </c>
      <c r="S91" s="1">
        <f t="shared" si="2"/>
        <v>0</v>
      </c>
    </row>
    <row r="92" spans="17:19" ht="20.100000000000001" customHeight="1" x14ac:dyDescent="0.25">
      <c r="Q92" s="58">
        <v>249.6</v>
      </c>
      <c r="R92" s="4">
        <v>249.6</v>
      </c>
      <c r="S92" s="1">
        <f t="shared" si="2"/>
        <v>0</v>
      </c>
    </row>
    <row r="93" spans="17:19" ht="20.100000000000001" customHeight="1" x14ac:dyDescent="0.25">
      <c r="Q93" s="58">
        <v>284.7</v>
      </c>
      <c r="R93" s="4">
        <v>284.7</v>
      </c>
      <c r="S93" s="1">
        <f t="shared" si="2"/>
        <v>0</v>
      </c>
    </row>
    <row r="94" spans="17:19" ht="20.100000000000001" customHeight="1" x14ac:dyDescent="0.25">
      <c r="Q94" s="58">
        <v>319.89999999999998</v>
      </c>
      <c r="R94" s="4">
        <v>319.89999999999998</v>
      </c>
      <c r="S94" s="1">
        <f t="shared" si="2"/>
        <v>0</v>
      </c>
    </row>
    <row r="95" spans="17:19" ht="20.100000000000001" customHeight="1" x14ac:dyDescent="0.25">
      <c r="Q95" s="58">
        <v>70.3</v>
      </c>
      <c r="R95" s="4">
        <v>70.3</v>
      </c>
      <c r="S95" s="1">
        <f t="shared" si="2"/>
        <v>0</v>
      </c>
    </row>
    <row r="96" spans="17:19" ht="20.100000000000001" customHeight="1" x14ac:dyDescent="0.25">
      <c r="Q96" s="58">
        <v>56.2</v>
      </c>
      <c r="R96" s="4">
        <v>56.2</v>
      </c>
      <c r="S96" s="1">
        <f t="shared" si="2"/>
        <v>0</v>
      </c>
    </row>
    <row r="97" spans="17:19" ht="20.100000000000001" customHeight="1" x14ac:dyDescent="0.25">
      <c r="Q97" s="58">
        <v>42.1</v>
      </c>
      <c r="R97" s="4">
        <v>42.1</v>
      </c>
      <c r="S97" s="1">
        <f t="shared" si="2"/>
        <v>0</v>
      </c>
    </row>
    <row r="98" spans="17:19" ht="20.100000000000001" customHeight="1" x14ac:dyDescent="0.25">
      <c r="Q98" s="58">
        <v>28.1</v>
      </c>
      <c r="R98" s="4">
        <v>28.1</v>
      </c>
      <c r="S98" s="1">
        <f t="shared" si="2"/>
        <v>0</v>
      </c>
    </row>
    <row r="99" spans="17:19" ht="20.100000000000001" customHeight="1" x14ac:dyDescent="0.25">
      <c r="Q99" s="58">
        <v>14</v>
      </c>
      <c r="R99" s="4">
        <v>14</v>
      </c>
      <c r="S99" s="1">
        <f t="shared" si="2"/>
        <v>0</v>
      </c>
    </row>
    <row r="100" spans="17:19" ht="20.100000000000001" customHeight="1" x14ac:dyDescent="0.25">
      <c r="Q100" s="58">
        <v>31.6</v>
      </c>
      <c r="R100" s="4">
        <v>31.6</v>
      </c>
      <c r="S100" s="1">
        <f t="shared" si="2"/>
        <v>0</v>
      </c>
    </row>
    <row r="101" spans="17:19" ht="20.100000000000001" customHeight="1" x14ac:dyDescent="0.25">
      <c r="Q101" s="58">
        <v>277.7</v>
      </c>
      <c r="R101" s="4">
        <v>277.7</v>
      </c>
      <c r="S101" s="1">
        <f t="shared" si="2"/>
        <v>0</v>
      </c>
    </row>
    <row r="102" spans="17:19" ht="20.100000000000001" customHeight="1" x14ac:dyDescent="0.25">
      <c r="Q102" s="58"/>
      <c r="R102" s="4"/>
      <c r="S102" s="1" t="str">
        <f t="shared" si="2"/>
        <v/>
      </c>
    </row>
    <row r="103" spans="17:19" ht="20.100000000000001" customHeight="1" x14ac:dyDescent="0.25">
      <c r="Q103" s="58"/>
      <c r="R103" s="4"/>
      <c r="S103" s="1" t="str">
        <f t="shared" si="2"/>
        <v/>
      </c>
    </row>
    <row r="104" spans="17:19" ht="20.100000000000001" customHeight="1" x14ac:dyDescent="0.25">
      <c r="Q104" s="58"/>
      <c r="R104" s="4"/>
      <c r="S104" s="1" t="str">
        <f t="shared" si="2"/>
        <v/>
      </c>
    </row>
    <row r="105" spans="17:19" ht="20.100000000000001" customHeight="1" x14ac:dyDescent="0.25">
      <c r="Q105" s="58"/>
      <c r="R105" s="4"/>
      <c r="S105" s="1" t="str">
        <f t="shared" si="2"/>
        <v/>
      </c>
    </row>
    <row r="106" spans="17:19" ht="20.100000000000001" customHeight="1" x14ac:dyDescent="0.25">
      <c r="Q106" s="58"/>
      <c r="R106" s="4"/>
      <c r="S106" s="1" t="str">
        <f t="shared" si="2"/>
        <v/>
      </c>
    </row>
    <row r="107" spans="17:19" ht="20.100000000000001" customHeight="1" x14ac:dyDescent="0.25">
      <c r="Q107" s="58"/>
      <c r="R107" s="4"/>
      <c r="S107" s="1" t="str">
        <f t="shared" si="2"/>
        <v/>
      </c>
    </row>
    <row r="108" spans="17:19" ht="20.100000000000001" customHeight="1" x14ac:dyDescent="0.25">
      <c r="Q108" s="58"/>
      <c r="R108" s="4"/>
      <c r="S108" s="1" t="str">
        <f t="shared" si="2"/>
        <v/>
      </c>
    </row>
    <row r="109" spans="17:19" ht="20.100000000000001" customHeight="1" x14ac:dyDescent="0.25">
      <c r="Q109" s="58"/>
      <c r="R109" s="4"/>
      <c r="S109" s="1" t="str">
        <f t="shared" si="2"/>
        <v/>
      </c>
    </row>
    <row r="110" spans="17:19" ht="20.100000000000001" customHeight="1" x14ac:dyDescent="0.25">
      <c r="Q110" s="58"/>
      <c r="R110" s="4"/>
      <c r="S110" s="1" t="str">
        <f t="shared" si="2"/>
        <v/>
      </c>
    </row>
    <row r="111" spans="17:19" ht="20.100000000000001" customHeight="1" x14ac:dyDescent="0.25">
      <c r="Q111" s="58"/>
      <c r="R111" s="4"/>
      <c r="S111" s="1" t="str">
        <f t="shared" si="2"/>
        <v/>
      </c>
    </row>
    <row r="112" spans="17:19" ht="20.100000000000001" customHeight="1" x14ac:dyDescent="0.25">
      <c r="Q112" s="58"/>
      <c r="R112" s="4"/>
      <c r="S112" s="1" t="str">
        <f t="shared" si="2"/>
        <v/>
      </c>
    </row>
    <row r="113" spans="17:19" ht="20.100000000000001" customHeight="1" x14ac:dyDescent="0.25">
      <c r="Q113" s="58"/>
      <c r="R113" s="4"/>
      <c r="S113" s="1" t="str">
        <f t="shared" si="2"/>
        <v/>
      </c>
    </row>
    <row r="114" spans="17:19" ht="20.100000000000001" customHeight="1" x14ac:dyDescent="0.25">
      <c r="Q114" s="58"/>
      <c r="R114" s="4"/>
      <c r="S114" s="1" t="str">
        <f t="shared" si="2"/>
        <v/>
      </c>
    </row>
    <row r="115" spans="17:19" ht="20.100000000000001" customHeight="1" x14ac:dyDescent="0.25">
      <c r="Q115" s="58"/>
      <c r="R115" s="4"/>
      <c r="S115" s="1" t="str">
        <f t="shared" si="2"/>
        <v/>
      </c>
    </row>
    <row r="116" spans="17:19" ht="20.100000000000001" customHeight="1" x14ac:dyDescent="0.25">
      <c r="Q116" s="58"/>
      <c r="R116" s="4"/>
      <c r="S116" s="1" t="str">
        <f t="shared" si="2"/>
        <v/>
      </c>
    </row>
    <row r="117" spans="17:19" ht="20.100000000000001" customHeight="1" x14ac:dyDescent="0.25">
      <c r="Q117" s="58"/>
      <c r="R117" s="4"/>
      <c r="S117" s="1" t="str">
        <f t="shared" si="2"/>
        <v/>
      </c>
    </row>
    <row r="118" spans="17:19" ht="20.100000000000001" customHeight="1" x14ac:dyDescent="0.25">
      <c r="Q118" s="58"/>
      <c r="R118" s="4"/>
      <c r="S118" s="1" t="str">
        <f t="shared" si="2"/>
        <v/>
      </c>
    </row>
    <row r="119" spans="17:19" ht="20.100000000000001" customHeight="1" x14ac:dyDescent="0.25">
      <c r="Q119" s="58"/>
      <c r="R119" s="4"/>
      <c r="S119" s="1" t="str">
        <f t="shared" si="2"/>
        <v/>
      </c>
    </row>
    <row r="120" spans="17:19" ht="20.100000000000001" customHeight="1" x14ac:dyDescent="0.25">
      <c r="Q120" s="58"/>
      <c r="R120" s="4"/>
      <c r="S120" s="1" t="str">
        <f t="shared" si="2"/>
        <v/>
      </c>
    </row>
    <row r="121" spans="17:19" ht="20.100000000000001" customHeight="1" x14ac:dyDescent="0.25">
      <c r="Q121" s="58"/>
      <c r="R121" s="4"/>
      <c r="S121" s="1" t="str">
        <f t="shared" si="2"/>
        <v/>
      </c>
    </row>
    <row r="122" spans="17:19" ht="20.100000000000001" customHeight="1" x14ac:dyDescent="0.25">
      <c r="Q122" s="58"/>
      <c r="R122" s="4"/>
      <c r="S122" s="1" t="str">
        <f t="shared" si="2"/>
        <v/>
      </c>
    </row>
    <row r="123" spans="17:19" ht="20.100000000000001" customHeight="1" x14ac:dyDescent="0.25">
      <c r="Q123" s="58"/>
      <c r="R123" s="4"/>
      <c r="S123" s="1" t="str">
        <f t="shared" si="2"/>
        <v/>
      </c>
    </row>
    <row r="124" spans="17:19" ht="20.100000000000001" customHeight="1" x14ac:dyDescent="0.25">
      <c r="Q124" s="58"/>
      <c r="R124" s="4"/>
      <c r="S124" s="1" t="str">
        <f t="shared" si="2"/>
        <v/>
      </c>
    </row>
    <row r="125" spans="17:19" ht="20.100000000000001" customHeight="1" x14ac:dyDescent="0.25">
      <c r="Q125" s="58"/>
      <c r="R125" s="4"/>
      <c r="S125" s="1" t="str">
        <f t="shared" si="2"/>
        <v/>
      </c>
    </row>
    <row r="126" spans="17:19" ht="20.100000000000001" customHeight="1" x14ac:dyDescent="0.25">
      <c r="Q126" s="58"/>
      <c r="R126" s="4"/>
      <c r="S126" s="1" t="str">
        <f t="shared" si="2"/>
        <v/>
      </c>
    </row>
    <row r="127" spans="17:19" ht="20.100000000000001" customHeight="1" x14ac:dyDescent="0.25">
      <c r="Q127" s="58"/>
      <c r="R127" s="4"/>
      <c r="S127" s="1" t="str">
        <f t="shared" si="2"/>
        <v/>
      </c>
    </row>
    <row r="128" spans="17:19" ht="20.100000000000001" customHeight="1" x14ac:dyDescent="0.25">
      <c r="Q128" s="58"/>
      <c r="R128" s="4"/>
      <c r="S128" s="1" t="str">
        <f t="shared" si="2"/>
        <v/>
      </c>
    </row>
    <row r="129" spans="17:19" ht="20.100000000000001" customHeight="1" x14ac:dyDescent="0.25">
      <c r="Q129" s="58"/>
      <c r="R129" s="4"/>
      <c r="S129" s="1" t="str">
        <f t="shared" si="2"/>
        <v/>
      </c>
    </row>
    <row r="130" spans="17:19" ht="20.100000000000001" customHeight="1" x14ac:dyDescent="0.25">
      <c r="Q130" s="58"/>
      <c r="R130" s="4"/>
      <c r="S130" s="1" t="str">
        <f t="shared" si="2"/>
        <v/>
      </c>
    </row>
    <row r="131" spans="17:19" ht="20.100000000000001" customHeight="1" x14ac:dyDescent="0.25">
      <c r="Q131" s="58"/>
      <c r="R131" s="4"/>
      <c r="S131" s="1" t="str">
        <f t="shared" si="2"/>
        <v/>
      </c>
    </row>
    <row r="132" spans="17:19" ht="20.100000000000001" customHeight="1" x14ac:dyDescent="0.25">
      <c r="Q132" s="58"/>
      <c r="R132" s="4"/>
      <c r="S132" s="1" t="str">
        <f t="shared" ref="S132:S195" si="3">IFERROR(100*(Q132-R132)/Q132,"")</f>
        <v/>
      </c>
    </row>
    <row r="133" spans="17:19" ht="20.100000000000001" customHeight="1" x14ac:dyDescent="0.25">
      <c r="Q133" s="58"/>
      <c r="R133" s="4"/>
      <c r="S133" s="1" t="str">
        <f t="shared" si="3"/>
        <v/>
      </c>
    </row>
    <row r="134" spans="17:19" ht="20.100000000000001" customHeight="1" x14ac:dyDescent="0.25">
      <c r="Q134" s="58"/>
      <c r="R134" s="4"/>
      <c r="S134" s="1" t="str">
        <f t="shared" si="3"/>
        <v/>
      </c>
    </row>
    <row r="135" spans="17:19" ht="20.100000000000001" customHeight="1" x14ac:dyDescent="0.25">
      <c r="Q135" s="58"/>
      <c r="R135" s="4"/>
      <c r="S135" s="1" t="str">
        <f t="shared" si="3"/>
        <v/>
      </c>
    </row>
    <row r="136" spans="17:19" ht="20.100000000000001" customHeight="1" x14ac:dyDescent="0.25">
      <c r="Q136" s="58"/>
      <c r="R136" s="4"/>
      <c r="S136" s="1" t="str">
        <f t="shared" si="3"/>
        <v/>
      </c>
    </row>
    <row r="137" spans="17:19" ht="20.100000000000001" customHeight="1" x14ac:dyDescent="0.25">
      <c r="Q137" s="58"/>
      <c r="R137" s="4"/>
      <c r="S137" s="1" t="str">
        <f t="shared" si="3"/>
        <v/>
      </c>
    </row>
    <row r="138" spans="17:19" ht="20.100000000000001" customHeight="1" x14ac:dyDescent="0.25">
      <c r="Q138" s="58"/>
      <c r="R138" s="4"/>
      <c r="S138" s="1" t="str">
        <f t="shared" si="3"/>
        <v/>
      </c>
    </row>
    <row r="139" spans="17:19" ht="20.100000000000001" customHeight="1" x14ac:dyDescent="0.25">
      <c r="Q139" s="58"/>
      <c r="R139" s="4"/>
      <c r="S139" s="1" t="str">
        <f t="shared" si="3"/>
        <v/>
      </c>
    </row>
    <row r="140" spans="17:19" ht="20.100000000000001" customHeight="1" x14ac:dyDescent="0.25">
      <c r="Q140" s="58"/>
      <c r="R140" s="4"/>
      <c r="S140" s="1" t="str">
        <f t="shared" si="3"/>
        <v/>
      </c>
    </row>
    <row r="141" spans="17:19" ht="20.100000000000001" customHeight="1" x14ac:dyDescent="0.25">
      <c r="Q141" s="58"/>
      <c r="R141" s="4"/>
      <c r="S141" s="1" t="str">
        <f t="shared" si="3"/>
        <v/>
      </c>
    </row>
    <row r="142" spans="17:19" ht="20.100000000000001" customHeight="1" x14ac:dyDescent="0.25">
      <c r="Q142" s="58"/>
      <c r="R142" s="4"/>
      <c r="S142" s="1" t="str">
        <f t="shared" si="3"/>
        <v/>
      </c>
    </row>
    <row r="143" spans="17:19" ht="20.100000000000001" customHeight="1" x14ac:dyDescent="0.25">
      <c r="Q143" s="58"/>
      <c r="R143" s="4"/>
      <c r="S143" s="1" t="str">
        <f t="shared" si="3"/>
        <v/>
      </c>
    </row>
    <row r="144" spans="17:19" ht="20.100000000000001" customHeight="1" x14ac:dyDescent="0.25">
      <c r="Q144" s="58"/>
      <c r="R144" s="4"/>
      <c r="S144" s="1" t="str">
        <f t="shared" si="3"/>
        <v/>
      </c>
    </row>
    <row r="145" spans="17:19" ht="20.100000000000001" customHeight="1" x14ac:dyDescent="0.25">
      <c r="Q145" s="58"/>
      <c r="R145" s="4"/>
      <c r="S145" s="1" t="str">
        <f t="shared" si="3"/>
        <v/>
      </c>
    </row>
    <row r="146" spans="17:19" ht="20.100000000000001" customHeight="1" x14ac:dyDescent="0.25">
      <c r="Q146" s="58"/>
      <c r="R146" s="4"/>
      <c r="S146" s="1" t="str">
        <f t="shared" si="3"/>
        <v/>
      </c>
    </row>
    <row r="147" spans="17:19" ht="20.100000000000001" customHeight="1" x14ac:dyDescent="0.25">
      <c r="Q147" s="58"/>
      <c r="R147" s="4"/>
      <c r="S147" s="1" t="str">
        <f t="shared" si="3"/>
        <v/>
      </c>
    </row>
    <row r="148" spans="17:19" ht="20.100000000000001" customHeight="1" x14ac:dyDescent="0.25">
      <c r="Q148" s="58"/>
      <c r="R148" s="4"/>
      <c r="S148" s="1" t="str">
        <f t="shared" si="3"/>
        <v/>
      </c>
    </row>
    <row r="149" spans="17:19" ht="20.100000000000001" customHeight="1" x14ac:dyDescent="0.25">
      <c r="Q149" s="58"/>
      <c r="R149" s="4"/>
      <c r="S149" s="1" t="str">
        <f t="shared" si="3"/>
        <v/>
      </c>
    </row>
    <row r="150" spans="17:19" ht="20.100000000000001" customHeight="1" x14ac:dyDescent="0.25">
      <c r="Q150" s="58"/>
      <c r="R150" s="4"/>
      <c r="S150" s="1" t="str">
        <f t="shared" si="3"/>
        <v/>
      </c>
    </row>
    <row r="151" spans="17:19" ht="20.100000000000001" customHeight="1" x14ac:dyDescent="0.25">
      <c r="Q151" s="58"/>
      <c r="R151" s="4"/>
      <c r="S151" s="1" t="str">
        <f t="shared" si="3"/>
        <v/>
      </c>
    </row>
    <row r="152" spans="17:19" ht="20.100000000000001" customHeight="1" x14ac:dyDescent="0.25">
      <c r="Q152" s="58"/>
      <c r="R152" s="4"/>
      <c r="S152" s="1" t="str">
        <f t="shared" si="3"/>
        <v/>
      </c>
    </row>
    <row r="153" spans="17:19" ht="20.100000000000001" customHeight="1" x14ac:dyDescent="0.25">
      <c r="Q153" s="58"/>
      <c r="R153" s="4"/>
      <c r="S153" s="1" t="str">
        <f t="shared" si="3"/>
        <v/>
      </c>
    </row>
    <row r="154" spans="17:19" ht="20.100000000000001" customHeight="1" x14ac:dyDescent="0.25">
      <c r="Q154" s="58"/>
      <c r="R154" s="4"/>
      <c r="S154" s="1" t="str">
        <f t="shared" si="3"/>
        <v/>
      </c>
    </row>
    <row r="155" spans="17:19" ht="20.100000000000001" customHeight="1" x14ac:dyDescent="0.25">
      <c r="Q155" s="58"/>
      <c r="R155" s="4"/>
      <c r="S155" s="1" t="str">
        <f t="shared" si="3"/>
        <v/>
      </c>
    </row>
    <row r="156" spans="17:19" ht="20.100000000000001" customHeight="1" x14ac:dyDescent="0.25">
      <c r="Q156" s="58"/>
      <c r="R156" s="4"/>
      <c r="S156" s="1" t="str">
        <f t="shared" si="3"/>
        <v/>
      </c>
    </row>
    <row r="157" spans="17:19" ht="20.100000000000001" customHeight="1" x14ac:dyDescent="0.25">
      <c r="Q157" s="58"/>
      <c r="R157" s="4"/>
      <c r="S157" s="1" t="str">
        <f t="shared" si="3"/>
        <v/>
      </c>
    </row>
    <row r="158" spans="17:19" ht="20.100000000000001" customHeight="1" x14ac:dyDescent="0.25">
      <c r="Q158" s="58"/>
      <c r="R158" s="4"/>
      <c r="S158" s="1" t="str">
        <f t="shared" si="3"/>
        <v/>
      </c>
    </row>
    <row r="159" spans="17:19" ht="20.100000000000001" customHeight="1" x14ac:dyDescent="0.25">
      <c r="Q159" s="58"/>
      <c r="R159" s="4"/>
      <c r="S159" s="1" t="str">
        <f t="shared" si="3"/>
        <v/>
      </c>
    </row>
    <row r="160" spans="17:19" ht="20.100000000000001" customHeight="1" x14ac:dyDescent="0.25">
      <c r="Q160" s="58"/>
      <c r="R160" s="4"/>
      <c r="S160" s="1" t="str">
        <f t="shared" si="3"/>
        <v/>
      </c>
    </row>
    <row r="161" spans="17:19" ht="20.100000000000001" customHeight="1" x14ac:dyDescent="0.25">
      <c r="Q161" s="58"/>
      <c r="R161" s="4"/>
      <c r="S161" s="1" t="str">
        <f t="shared" si="3"/>
        <v/>
      </c>
    </row>
    <row r="162" spans="17:19" ht="20.100000000000001" customHeight="1" x14ac:dyDescent="0.25">
      <c r="Q162" s="58"/>
      <c r="R162" s="4"/>
      <c r="S162" s="1" t="str">
        <f t="shared" si="3"/>
        <v/>
      </c>
    </row>
    <row r="163" spans="17:19" ht="20.100000000000001" customHeight="1" x14ac:dyDescent="0.25">
      <c r="Q163" s="58"/>
      <c r="R163" s="4"/>
      <c r="S163" s="1" t="str">
        <f t="shared" si="3"/>
        <v/>
      </c>
    </row>
    <row r="164" spans="17:19" ht="20.100000000000001" customHeight="1" x14ac:dyDescent="0.25">
      <c r="Q164" s="58"/>
      <c r="R164" s="4"/>
      <c r="S164" s="1" t="str">
        <f t="shared" si="3"/>
        <v/>
      </c>
    </row>
    <row r="165" spans="17:19" ht="20.100000000000001" customHeight="1" x14ac:dyDescent="0.25">
      <c r="Q165" s="58"/>
      <c r="R165" s="4"/>
      <c r="S165" s="1" t="str">
        <f t="shared" si="3"/>
        <v/>
      </c>
    </row>
    <row r="166" spans="17:19" ht="20.100000000000001" customHeight="1" x14ac:dyDescent="0.25">
      <c r="Q166" s="58"/>
      <c r="R166" s="4"/>
      <c r="S166" s="1" t="str">
        <f t="shared" si="3"/>
        <v/>
      </c>
    </row>
    <row r="167" spans="17:19" ht="20.100000000000001" customHeight="1" x14ac:dyDescent="0.25">
      <c r="Q167" s="58"/>
      <c r="R167" s="4"/>
      <c r="S167" s="1" t="str">
        <f t="shared" si="3"/>
        <v/>
      </c>
    </row>
    <row r="168" spans="17:19" ht="20.100000000000001" customHeight="1" x14ac:dyDescent="0.25">
      <c r="Q168" s="58"/>
      <c r="R168" s="4"/>
      <c r="S168" s="1" t="str">
        <f t="shared" si="3"/>
        <v/>
      </c>
    </row>
    <row r="169" spans="17:19" ht="20.100000000000001" customHeight="1" x14ac:dyDescent="0.25">
      <c r="Q169" s="58"/>
      <c r="R169" s="4"/>
      <c r="S169" s="1" t="str">
        <f t="shared" si="3"/>
        <v/>
      </c>
    </row>
    <row r="170" spans="17:19" ht="20.100000000000001" customHeight="1" x14ac:dyDescent="0.25">
      <c r="Q170" s="58"/>
      <c r="R170" s="4"/>
      <c r="S170" s="1" t="str">
        <f t="shared" si="3"/>
        <v/>
      </c>
    </row>
    <row r="171" spans="17:19" ht="20.100000000000001" customHeight="1" x14ac:dyDescent="0.25">
      <c r="Q171" s="58"/>
      <c r="R171" s="4"/>
      <c r="S171" s="1" t="str">
        <f t="shared" si="3"/>
        <v/>
      </c>
    </row>
    <row r="172" spans="17:19" ht="20.100000000000001" customHeight="1" x14ac:dyDescent="0.25">
      <c r="Q172" s="58"/>
      <c r="R172" s="4"/>
      <c r="S172" s="1" t="str">
        <f t="shared" si="3"/>
        <v/>
      </c>
    </row>
    <row r="173" spans="17:19" ht="20.100000000000001" customHeight="1" x14ac:dyDescent="0.25">
      <c r="Q173" s="58"/>
      <c r="R173" s="4"/>
      <c r="S173" s="1" t="str">
        <f t="shared" si="3"/>
        <v/>
      </c>
    </row>
    <row r="174" spans="17:19" ht="20.100000000000001" customHeight="1" x14ac:dyDescent="0.25">
      <c r="Q174" s="58"/>
      <c r="R174" s="4"/>
      <c r="S174" s="1" t="str">
        <f t="shared" si="3"/>
        <v/>
      </c>
    </row>
    <row r="175" spans="17:19" ht="20.100000000000001" customHeight="1" x14ac:dyDescent="0.25">
      <c r="Q175" s="58"/>
      <c r="R175" s="4"/>
      <c r="S175" s="1" t="str">
        <f t="shared" si="3"/>
        <v/>
      </c>
    </row>
    <row r="176" spans="17:19" ht="20.100000000000001" customHeight="1" x14ac:dyDescent="0.25">
      <c r="Q176" s="58"/>
      <c r="R176" s="4"/>
      <c r="S176" s="1" t="str">
        <f t="shared" si="3"/>
        <v/>
      </c>
    </row>
    <row r="177" spans="17:19" ht="20.100000000000001" customHeight="1" x14ac:dyDescent="0.25">
      <c r="Q177" s="58"/>
      <c r="R177" s="4"/>
      <c r="S177" s="1" t="str">
        <f t="shared" si="3"/>
        <v/>
      </c>
    </row>
    <row r="178" spans="17:19" ht="20.100000000000001" customHeight="1" x14ac:dyDescent="0.25">
      <c r="Q178" s="58"/>
      <c r="R178" s="4"/>
      <c r="S178" s="1" t="str">
        <f t="shared" si="3"/>
        <v/>
      </c>
    </row>
    <row r="179" spans="17:19" ht="20.100000000000001" customHeight="1" x14ac:dyDescent="0.25">
      <c r="Q179" s="58"/>
      <c r="R179" s="4"/>
      <c r="S179" s="1" t="str">
        <f t="shared" si="3"/>
        <v/>
      </c>
    </row>
    <row r="180" spans="17:19" ht="20.100000000000001" customHeight="1" x14ac:dyDescent="0.25">
      <c r="Q180" s="58"/>
      <c r="R180" s="4"/>
      <c r="S180" s="1" t="str">
        <f t="shared" si="3"/>
        <v/>
      </c>
    </row>
    <row r="181" spans="17:19" ht="20.100000000000001" customHeight="1" x14ac:dyDescent="0.25">
      <c r="Q181" s="58"/>
      <c r="R181" s="4"/>
      <c r="S181" s="1" t="str">
        <f t="shared" si="3"/>
        <v/>
      </c>
    </row>
    <row r="182" spans="17:19" ht="20.100000000000001" customHeight="1" x14ac:dyDescent="0.25">
      <c r="Q182" s="58"/>
      <c r="R182" s="4"/>
      <c r="S182" s="1" t="str">
        <f t="shared" si="3"/>
        <v/>
      </c>
    </row>
    <row r="183" spans="17:19" ht="20.100000000000001" customHeight="1" x14ac:dyDescent="0.25">
      <c r="Q183" s="58"/>
      <c r="R183" s="4"/>
      <c r="S183" s="1" t="str">
        <f t="shared" si="3"/>
        <v/>
      </c>
    </row>
    <row r="184" spans="17:19" ht="20.100000000000001" customHeight="1" x14ac:dyDescent="0.25">
      <c r="Q184" s="58"/>
      <c r="R184" s="4"/>
      <c r="S184" s="1" t="str">
        <f t="shared" si="3"/>
        <v/>
      </c>
    </row>
    <row r="185" spans="17:19" ht="20.100000000000001" customHeight="1" x14ac:dyDescent="0.25">
      <c r="Q185" s="58"/>
      <c r="R185" s="4"/>
      <c r="S185" s="1" t="str">
        <f t="shared" si="3"/>
        <v/>
      </c>
    </row>
    <row r="186" spans="17:19" ht="20.100000000000001" customHeight="1" x14ac:dyDescent="0.25">
      <c r="Q186" s="58"/>
      <c r="R186" s="4"/>
      <c r="S186" s="1" t="str">
        <f t="shared" si="3"/>
        <v/>
      </c>
    </row>
    <row r="187" spans="17:19" ht="20.100000000000001" customHeight="1" x14ac:dyDescent="0.25">
      <c r="Q187" s="58"/>
      <c r="R187" s="4"/>
      <c r="S187" s="1" t="str">
        <f t="shared" si="3"/>
        <v/>
      </c>
    </row>
    <row r="188" spans="17:19" ht="20.100000000000001" customHeight="1" x14ac:dyDescent="0.25">
      <c r="Q188" s="58"/>
      <c r="R188" s="4"/>
      <c r="S188" s="1" t="str">
        <f t="shared" si="3"/>
        <v/>
      </c>
    </row>
    <row r="189" spans="17:19" ht="20.100000000000001" customHeight="1" x14ac:dyDescent="0.25">
      <c r="Q189" s="58"/>
      <c r="R189" s="4"/>
      <c r="S189" s="1" t="str">
        <f t="shared" si="3"/>
        <v/>
      </c>
    </row>
    <row r="190" spans="17:19" ht="20.100000000000001" customHeight="1" x14ac:dyDescent="0.25">
      <c r="Q190" s="58"/>
      <c r="R190" s="4"/>
      <c r="S190" s="1" t="str">
        <f t="shared" si="3"/>
        <v/>
      </c>
    </row>
    <row r="191" spans="17:19" ht="20.100000000000001" customHeight="1" x14ac:dyDescent="0.25">
      <c r="Q191" s="58"/>
      <c r="R191" s="4"/>
      <c r="S191" s="1" t="str">
        <f t="shared" si="3"/>
        <v/>
      </c>
    </row>
    <row r="192" spans="17:19" ht="20.100000000000001" customHeight="1" x14ac:dyDescent="0.25">
      <c r="Q192" s="58"/>
      <c r="R192" s="4"/>
      <c r="S192" s="1" t="str">
        <f t="shared" si="3"/>
        <v/>
      </c>
    </row>
    <row r="193" spans="17:19" ht="20.100000000000001" customHeight="1" x14ac:dyDescent="0.25">
      <c r="Q193" s="58"/>
      <c r="R193" s="4"/>
      <c r="S193" s="1" t="str">
        <f t="shared" si="3"/>
        <v/>
      </c>
    </row>
    <row r="194" spans="17:19" ht="20.100000000000001" customHeight="1" x14ac:dyDescent="0.25">
      <c r="Q194" s="58"/>
      <c r="R194" s="4"/>
      <c r="S194" s="1" t="str">
        <f t="shared" si="3"/>
        <v/>
      </c>
    </row>
    <row r="195" spans="17:19" ht="20.100000000000001" customHeight="1" x14ac:dyDescent="0.25">
      <c r="Q195" s="58"/>
      <c r="R195" s="4"/>
      <c r="S195" s="1" t="str">
        <f t="shared" si="3"/>
        <v/>
      </c>
    </row>
    <row r="196" spans="17:19" ht="20.100000000000001" customHeight="1" x14ac:dyDescent="0.25">
      <c r="Q196" s="58"/>
      <c r="R196" s="4"/>
      <c r="S196" s="1" t="str">
        <f t="shared" ref="S196:S210" si="4">IFERROR(100*(Q196-R196)/Q196,"")</f>
        <v/>
      </c>
    </row>
    <row r="197" spans="17:19" ht="20.100000000000001" customHeight="1" x14ac:dyDescent="0.25">
      <c r="Q197" s="58"/>
      <c r="R197" s="4"/>
      <c r="S197" s="1" t="str">
        <f t="shared" si="4"/>
        <v/>
      </c>
    </row>
    <row r="198" spans="17:19" ht="20.100000000000001" customHeight="1" x14ac:dyDescent="0.25">
      <c r="Q198" s="58"/>
      <c r="R198" s="4"/>
      <c r="S198" s="1" t="str">
        <f t="shared" si="4"/>
        <v/>
      </c>
    </row>
    <row r="199" spans="17:19" ht="20.100000000000001" customHeight="1" x14ac:dyDescent="0.25">
      <c r="Q199" s="58"/>
      <c r="R199" s="4"/>
      <c r="S199" s="1" t="str">
        <f t="shared" si="4"/>
        <v/>
      </c>
    </row>
    <row r="200" spans="17:19" ht="20.100000000000001" customHeight="1" x14ac:dyDescent="0.25">
      <c r="Q200" s="58"/>
      <c r="R200" s="4"/>
      <c r="S200" s="1" t="str">
        <f t="shared" si="4"/>
        <v/>
      </c>
    </row>
    <row r="201" spans="17:19" ht="20.100000000000001" customHeight="1" x14ac:dyDescent="0.25">
      <c r="Q201" s="58"/>
      <c r="R201" s="4"/>
      <c r="S201" s="1" t="str">
        <f t="shared" si="4"/>
        <v/>
      </c>
    </row>
    <row r="202" spans="17:19" ht="20.100000000000001" customHeight="1" x14ac:dyDescent="0.25">
      <c r="Q202" s="58"/>
      <c r="R202" s="4"/>
      <c r="S202" s="1" t="str">
        <f t="shared" si="4"/>
        <v/>
      </c>
    </row>
    <row r="203" spans="17:19" ht="20.100000000000001" customHeight="1" x14ac:dyDescent="0.25">
      <c r="Q203" s="58"/>
      <c r="R203" s="4"/>
      <c r="S203" s="1" t="str">
        <f t="shared" si="4"/>
        <v/>
      </c>
    </row>
    <row r="204" spans="17:19" ht="20.100000000000001" customHeight="1" x14ac:dyDescent="0.25">
      <c r="Q204" s="58"/>
      <c r="R204" s="4"/>
      <c r="S204" s="1" t="str">
        <f t="shared" si="4"/>
        <v/>
      </c>
    </row>
    <row r="205" spans="17:19" ht="20.100000000000001" customHeight="1" x14ac:dyDescent="0.25">
      <c r="Q205" s="58"/>
      <c r="R205" s="4"/>
      <c r="S205" s="1" t="str">
        <f t="shared" si="4"/>
        <v/>
      </c>
    </row>
    <row r="206" spans="17:19" ht="20.100000000000001" customHeight="1" x14ac:dyDescent="0.25">
      <c r="Q206" s="58"/>
      <c r="R206" s="4"/>
      <c r="S206" s="1" t="str">
        <f t="shared" si="4"/>
        <v/>
      </c>
    </row>
    <row r="207" spans="17:19" ht="20.100000000000001" customHeight="1" x14ac:dyDescent="0.25">
      <c r="Q207" s="58"/>
      <c r="R207" s="4"/>
      <c r="S207" s="1" t="str">
        <f t="shared" si="4"/>
        <v/>
      </c>
    </row>
    <row r="208" spans="17:19" ht="20.100000000000001" customHeight="1" x14ac:dyDescent="0.25">
      <c r="Q208" s="58"/>
      <c r="R208" s="4"/>
      <c r="S208" s="1" t="str">
        <f t="shared" si="4"/>
        <v/>
      </c>
    </row>
    <row r="209" spans="17:19" ht="20.100000000000001" customHeight="1" x14ac:dyDescent="0.25">
      <c r="Q209" s="58"/>
      <c r="R209" s="4"/>
      <c r="S209" s="1" t="str">
        <f t="shared" si="4"/>
        <v/>
      </c>
    </row>
    <row r="210" spans="17:19" ht="20.100000000000001" customHeight="1" thickBot="1" x14ac:dyDescent="0.3">
      <c r="Q210" s="55"/>
      <c r="R210" s="6"/>
      <c r="S210" s="1" t="str">
        <f t="shared" si="4"/>
        <v/>
      </c>
    </row>
  </sheetData>
  <sheetProtection algorithmName="SHA-512" hashValue="KK4lLLZ16Y0KMy9Rg30+ORt6FIaAnSrjVoJywga81ee2rzvE+som4g/wYqonp8Bx2t/AzoZRRjjlggF4VkGVrg==" saltValue="53YHjsBAAboV8XNEQNGOBQ==" spinCount="100000" sheet="1" objects="1" scenarios="1" selectLockedCells="1"/>
  <mergeCells count="13">
    <mergeCell ref="Z3:AC6"/>
    <mergeCell ref="C1:D1"/>
    <mergeCell ref="C12:D12"/>
    <mergeCell ref="C13:D13"/>
    <mergeCell ref="B19:B20"/>
    <mergeCell ref="C19:C20"/>
    <mergeCell ref="C3:D3"/>
    <mergeCell ref="C4:D4"/>
    <mergeCell ref="C5:D5"/>
    <mergeCell ref="C6:D6"/>
    <mergeCell ref="C7:D7"/>
    <mergeCell ref="C16:D16"/>
    <mergeCell ref="C17:D17"/>
  </mergeCells>
  <conditionalFormatting sqref="B21:D34">
    <cfRule type="expression" dxfId="21" priority="1">
      <formula>OR(AND(ROW(B21)=$K$34,COLUMN(B21)=3),AND(ROW(B21)=$K$38,COLUMN(B21)=2))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AM74"/>
  <sheetViews>
    <sheetView showGridLines="0" tabSelected="1" topLeftCell="L1" zoomScaleNormal="100" workbookViewId="0">
      <selection activeCell="X8" sqref="X8"/>
    </sheetView>
  </sheetViews>
  <sheetFormatPr defaultColWidth="0" defaultRowHeight="0" customHeight="1" zeroHeight="1" x14ac:dyDescent="0.25"/>
  <cols>
    <col min="1" max="7" width="12.7109375" style="1" customWidth="1"/>
    <col min="8" max="8" width="12.7109375" style="7" customWidth="1"/>
    <col min="9" max="9" width="6.7109375" style="7" customWidth="1"/>
    <col min="10" max="10" width="15.7109375" style="1" customWidth="1"/>
    <col min="11" max="11" width="83.5703125" style="36" customWidth="1"/>
    <col min="12" max="15" width="12.7109375" style="1" customWidth="1"/>
    <col min="16" max="16" width="15.7109375" style="7" customWidth="1"/>
    <col min="17" max="19" width="12.7109375" style="1" customWidth="1"/>
    <col min="20" max="21" width="10.7109375" style="86" customWidth="1"/>
    <col min="22" max="32" width="10.7109375" style="83" customWidth="1"/>
    <col min="33" max="34" width="12.7109375" style="83" customWidth="1"/>
    <col min="35" max="36" width="12.7109375" style="81" customWidth="1"/>
    <col min="37" max="16384" width="12.7109375" style="1" hidden="1"/>
  </cols>
  <sheetData>
    <row r="1" spans="2:39" ht="20.100000000000001" customHeight="1" thickBot="1" x14ac:dyDescent="0.3">
      <c r="T1" s="84"/>
      <c r="U1" s="84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80"/>
    </row>
    <row r="2" spans="2:39" ht="20.100000000000001" customHeight="1" thickBot="1" x14ac:dyDescent="0.3">
      <c r="B2" s="50" t="s">
        <v>15</v>
      </c>
      <c r="C2" s="63">
        <f>Munka2!J3</f>
        <v>0.35</v>
      </c>
      <c r="D2" s="2" t="s">
        <v>0</v>
      </c>
      <c r="T2" s="84"/>
      <c r="U2" s="84"/>
      <c r="V2" s="79"/>
      <c r="W2" s="79"/>
      <c r="X2" s="79"/>
      <c r="Y2" s="79"/>
      <c r="Z2" s="79"/>
      <c r="AA2" s="79"/>
      <c r="AB2" s="79" t="s">
        <v>148</v>
      </c>
      <c r="AC2" s="79"/>
      <c r="AD2" s="79"/>
      <c r="AE2" s="79"/>
      <c r="AF2" s="79"/>
      <c r="AG2" s="79"/>
      <c r="AH2" s="79"/>
      <c r="AI2" s="78"/>
      <c r="AJ2" s="82"/>
      <c r="AK2" s="56"/>
    </row>
    <row r="3" spans="2:39" ht="20.100000000000001" customHeight="1" thickBot="1" x14ac:dyDescent="0.3">
      <c r="B3" s="51" t="s">
        <v>16</v>
      </c>
      <c r="C3" s="64">
        <f>Munka2!J4</f>
        <v>81</v>
      </c>
      <c r="D3" s="4" t="s">
        <v>0</v>
      </c>
      <c r="H3" s="7" t="str">
        <f t="shared" ref="H3:H55" si="0">"J"&amp;ROW(A3)</f>
        <v>J3</v>
      </c>
      <c r="I3" s="135" t="s">
        <v>99</v>
      </c>
      <c r="J3" s="136"/>
      <c r="K3" s="137"/>
      <c r="P3" s="135" t="s">
        <v>109</v>
      </c>
      <c r="Q3" s="136"/>
      <c r="R3" s="137"/>
      <c r="T3" s="85" t="s">
        <v>152</v>
      </c>
      <c r="U3" s="84"/>
      <c r="V3" s="79"/>
      <c r="W3" s="79"/>
      <c r="X3" s="79"/>
      <c r="Y3" s="79"/>
      <c r="Z3" s="79"/>
      <c r="AA3" s="79"/>
      <c r="AB3" s="79" t="s">
        <v>123</v>
      </c>
      <c r="AC3" s="79"/>
      <c r="AD3" s="79"/>
      <c r="AE3" s="79"/>
      <c r="AF3" s="79"/>
      <c r="AG3" s="79"/>
      <c r="AH3" s="79"/>
      <c r="AI3" s="78"/>
      <c r="AJ3" s="82"/>
      <c r="AK3" s="56"/>
    </row>
    <row r="4" spans="2:39" ht="20.100000000000001" customHeight="1" x14ac:dyDescent="0.25">
      <c r="B4" s="51" t="s">
        <v>17</v>
      </c>
      <c r="C4" s="64">
        <f>Munka2!J5</f>
        <v>0.25</v>
      </c>
      <c r="D4" s="4" t="s">
        <v>0</v>
      </c>
      <c r="H4" s="7" t="str">
        <f t="shared" si="0"/>
        <v>J4</v>
      </c>
      <c r="I4" s="87" t="s">
        <v>92</v>
      </c>
      <c r="J4" s="101">
        <f>(J42-J39)/J25</f>
        <v>0.40286353716953927</v>
      </c>
      <c r="K4" s="37" t="s">
        <v>77</v>
      </c>
      <c r="L4" s="125" t="s">
        <v>96</v>
      </c>
      <c r="M4" s="126"/>
      <c r="N4" s="127"/>
      <c r="P4" s="9" t="s">
        <v>108</v>
      </c>
      <c r="Q4" s="28" t="b">
        <f>ABS(J40-MAX(C19:C32))&gt;ABS(J40-MIN(C19:C32))</f>
        <v>1</v>
      </c>
      <c r="R4" s="2"/>
      <c r="T4" s="84" t="s">
        <v>124</v>
      </c>
      <c r="U4" s="84" t="s">
        <v>125</v>
      </c>
      <c r="V4" s="79" t="s">
        <v>126</v>
      </c>
      <c r="W4" s="79" t="s">
        <v>137</v>
      </c>
      <c r="X4" s="79" t="s">
        <v>130</v>
      </c>
      <c r="Y4" s="79" t="s">
        <v>127</v>
      </c>
      <c r="Z4" s="79" t="s">
        <v>138</v>
      </c>
      <c r="AA4" s="79" t="s">
        <v>128</v>
      </c>
      <c r="AB4" s="79" t="s">
        <v>139</v>
      </c>
      <c r="AC4" s="79" t="s">
        <v>129</v>
      </c>
      <c r="AD4" s="79" t="s">
        <v>141</v>
      </c>
      <c r="AE4" s="79" t="s">
        <v>140</v>
      </c>
      <c r="AF4" s="79" t="s">
        <v>131</v>
      </c>
      <c r="AG4" s="79" t="s">
        <v>149</v>
      </c>
      <c r="AH4" s="79" t="s">
        <v>153</v>
      </c>
      <c r="AI4" s="78" t="s">
        <v>147</v>
      </c>
      <c r="AJ4" s="82"/>
      <c r="AK4" s="56"/>
    </row>
    <row r="5" spans="2:39" ht="20.100000000000001" customHeight="1" x14ac:dyDescent="0.25">
      <c r="B5" s="51" t="s">
        <v>8</v>
      </c>
      <c r="C5" s="64">
        <v>350</v>
      </c>
      <c r="D5" s="4" t="s">
        <v>14</v>
      </c>
      <c r="H5" s="7" t="str">
        <f t="shared" si="0"/>
        <v>J5</v>
      </c>
      <c r="I5" s="89" t="s">
        <v>86</v>
      </c>
      <c r="J5" s="102">
        <f>J42-J24*J4</f>
        <v>0.89525230482119844</v>
      </c>
      <c r="K5" s="38" t="s">
        <v>78</v>
      </c>
      <c r="L5" s="128"/>
      <c r="M5" s="129"/>
      <c r="N5" s="130"/>
      <c r="P5" s="10" t="s">
        <v>97</v>
      </c>
      <c r="Q5" s="27" t="b">
        <f>OR(AND(Q4,J41&lt;J39,J40&lt;J39),AND(NOT(Q4),J41&gt;J39,J40&gt;J39))</f>
        <v>0</v>
      </c>
      <c r="R5" s="4"/>
      <c r="T5" s="84" t="s">
        <v>151</v>
      </c>
      <c r="U5" s="84" t="s">
        <v>150</v>
      </c>
      <c r="V5" s="79" t="s">
        <v>155</v>
      </c>
      <c r="W5" s="79" t="s">
        <v>179</v>
      </c>
      <c r="X5" s="79" t="s">
        <v>199</v>
      </c>
      <c r="Y5" s="79" t="s">
        <v>219</v>
      </c>
      <c r="Z5" s="79" t="s">
        <v>239</v>
      </c>
      <c r="AA5" s="79" t="s">
        <v>261</v>
      </c>
      <c r="AB5" s="79" t="s">
        <v>273</v>
      </c>
      <c r="AC5" s="79" t="s">
        <v>288</v>
      </c>
      <c r="AD5" s="79" t="s">
        <v>301</v>
      </c>
      <c r="AE5" s="79" t="s">
        <v>316</v>
      </c>
      <c r="AF5" s="79" t="s">
        <v>331</v>
      </c>
      <c r="AG5" s="79" t="s">
        <v>345</v>
      </c>
      <c r="AH5" s="79" t="s">
        <v>357</v>
      </c>
      <c r="AI5" s="78" t="s">
        <v>370</v>
      </c>
      <c r="AJ5" s="82"/>
      <c r="AK5" s="56" t="b">
        <v>1</v>
      </c>
      <c r="AL5" s="1" t="str">
        <f>IF(OR(T5&lt;&gt;"",T4&lt;&gt;""),IF(OR(MOD(ROW(AL5),4)=1,MOD(ROW(AL5),4)=2),"SÖTÉT","VILÁGOS"),"")</f>
        <v>SÖTÉT</v>
      </c>
      <c r="AM5" s="1" t="str">
        <f>IF(AK5&lt;&gt;"",AL5&amp;IF(AK5,"KÉK","PIROS"),"")</f>
        <v>SÖTÉTKÉK</v>
      </c>
    </row>
    <row r="6" spans="2:39" ht="20.100000000000001" customHeight="1" x14ac:dyDescent="0.25">
      <c r="B6" s="51" t="s">
        <v>9</v>
      </c>
      <c r="C6" s="64">
        <v>15</v>
      </c>
      <c r="D6" s="4" t="s">
        <v>14</v>
      </c>
      <c r="H6" s="7" t="str">
        <f t="shared" si="0"/>
        <v>J6</v>
      </c>
      <c r="I6" s="10" t="s">
        <v>87</v>
      </c>
      <c r="J6" s="13">
        <f>J5</f>
        <v>0.89525230482119844</v>
      </c>
      <c r="K6" s="38" t="s">
        <v>79</v>
      </c>
      <c r="L6" s="128"/>
      <c r="M6" s="129"/>
      <c r="N6" s="130"/>
      <c r="P6" s="10" t="s">
        <v>98</v>
      </c>
      <c r="Q6" s="29" t="b">
        <v>1</v>
      </c>
      <c r="R6" s="4"/>
      <c r="T6" s="84"/>
      <c r="U6" s="84"/>
      <c r="V6" s="79" t="s">
        <v>156</v>
      </c>
      <c r="W6" s="79" t="s">
        <v>180</v>
      </c>
      <c r="X6" s="79" t="s">
        <v>200</v>
      </c>
      <c r="Y6" s="79" t="s">
        <v>220</v>
      </c>
      <c r="Z6" s="79" t="s">
        <v>240</v>
      </c>
      <c r="AA6" s="79" t="s">
        <v>150</v>
      </c>
      <c r="AB6" s="79" t="s">
        <v>274</v>
      </c>
      <c r="AC6" s="79" t="s">
        <v>289</v>
      </c>
      <c r="AD6" s="79" t="s">
        <v>302</v>
      </c>
      <c r="AE6" s="79" t="s">
        <v>317</v>
      </c>
      <c r="AF6" s="79" t="s">
        <v>332</v>
      </c>
      <c r="AG6" s="79" t="s">
        <v>126</v>
      </c>
      <c r="AH6" s="79" t="s">
        <v>358</v>
      </c>
      <c r="AI6" s="78" t="s">
        <v>201</v>
      </c>
      <c r="AJ6" s="82"/>
      <c r="AK6" s="56" t="b">
        <v>1</v>
      </c>
      <c r="AL6" s="1" t="str">
        <f t="shared" ref="AL6:AL32" si="1">IF(OR(T6&lt;&gt;"",T5&lt;&gt;""),IF(OR(MOD(ROW(AL6),4)=1,MOD(ROW(AL6),4)=2),"SÖTÉT","VILÁGOS"),"")</f>
        <v>SÖTÉT</v>
      </c>
      <c r="AM6" s="1" t="str">
        <f t="shared" ref="AM6:AM32" si="2">IF(AK6&lt;&gt;"",AL6&amp;IF(AK6,"KÉK","PIROS"),"")</f>
        <v>SÖTÉTKÉK</v>
      </c>
    </row>
    <row r="7" spans="2:39" ht="20.100000000000001" customHeight="1" x14ac:dyDescent="0.25">
      <c r="B7" s="51" t="s">
        <v>10</v>
      </c>
      <c r="C7" s="64">
        <f>Munka2!J8</f>
        <v>7.4</v>
      </c>
      <c r="D7" s="4" t="s">
        <v>1</v>
      </c>
      <c r="H7" s="7" t="str">
        <f t="shared" si="0"/>
        <v>J7</v>
      </c>
      <c r="I7" s="10" t="s">
        <v>88</v>
      </c>
      <c r="J7" s="15">
        <f>Levegő_hőmérséklet</f>
        <v>0</v>
      </c>
      <c r="K7" s="38" t="s">
        <v>80</v>
      </c>
      <c r="L7" s="128"/>
      <c r="M7" s="129"/>
      <c r="N7" s="130"/>
      <c r="P7" s="10" t="s">
        <v>101</v>
      </c>
      <c r="Q7" s="3">
        <f>TRUNC(ABS(IF(Q6,J13,J12)),1)</f>
        <v>7</v>
      </c>
      <c r="R7" s="4"/>
      <c r="T7" s="84" t="s">
        <v>150</v>
      </c>
      <c r="U7" s="84" t="s">
        <v>137</v>
      </c>
      <c r="V7" s="79"/>
      <c r="W7" s="79"/>
      <c r="X7" s="79" t="s">
        <v>155</v>
      </c>
      <c r="Y7" s="79" t="s">
        <v>179</v>
      </c>
      <c r="Z7" s="79" t="s">
        <v>199</v>
      </c>
      <c r="AA7" s="79" t="s">
        <v>219</v>
      </c>
      <c r="AB7" s="79" t="s">
        <v>239</v>
      </c>
      <c r="AC7" s="79" t="s">
        <v>261</v>
      </c>
      <c r="AD7" s="79" t="s">
        <v>273</v>
      </c>
      <c r="AE7" s="79" t="s">
        <v>288</v>
      </c>
      <c r="AF7" s="79" t="s">
        <v>301</v>
      </c>
      <c r="AG7" s="79" t="s">
        <v>316</v>
      </c>
      <c r="AH7" s="79" t="s">
        <v>331</v>
      </c>
      <c r="AI7" s="78" t="s">
        <v>345</v>
      </c>
      <c r="AJ7" s="82"/>
      <c r="AK7" s="56" t="b">
        <v>1</v>
      </c>
      <c r="AL7" s="1" t="str">
        <f t="shared" si="1"/>
        <v>VILÁGOS</v>
      </c>
      <c r="AM7" s="1" t="str">
        <f>IF(AK7&lt;&gt;"",AL7&amp;IF(AK7,"KÉK","PIROS"),"")</f>
        <v>VILÁGOSKÉK</v>
      </c>
    </row>
    <row r="8" spans="2:39" ht="20.100000000000001" customHeight="1" x14ac:dyDescent="0.25">
      <c r="B8" s="51" t="s">
        <v>11</v>
      </c>
      <c r="C8" s="64">
        <f>Munka2!J9</f>
        <v>10</v>
      </c>
      <c r="D8" s="4" t="s">
        <v>1</v>
      </c>
      <c r="H8" s="7" t="str">
        <f t="shared" si="0"/>
        <v>J8</v>
      </c>
      <c r="I8" s="89" t="s">
        <v>81</v>
      </c>
      <c r="J8" s="100">
        <f>SQRT((2*1/((1/J17)+J50/lambda_GK))/(C3*J49))</f>
        <v>21.516574145596771</v>
      </c>
      <c r="K8" s="38" t="s">
        <v>144</v>
      </c>
      <c r="L8" s="128"/>
      <c r="M8" s="129"/>
      <c r="N8" s="130"/>
      <c r="P8" s="10" t="s">
        <v>102</v>
      </c>
      <c r="Q8" s="8" t="str">
        <f>IF(Q6,"W/m²","W")</f>
        <v>W/m²</v>
      </c>
      <c r="R8" s="4"/>
      <c r="T8" s="84"/>
      <c r="U8" s="84"/>
      <c r="V8" s="79"/>
      <c r="W8" s="79"/>
      <c r="X8" s="79" t="s">
        <v>201</v>
      </c>
      <c r="Y8" s="79" t="s">
        <v>221</v>
      </c>
      <c r="Z8" s="79" t="s">
        <v>241</v>
      </c>
      <c r="AA8" s="79" t="s">
        <v>262</v>
      </c>
      <c r="AB8" s="79" t="s">
        <v>275</v>
      </c>
      <c r="AC8" s="79" t="s">
        <v>137</v>
      </c>
      <c r="AD8" s="79" t="s">
        <v>303</v>
      </c>
      <c r="AE8" s="79" t="s">
        <v>318</v>
      </c>
      <c r="AF8" s="79" t="s">
        <v>333</v>
      </c>
      <c r="AG8" s="79" t="s">
        <v>346</v>
      </c>
      <c r="AH8" s="79" t="s">
        <v>359</v>
      </c>
      <c r="AI8" s="78" t="s">
        <v>130</v>
      </c>
      <c r="AJ8" s="82"/>
      <c r="AK8" s="56" t="b">
        <v>1</v>
      </c>
      <c r="AL8" s="1" t="str">
        <f t="shared" si="1"/>
        <v>VILÁGOS</v>
      </c>
      <c r="AM8" s="1" t="str">
        <f t="shared" si="2"/>
        <v>VILÁGOSKÉK</v>
      </c>
    </row>
    <row r="9" spans="2:39" ht="20.100000000000001" customHeight="1" x14ac:dyDescent="0.25">
      <c r="B9" s="51" t="s">
        <v>2</v>
      </c>
      <c r="C9" s="64">
        <v>40</v>
      </c>
      <c r="D9" s="4" t="s">
        <v>1</v>
      </c>
      <c r="H9" s="7" t="str">
        <f t="shared" si="0"/>
        <v>J9</v>
      </c>
      <c r="I9" s="10" t="s">
        <v>82</v>
      </c>
      <c r="J9" s="17">
        <f>C9/2000</f>
        <v>0.02</v>
      </c>
      <c r="K9" s="38" t="s">
        <v>83</v>
      </c>
      <c r="L9" s="128"/>
      <c r="M9" s="129"/>
      <c r="N9" s="130"/>
      <c r="P9" s="10" t="s">
        <v>103</v>
      </c>
      <c r="Q9" s="3" t="str">
        <f>Q7&amp;" "&amp;Q8</f>
        <v>7 W/m²</v>
      </c>
      <c r="R9" s="4"/>
      <c r="T9" s="84" t="s">
        <v>137</v>
      </c>
      <c r="U9" s="84" t="s">
        <v>127</v>
      </c>
      <c r="V9" s="79"/>
      <c r="W9" s="79"/>
      <c r="X9" s="79"/>
      <c r="Y9" s="79"/>
      <c r="Z9" s="79" t="s">
        <v>155</v>
      </c>
      <c r="AA9" s="79" t="s">
        <v>179</v>
      </c>
      <c r="AB9" s="79" t="s">
        <v>199</v>
      </c>
      <c r="AC9" s="79" t="s">
        <v>219</v>
      </c>
      <c r="AD9" s="79" t="s">
        <v>239</v>
      </c>
      <c r="AE9" s="79" t="s">
        <v>261</v>
      </c>
      <c r="AF9" s="79" t="s">
        <v>273</v>
      </c>
      <c r="AG9" s="79" t="s">
        <v>288</v>
      </c>
      <c r="AH9" s="79" t="s">
        <v>301</v>
      </c>
      <c r="AI9" s="78" t="s">
        <v>316</v>
      </c>
      <c r="AJ9" s="82"/>
      <c r="AK9" s="56" t="b">
        <v>1</v>
      </c>
      <c r="AL9" s="1" t="str">
        <f t="shared" si="1"/>
        <v>SÖTÉT</v>
      </c>
      <c r="AM9" s="1" t="str">
        <f t="shared" si="2"/>
        <v>SÖTÉTKÉK</v>
      </c>
    </row>
    <row r="10" spans="2:39" ht="20.100000000000001" customHeight="1" thickBot="1" x14ac:dyDescent="0.3">
      <c r="B10" s="51" t="s">
        <v>3</v>
      </c>
      <c r="C10" s="64">
        <f>Munka2!J11</f>
        <v>8</v>
      </c>
      <c r="D10" s="4" t="s">
        <v>4</v>
      </c>
      <c r="H10" s="7" t="str">
        <f t="shared" si="0"/>
        <v>J10</v>
      </c>
      <c r="I10" s="18" t="s">
        <v>84</v>
      </c>
      <c r="J10" s="19">
        <f>TANH(J8*J9)/(J8*J9)</f>
        <v>0.94252526875511333</v>
      </c>
      <c r="K10" s="39" t="s">
        <v>85</v>
      </c>
      <c r="L10" s="128"/>
      <c r="M10" s="129"/>
      <c r="N10" s="130"/>
      <c r="P10" s="10" t="s">
        <v>104</v>
      </c>
      <c r="Q10" s="20" t="str">
        <f>TRUNC(J11,1)&amp;" °C"</f>
        <v>0.8 °C</v>
      </c>
      <c r="R10" s="4"/>
      <c r="T10" s="84"/>
      <c r="U10" s="84"/>
      <c r="V10" s="79"/>
      <c r="W10" s="79"/>
      <c r="X10" s="79"/>
      <c r="Y10" s="79"/>
      <c r="Z10" s="79" t="s">
        <v>242</v>
      </c>
      <c r="AA10" s="79" t="s">
        <v>263</v>
      </c>
      <c r="AB10" s="79" t="s">
        <v>276</v>
      </c>
      <c r="AC10" s="79" t="s">
        <v>290</v>
      </c>
      <c r="AD10" s="79" t="s">
        <v>304</v>
      </c>
      <c r="AE10" s="79" t="s">
        <v>127</v>
      </c>
      <c r="AF10" s="79" t="s">
        <v>334</v>
      </c>
      <c r="AG10" s="79" t="s">
        <v>347</v>
      </c>
      <c r="AH10" s="79" t="s">
        <v>360</v>
      </c>
      <c r="AI10" s="78" t="s">
        <v>371</v>
      </c>
      <c r="AJ10" s="82"/>
      <c r="AK10" s="56" t="b">
        <v>1</v>
      </c>
      <c r="AL10" s="1" t="str">
        <f t="shared" si="1"/>
        <v>SÖTÉT</v>
      </c>
      <c r="AM10" s="1" t="str">
        <f t="shared" si="2"/>
        <v>SÖTÉTKÉK</v>
      </c>
    </row>
    <row r="11" spans="2:39" ht="20.100000000000001" customHeight="1" x14ac:dyDescent="0.25">
      <c r="B11" s="51" t="s">
        <v>5</v>
      </c>
      <c r="C11" s="64">
        <f>Munka2!J12</f>
        <v>1000</v>
      </c>
      <c r="D11" s="4" t="s">
        <v>1</v>
      </c>
      <c r="H11" s="7" t="str">
        <f t="shared" si="0"/>
        <v>J11</v>
      </c>
      <c r="I11" s="21" t="s">
        <v>89</v>
      </c>
      <c r="J11" s="22">
        <f>J7+(J5-J7)*TANH(J8*J9)/(J8*J9)</f>
        <v>0.84379791920523484</v>
      </c>
      <c r="K11" s="40" t="s">
        <v>90</v>
      </c>
      <c r="L11" s="128"/>
      <c r="M11" s="129"/>
      <c r="N11" s="130"/>
      <c r="P11" s="10" t="s">
        <v>105</v>
      </c>
      <c r="Q11" s="3">
        <f>22+J32-J30</f>
        <v>3</v>
      </c>
      <c r="R11" s="4"/>
      <c r="T11" s="84" t="s">
        <v>127</v>
      </c>
      <c r="U11" s="84" t="s">
        <v>128</v>
      </c>
      <c r="V11" s="79"/>
      <c r="W11" s="79"/>
      <c r="X11" s="79"/>
      <c r="Y11" s="79"/>
      <c r="Z11" s="79"/>
      <c r="AA11" s="79"/>
      <c r="AB11" s="79" t="s">
        <v>155</v>
      </c>
      <c r="AC11" s="79" t="s">
        <v>179</v>
      </c>
      <c r="AD11" s="79" t="s">
        <v>199</v>
      </c>
      <c r="AE11" s="79" t="s">
        <v>219</v>
      </c>
      <c r="AF11" s="79" t="s">
        <v>239</v>
      </c>
      <c r="AG11" s="79" t="s">
        <v>261</v>
      </c>
      <c r="AH11" s="79" t="s">
        <v>273</v>
      </c>
      <c r="AI11" s="78" t="s">
        <v>288</v>
      </c>
      <c r="AJ11" s="82"/>
      <c r="AK11" s="56" t="b">
        <v>1</v>
      </c>
      <c r="AL11" s="1" t="str">
        <f t="shared" si="1"/>
        <v>VILÁGOS</v>
      </c>
      <c r="AM11" s="1" t="str">
        <f t="shared" si="2"/>
        <v>VILÁGOSKÉK</v>
      </c>
    </row>
    <row r="12" spans="2:39" ht="20.100000000000001" customHeight="1" x14ac:dyDescent="0.25">
      <c r="B12" s="51" t="s">
        <v>121</v>
      </c>
      <c r="C12" s="64">
        <f>Munka2!J13</f>
        <v>400</v>
      </c>
      <c r="D12" s="4" t="s">
        <v>1</v>
      </c>
      <c r="F12" s="1" t="b">
        <v>0</v>
      </c>
      <c r="G12" s="1" t="b">
        <v>1</v>
      </c>
      <c r="H12" s="7" t="str">
        <f t="shared" si="0"/>
        <v>J12</v>
      </c>
      <c r="I12" s="23" t="s">
        <v>76</v>
      </c>
      <c r="J12" s="24">
        <f>2*J10*1/((1/J17)+J50/lambda_GK)*Hossz*J9*(J6-J7)*Csőszám/1000</f>
        <v>2.5313937576157048</v>
      </c>
      <c r="K12" s="41" t="s">
        <v>94</v>
      </c>
      <c r="L12" s="128"/>
      <c r="M12" s="129"/>
      <c r="N12" s="130"/>
      <c r="P12" s="10" t="s">
        <v>106</v>
      </c>
      <c r="Q12" s="3">
        <f>2+2*(J36-J34)</f>
        <v>-36</v>
      </c>
      <c r="R12" s="4">
        <f>Munka2!N6</f>
        <v>27</v>
      </c>
      <c r="T12" s="84"/>
      <c r="U12" s="84"/>
      <c r="V12" s="79"/>
      <c r="W12" s="79"/>
      <c r="X12" s="79"/>
      <c r="Y12" s="79"/>
      <c r="Z12" s="79"/>
      <c r="AA12" s="79"/>
      <c r="AB12" s="79" t="s">
        <v>277</v>
      </c>
      <c r="AC12" s="79" t="s">
        <v>291</v>
      </c>
      <c r="AD12" s="79" t="s">
        <v>305</v>
      </c>
      <c r="AE12" s="79" t="s">
        <v>319</v>
      </c>
      <c r="AF12" s="79" t="s">
        <v>335</v>
      </c>
      <c r="AG12" s="79" t="s">
        <v>128</v>
      </c>
      <c r="AH12" s="79" t="s">
        <v>361</v>
      </c>
      <c r="AI12" s="78" t="s">
        <v>372</v>
      </c>
      <c r="AJ12" s="82"/>
      <c r="AK12" s="56" t="b">
        <v>1</v>
      </c>
      <c r="AL12" s="1" t="str">
        <f t="shared" si="1"/>
        <v>VILÁGOS</v>
      </c>
      <c r="AM12" s="1" t="str">
        <f t="shared" si="2"/>
        <v>VILÁGOSKÉK</v>
      </c>
    </row>
    <row r="13" spans="2:39" ht="20.100000000000001" customHeight="1" thickBot="1" x14ac:dyDescent="0.3">
      <c r="B13" s="51" t="s">
        <v>6</v>
      </c>
      <c r="C13" s="64">
        <v>0.5</v>
      </c>
      <c r="D13" s="4" t="s">
        <v>1</v>
      </c>
      <c r="H13" s="7" t="str">
        <f t="shared" si="0"/>
        <v>J13</v>
      </c>
      <c r="I13" s="25" t="s">
        <v>91</v>
      </c>
      <c r="J13" s="26">
        <f>J12/AVERAGE(J54:J55)</f>
        <v>7.0316493267102915</v>
      </c>
      <c r="K13" s="42" t="s">
        <v>95</v>
      </c>
      <c r="L13" s="131"/>
      <c r="M13" s="132"/>
      <c r="N13" s="133"/>
      <c r="P13" s="11" t="s">
        <v>107</v>
      </c>
      <c r="Q13" s="5">
        <f>Q12+1</f>
        <v>-35</v>
      </c>
      <c r="R13" s="6">
        <f>22+J31-J30+1</f>
        <v>36</v>
      </c>
      <c r="T13" s="84" t="s">
        <v>128</v>
      </c>
      <c r="U13" s="84" t="s">
        <v>129</v>
      </c>
      <c r="V13" s="79"/>
      <c r="W13" s="79"/>
      <c r="X13" s="79"/>
      <c r="Y13" s="79"/>
      <c r="Z13" s="79"/>
      <c r="AA13" s="79"/>
      <c r="AB13" s="79"/>
      <c r="AC13" s="79"/>
      <c r="AD13" s="79" t="s">
        <v>155</v>
      </c>
      <c r="AE13" s="79" t="s">
        <v>179</v>
      </c>
      <c r="AF13" s="79" t="s">
        <v>199</v>
      </c>
      <c r="AG13" s="79" t="s">
        <v>219</v>
      </c>
      <c r="AH13" s="79" t="s">
        <v>239</v>
      </c>
      <c r="AI13" s="78" t="s">
        <v>261</v>
      </c>
      <c r="AJ13" s="82"/>
      <c r="AK13" s="56" t="b">
        <v>1</v>
      </c>
      <c r="AL13" s="1" t="str">
        <f t="shared" si="1"/>
        <v>SÖTÉT</v>
      </c>
      <c r="AM13" s="1" t="str">
        <f t="shared" si="2"/>
        <v>SÖTÉTKÉK</v>
      </c>
    </row>
    <row r="14" spans="2:39" ht="20.100000000000001" customHeight="1" thickBot="1" x14ac:dyDescent="0.3">
      <c r="B14" s="51" t="s">
        <v>21</v>
      </c>
      <c r="C14" s="64">
        <f>Munka2!J15</f>
        <v>10</v>
      </c>
      <c r="D14" s="4" t="s">
        <v>1</v>
      </c>
      <c r="F14" s="134" t="s">
        <v>380</v>
      </c>
      <c r="G14" s="134"/>
      <c r="H14" s="7" t="str">
        <f t="shared" si="0"/>
        <v>J14</v>
      </c>
      <c r="T14" s="84"/>
      <c r="U14" s="84"/>
      <c r="V14" s="79"/>
      <c r="W14" s="79"/>
      <c r="X14" s="79"/>
      <c r="Y14" s="79"/>
      <c r="Z14" s="79"/>
      <c r="AA14" s="79"/>
      <c r="AB14" s="79"/>
      <c r="AC14" s="79"/>
      <c r="AD14" s="79" t="s">
        <v>306</v>
      </c>
      <c r="AE14" s="79" t="s">
        <v>320</v>
      </c>
      <c r="AF14" s="79" t="s">
        <v>336</v>
      </c>
      <c r="AG14" s="79" t="s">
        <v>348</v>
      </c>
      <c r="AH14" s="79" t="s">
        <v>362</v>
      </c>
      <c r="AI14" s="78" t="s">
        <v>129</v>
      </c>
      <c r="AJ14" s="82"/>
      <c r="AK14" s="56" t="b">
        <v>1</v>
      </c>
      <c r="AL14" s="1" t="str">
        <f t="shared" si="1"/>
        <v>SÖTÉT</v>
      </c>
      <c r="AM14" s="1" t="str">
        <f t="shared" si="2"/>
        <v>SÖTÉTKÉK</v>
      </c>
    </row>
    <row r="15" spans="2:39" ht="20.100000000000001" customHeight="1" thickBot="1" x14ac:dyDescent="0.3">
      <c r="B15" s="51" t="s">
        <v>117</v>
      </c>
      <c r="C15" s="64">
        <v>5</v>
      </c>
      <c r="D15" s="4" t="s">
        <v>7</v>
      </c>
      <c r="F15" s="134"/>
      <c r="G15" s="134"/>
      <c r="H15" s="7" t="str">
        <f t="shared" si="0"/>
        <v>J15</v>
      </c>
      <c r="I15" s="135" t="s">
        <v>38</v>
      </c>
      <c r="J15" s="136"/>
      <c r="K15" s="137"/>
      <c r="T15" s="84" t="s">
        <v>132</v>
      </c>
      <c r="U15" s="84" t="s">
        <v>131</v>
      </c>
      <c r="V15" s="79" t="s">
        <v>157</v>
      </c>
      <c r="W15" s="79" t="s">
        <v>181</v>
      </c>
      <c r="X15" s="79" t="s">
        <v>202</v>
      </c>
      <c r="Y15" s="79" t="s">
        <v>222</v>
      </c>
      <c r="Z15" s="79" t="s">
        <v>243</v>
      </c>
      <c r="AA15" s="79" t="s">
        <v>264</v>
      </c>
      <c r="AB15" s="79" t="s">
        <v>278</v>
      </c>
      <c r="AC15" s="79" t="s">
        <v>292</v>
      </c>
      <c r="AD15" s="79" t="s">
        <v>307</v>
      </c>
      <c r="AE15" s="79" t="s">
        <v>321</v>
      </c>
      <c r="AF15" s="79"/>
      <c r="AG15" s="79"/>
      <c r="AH15" s="79"/>
      <c r="AI15" s="78"/>
      <c r="AJ15" s="82"/>
      <c r="AK15" s="56" t="b">
        <v>0</v>
      </c>
      <c r="AL15" s="1" t="str">
        <f t="shared" si="1"/>
        <v>VILÁGOS</v>
      </c>
      <c r="AM15" s="1" t="str">
        <f t="shared" si="2"/>
        <v>VILÁGOSPIROS</v>
      </c>
    </row>
    <row r="16" spans="2:39" ht="20.100000000000001" customHeight="1" thickBot="1" x14ac:dyDescent="0.3">
      <c r="B16" s="52" t="s">
        <v>115</v>
      </c>
      <c r="C16" s="65">
        <v>2</v>
      </c>
      <c r="D16" s="6" t="s">
        <v>7</v>
      </c>
      <c r="F16" s="134"/>
      <c r="G16" s="134"/>
      <c r="H16" s="7" t="str">
        <f t="shared" si="0"/>
        <v>J16</v>
      </c>
      <c r="I16" s="94" t="s">
        <v>39</v>
      </c>
      <c r="J16" s="95">
        <f>alfa_belső</f>
        <v>350</v>
      </c>
      <c r="K16" s="37" t="s">
        <v>41</v>
      </c>
      <c r="L16" s="125" t="s">
        <v>60</v>
      </c>
      <c r="M16" s="126"/>
      <c r="N16" s="127"/>
      <c r="T16" s="84"/>
      <c r="U16" s="84"/>
      <c r="V16" s="79" t="s">
        <v>158</v>
      </c>
      <c r="W16" s="79" t="s">
        <v>182</v>
      </c>
      <c r="X16" s="79" t="s">
        <v>203</v>
      </c>
      <c r="Y16" s="79" t="s">
        <v>149</v>
      </c>
      <c r="Z16" s="79" t="s">
        <v>244</v>
      </c>
      <c r="AA16" s="79" t="s">
        <v>265</v>
      </c>
      <c r="AB16" s="79" t="s">
        <v>279</v>
      </c>
      <c r="AC16" s="79" t="s">
        <v>293</v>
      </c>
      <c r="AD16" s="79" t="s">
        <v>308</v>
      </c>
      <c r="AE16" s="79" t="s">
        <v>322</v>
      </c>
      <c r="AF16" s="79"/>
      <c r="AG16" s="79"/>
      <c r="AH16" s="79"/>
      <c r="AI16" s="78"/>
      <c r="AJ16" s="82"/>
      <c r="AK16" s="56" t="b">
        <v>0</v>
      </c>
      <c r="AL16" s="1" t="str">
        <f t="shared" si="1"/>
        <v>VILÁGOS</v>
      </c>
      <c r="AM16" s="1" t="str">
        <f t="shared" si="2"/>
        <v>VILÁGOSPIROS</v>
      </c>
    </row>
    <row r="17" spans="2:39" ht="20.100000000000001" customHeight="1" x14ac:dyDescent="0.25">
      <c r="B17" s="123" t="s">
        <v>12</v>
      </c>
      <c r="C17" s="124" t="s">
        <v>13</v>
      </c>
      <c r="F17" s="134"/>
      <c r="G17" s="134"/>
      <c r="H17" s="7" t="str">
        <f t="shared" si="0"/>
        <v>J17</v>
      </c>
      <c r="I17" s="96" t="s">
        <v>40</v>
      </c>
      <c r="J17" s="97">
        <f>alfa_külső</f>
        <v>15</v>
      </c>
      <c r="K17" s="38" t="s">
        <v>53</v>
      </c>
      <c r="L17" s="128"/>
      <c r="M17" s="129"/>
      <c r="N17" s="130"/>
      <c r="T17" s="84" t="s">
        <v>133</v>
      </c>
      <c r="U17" s="84" t="s">
        <v>132</v>
      </c>
      <c r="V17" s="79" t="s">
        <v>159</v>
      </c>
      <c r="W17" s="79" t="s">
        <v>183</v>
      </c>
      <c r="X17" s="79" t="s">
        <v>204</v>
      </c>
      <c r="Y17" s="79" t="s">
        <v>223</v>
      </c>
      <c r="Z17" s="79" t="s">
        <v>245</v>
      </c>
      <c r="AA17" s="79" t="s">
        <v>157</v>
      </c>
      <c r="AB17" s="79" t="s">
        <v>181</v>
      </c>
      <c r="AC17" s="79" t="s">
        <v>202</v>
      </c>
      <c r="AD17" s="79" t="s">
        <v>222</v>
      </c>
      <c r="AE17" s="79" t="s">
        <v>243</v>
      </c>
      <c r="AF17" s="79" t="s">
        <v>264</v>
      </c>
      <c r="AG17" s="79" t="s">
        <v>278</v>
      </c>
      <c r="AH17" s="79" t="s">
        <v>292</v>
      </c>
      <c r="AI17" s="78" t="s">
        <v>307</v>
      </c>
      <c r="AJ17" s="82"/>
      <c r="AK17" s="56" t="b">
        <v>0</v>
      </c>
      <c r="AL17" s="1" t="str">
        <f t="shared" si="1"/>
        <v>SÖTÉT</v>
      </c>
      <c r="AM17" s="1" t="str">
        <f t="shared" si="2"/>
        <v>SÖTÉTPIROS</v>
      </c>
    </row>
    <row r="18" spans="2:39" ht="20.100000000000001" customHeight="1" thickBot="1" x14ac:dyDescent="0.3">
      <c r="B18" s="117"/>
      <c r="C18" s="119"/>
      <c r="F18" s="134"/>
      <c r="G18" s="134"/>
      <c r="H18" s="7" t="str">
        <f t="shared" si="0"/>
        <v>J18</v>
      </c>
      <c r="I18" s="89" t="s">
        <v>42</v>
      </c>
      <c r="J18" s="98">
        <f>1/(J16*J51)</f>
        <v>0.1228995699551315</v>
      </c>
      <c r="K18" s="38" t="s">
        <v>44</v>
      </c>
      <c r="L18" s="128"/>
      <c r="M18" s="129"/>
      <c r="N18" s="130"/>
      <c r="T18" s="84"/>
      <c r="U18" s="84"/>
      <c r="V18" s="79" t="s">
        <v>160</v>
      </c>
      <c r="W18" s="79" t="s">
        <v>184</v>
      </c>
      <c r="X18" s="79" t="s">
        <v>132</v>
      </c>
      <c r="Y18" s="79" t="s">
        <v>224</v>
      </c>
      <c r="Z18" s="79" t="s">
        <v>246</v>
      </c>
      <c r="AA18" s="79" t="s">
        <v>266</v>
      </c>
      <c r="AB18" s="79" t="s">
        <v>280</v>
      </c>
      <c r="AC18" s="79" t="s">
        <v>294</v>
      </c>
      <c r="AD18" s="79" t="s">
        <v>146</v>
      </c>
      <c r="AE18" s="79" t="s">
        <v>323</v>
      </c>
      <c r="AF18" s="79" t="s">
        <v>337</v>
      </c>
      <c r="AG18" s="79" t="s">
        <v>349</v>
      </c>
      <c r="AH18" s="79" t="s">
        <v>363</v>
      </c>
      <c r="AI18" s="78" t="s">
        <v>373</v>
      </c>
      <c r="AJ18" s="82"/>
      <c r="AK18" s="56" t="b">
        <v>0</v>
      </c>
      <c r="AL18" s="1" t="str">
        <f t="shared" si="1"/>
        <v>SÖTÉT</v>
      </c>
      <c r="AM18" s="1" t="str">
        <f t="shared" si="2"/>
        <v>SÖTÉTPIROS</v>
      </c>
    </row>
    <row r="19" spans="2:39" ht="20.100000000000001" customHeight="1" x14ac:dyDescent="0.25">
      <c r="B19" s="66">
        <v>12</v>
      </c>
      <c r="C19" s="67">
        <v>15</v>
      </c>
      <c r="F19" s="134"/>
      <c r="G19" s="134"/>
      <c r="H19" s="7" t="str">
        <f t="shared" si="0"/>
        <v>J19</v>
      </c>
      <c r="I19" s="89" t="s">
        <v>43</v>
      </c>
      <c r="J19" s="98">
        <f>1/(J17*J55/C10)</f>
        <v>1.3333333333333333</v>
      </c>
      <c r="K19" s="38" t="s">
        <v>52</v>
      </c>
      <c r="L19" s="128"/>
      <c r="M19" s="129"/>
      <c r="N19" s="130"/>
      <c r="T19" s="84" t="s">
        <v>134</v>
      </c>
      <c r="U19" s="84" t="s">
        <v>133</v>
      </c>
      <c r="V19" s="79" t="s">
        <v>161</v>
      </c>
      <c r="W19" s="79" t="s">
        <v>185</v>
      </c>
      <c r="X19" s="79" t="s">
        <v>205</v>
      </c>
      <c r="Y19" s="79" t="s">
        <v>225</v>
      </c>
      <c r="Z19" s="79" t="s">
        <v>247</v>
      </c>
      <c r="AA19" s="79" t="s">
        <v>159</v>
      </c>
      <c r="AB19" s="79" t="s">
        <v>183</v>
      </c>
      <c r="AC19" s="79" t="s">
        <v>204</v>
      </c>
      <c r="AD19" s="79" t="s">
        <v>223</v>
      </c>
      <c r="AE19" s="79" t="s">
        <v>245</v>
      </c>
      <c r="AF19" s="79" t="s">
        <v>157</v>
      </c>
      <c r="AG19" s="79" t="s">
        <v>181</v>
      </c>
      <c r="AH19" s="79" t="s">
        <v>202</v>
      </c>
      <c r="AI19" s="78" t="s">
        <v>222</v>
      </c>
      <c r="AJ19" s="82"/>
      <c r="AK19" s="56" t="b">
        <v>0</v>
      </c>
      <c r="AL19" s="1" t="str">
        <f t="shared" si="1"/>
        <v>VILÁGOS</v>
      </c>
      <c r="AM19" s="1" t="str">
        <f t="shared" si="2"/>
        <v>VILÁGOSPIROS</v>
      </c>
    </row>
    <row r="20" spans="2:39" ht="20.100000000000001" customHeight="1" x14ac:dyDescent="0.25">
      <c r="B20" s="68">
        <v>14</v>
      </c>
      <c r="C20" s="69">
        <v>16</v>
      </c>
      <c r="F20" s="134"/>
      <c r="G20" s="134"/>
      <c r="H20" s="7" t="str">
        <f t="shared" si="0"/>
        <v>J20</v>
      </c>
      <c r="I20" s="89" t="s">
        <v>51</v>
      </c>
      <c r="J20" s="98">
        <f>1/(J17*J53)</f>
        <v>1.9291508253563074</v>
      </c>
      <c r="K20" s="38" t="s">
        <v>45</v>
      </c>
      <c r="L20" s="128"/>
      <c r="M20" s="129"/>
      <c r="N20" s="130"/>
      <c r="T20" s="84"/>
      <c r="U20" s="84"/>
      <c r="V20" s="79" t="s">
        <v>162</v>
      </c>
      <c r="W20" s="79" t="s">
        <v>186</v>
      </c>
      <c r="X20" s="79" t="s">
        <v>206</v>
      </c>
      <c r="Y20" s="79" t="s">
        <v>226</v>
      </c>
      <c r="Z20" s="79" t="s">
        <v>248</v>
      </c>
      <c r="AA20" s="79" t="s">
        <v>267</v>
      </c>
      <c r="AB20" s="79" t="s">
        <v>281</v>
      </c>
      <c r="AC20" s="79" t="s">
        <v>133</v>
      </c>
      <c r="AD20" s="79" t="s">
        <v>309</v>
      </c>
      <c r="AE20" s="79" t="s">
        <v>324</v>
      </c>
      <c r="AF20" s="79" t="s">
        <v>338</v>
      </c>
      <c r="AG20" s="79" t="s">
        <v>350</v>
      </c>
      <c r="AH20" s="79" t="s">
        <v>364</v>
      </c>
      <c r="AI20" s="78" t="s">
        <v>136</v>
      </c>
      <c r="AJ20" s="82"/>
      <c r="AK20" s="56" t="b">
        <v>0</v>
      </c>
      <c r="AL20" s="1" t="str">
        <f t="shared" si="1"/>
        <v>VILÁGOS</v>
      </c>
      <c r="AM20" s="1" t="str">
        <f t="shared" si="2"/>
        <v>VILÁGOSPIROS</v>
      </c>
    </row>
    <row r="21" spans="2:39" ht="20.100000000000001" customHeight="1" x14ac:dyDescent="0.25">
      <c r="B21" s="68">
        <v>16</v>
      </c>
      <c r="C21" s="69">
        <v>17</v>
      </c>
      <c r="F21" s="134"/>
      <c r="G21" s="134"/>
      <c r="H21" s="7" t="str">
        <f t="shared" si="0"/>
        <v>J21</v>
      </c>
      <c r="I21" s="89" t="s">
        <v>46</v>
      </c>
      <c r="J21" s="98">
        <f>LN(J46/J45)/(2*C11*PI()*C2*0.001)</f>
        <v>0.13692103973344261</v>
      </c>
      <c r="K21" s="38" t="s">
        <v>48</v>
      </c>
      <c r="L21" s="128"/>
      <c r="M21" s="129"/>
      <c r="N21" s="130"/>
      <c r="T21" s="84" t="s">
        <v>135</v>
      </c>
      <c r="U21" s="84" t="s">
        <v>134</v>
      </c>
      <c r="V21" s="79" t="s">
        <v>163</v>
      </c>
      <c r="W21" s="79" t="s">
        <v>187</v>
      </c>
      <c r="X21" s="79" t="s">
        <v>207</v>
      </c>
      <c r="Y21" s="79" t="s">
        <v>227</v>
      </c>
      <c r="Z21" s="79" t="s">
        <v>249</v>
      </c>
      <c r="AA21" s="79" t="s">
        <v>161</v>
      </c>
      <c r="AB21" s="79" t="s">
        <v>185</v>
      </c>
      <c r="AC21" s="79" t="s">
        <v>205</v>
      </c>
      <c r="AD21" s="79" t="s">
        <v>225</v>
      </c>
      <c r="AE21" s="79" t="s">
        <v>247</v>
      </c>
      <c r="AF21" s="79" t="s">
        <v>159</v>
      </c>
      <c r="AG21" s="79" t="s">
        <v>183</v>
      </c>
      <c r="AH21" s="79" t="s">
        <v>204</v>
      </c>
      <c r="AI21" s="78" t="s">
        <v>223</v>
      </c>
      <c r="AJ21" s="82"/>
      <c r="AK21" s="56" t="b">
        <v>0</v>
      </c>
      <c r="AL21" s="1" t="str">
        <f t="shared" si="1"/>
        <v>SÖTÉT</v>
      </c>
      <c r="AM21" s="1" t="str">
        <f t="shared" si="2"/>
        <v>SÖTÉTPIROS</v>
      </c>
    </row>
    <row r="22" spans="2:39" ht="20.100000000000001" customHeight="1" x14ac:dyDescent="0.25">
      <c r="B22" s="68">
        <v>18</v>
      </c>
      <c r="C22" s="69">
        <v>18</v>
      </c>
      <c r="F22" s="134"/>
      <c r="G22" s="134"/>
      <c r="H22" s="44" t="str">
        <f t="shared" si="0"/>
        <v>J22</v>
      </c>
      <c r="I22" s="89" t="s">
        <v>47</v>
      </c>
      <c r="J22" s="98">
        <f>LN(J47/J46)/(2*C11*PI()*C3*0.001)</f>
        <v>1.8727266966463727E-4</v>
      </c>
      <c r="K22" s="38" t="s">
        <v>49</v>
      </c>
      <c r="L22" s="128"/>
      <c r="M22" s="129"/>
      <c r="N22" s="130"/>
      <c r="T22" s="84"/>
      <c r="U22" s="84"/>
      <c r="V22" s="79" t="s">
        <v>164</v>
      </c>
      <c r="W22" s="79" t="s">
        <v>188</v>
      </c>
      <c r="X22" s="79" t="s">
        <v>208</v>
      </c>
      <c r="Y22" s="79" t="s">
        <v>228</v>
      </c>
      <c r="Z22" s="79" t="s">
        <v>250</v>
      </c>
      <c r="AA22" s="79" t="s">
        <v>268</v>
      </c>
      <c r="AB22" s="79" t="s">
        <v>282</v>
      </c>
      <c r="AC22" s="79" t="s">
        <v>295</v>
      </c>
      <c r="AD22" s="79" t="s">
        <v>310</v>
      </c>
      <c r="AE22" s="79" t="s">
        <v>325</v>
      </c>
      <c r="AF22" s="79" t="s">
        <v>339</v>
      </c>
      <c r="AG22" s="79" t="s">
        <v>351</v>
      </c>
      <c r="AH22" s="79" t="s">
        <v>134</v>
      </c>
      <c r="AI22" s="78" t="s">
        <v>374</v>
      </c>
      <c r="AJ22" s="82"/>
      <c r="AK22" s="56" t="b">
        <v>0</v>
      </c>
      <c r="AL22" s="1" t="str">
        <f t="shared" si="1"/>
        <v>SÖTÉT</v>
      </c>
      <c r="AM22" s="1" t="str">
        <f t="shared" si="2"/>
        <v>SÖTÉTPIROS</v>
      </c>
    </row>
    <row r="23" spans="2:39" ht="20.100000000000001" customHeight="1" x14ac:dyDescent="0.25">
      <c r="B23" s="68">
        <v>20</v>
      </c>
      <c r="C23" s="69">
        <v>19</v>
      </c>
      <c r="H23" s="7" t="str">
        <f t="shared" si="0"/>
        <v>J23</v>
      </c>
      <c r="I23" s="89" t="s">
        <v>54</v>
      </c>
      <c r="J23" s="98">
        <f>J50/(C4*AVERAGE(J54:J55)/C10)</f>
        <v>0.88888888888888895</v>
      </c>
      <c r="K23" s="38" t="s">
        <v>113</v>
      </c>
      <c r="L23" s="128"/>
      <c r="M23" s="129"/>
      <c r="N23" s="130"/>
      <c r="T23" s="84" t="s">
        <v>165</v>
      </c>
      <c r="U23" s="84" t="s">
        <v>135</v>
      </c>
      <c r="V23" s="79" t="s">
        <v>166</v>
      </c>
      <c r="W23" s="79" t="s">
        <v>189</v>
      </c>
      <c r="X23" s="79" t="s">
        <v>209</v>
      </c>
      <c r="Y23" s="79" t="s">
        <v>229</v>
      </c>
      <c r="Z23" s="79" t="s">
        <v>251</v>
      </c>
      <c r="AA23" s="79" t="s">
        <v>163</v>
      </c>
      <c r="AB23" s="79" t="s">
        <v>187</v>
      </c>
      <c r="AC23" s="79" t="s">
        <v>207</v>
      </c>
      <c r="AD23" s="79" t="s">
        <v>227</v>
      </c>
      <c r="AE23" s="79" t="s">
        <v>249</v>
      </c>
      <c r="AF23" s="79" t="s">
        <v>161</v>
      </c>
      <c r="AG23" s="79" t="s">
        <v>185</v>
      </c>
      <c r="AH23" s="79" t="s">
        <v>205</v>
      </c>
      <c r="AI23" s="78" t="s">
        <v>225</v>
      </c>
      <c r="AJ23" s="82"/>
      <c r="AK23" s="56" t="b">
        <v>0</v>
      </c>
      <c r="AL23" s="1" t="str">
        <f t="shared" si="1"/>
        <v>VILÁGOS</v>
      </c>
      <c r="AM23" s="1" t="str">
        <f t="shared" si="2"/>
        <v>VILÁGOSPIROS</v>
      </c>
    </row>
    <row r="24" spans="2:39" ht="20.100000000000001" customHeight="1" x14ac:dyDescent="0.25">
      <c r="B24" s="68">
        <v>30</v>
      </c>
      <c r="C24" s="69">
        <v>20</v>
      </c>
      <c r="H24" s="7" t="str">
        <f t="shared" si="0"/>
        <v>J24</v>
      </c>
      <c r="I24" s="89" t="s">
        <v>55</v>
      </c>
      <c r="J24" s="98">
        <f>J18+J21+J22</f>
        <v>0.26000788235823874</v>
      </c>
      <c r="K24" s="38" t="s">
        <v>58</v>
      </c>
      <c r="L24" s="128"/>
      <c r="M24" s="129"/>
      <c r="N24" s="130"/>
      <c r="T24" s="84"/>
      <c r="U24" s="84"/>
      <c r="V24" s="79" t="s">
        <v>167</v>
      </c>
      <c r="W24" s="79" t="s">
        <v>190</v>
      </c>
      <c r="X24" s="79" t="s">
        <v>210</v>
      </c>
      <c r="Y24" s="79" t="s">
        <v>230</v>
      </c>
      <c r="Z24" s="79" t="s">
        <v>252</v>
      </c>
      <c r="AA24" s="79" t="s">
        <v>269</v>
      </c>
      <c r="AB24" s="79" t="s">
        <v>283</v>
      </c>
      <c r="AC24" s="79" t="s">
        <v>296</v>
      </c>
      <c r="AD24" s="79" t="s">
        <v>311</v>
      </c>
      <c r="AE24" s="79" t="s">
        <v>326</v>
      </c>
      <c r="AF24" s="79" t="s">
        <v>340</v>
      </c>
      <c r="AG24" s="79" t="s">
        <v>352</v>
      </c>
      <c r="AH24" s="79" t="s">
        <v>365</v>
      </c>
      <c r="AI24" s="78" t="s">
        <v>375</v>
      </c>
      <c r="AJ24" s="82"/>
      <c r="AK24" s="56" t="b">
        <v>0</v>
      </c>
      <c r="AL24" s="1" t="str">
        <f t="shared" si="1"/>
        <v>VILÁGOS</v>
      </c>
      <c r="AM24" s="1" t="str">
        <f t="shared" si="2"/>
        <v>VILÁGOSPIROS</v>
      </c>
    </row>
    <row r="25" spans="2:39" ht="20.100000000000001" customHeight="1" x14ac:dyDescent="0.25">
      <c r="B25" s="68">
        <v>35</v>
      </c>
      <c r="C25" s="69">
        <v>21</v>
      </c>
      <c r="F25" s="1">
        <v>73.599999999999994</v>
      </c>
      <c r="G25" s="1">
        <v>60.7</v>
      </c>
      <c r="H25" s="7" t="str">
        <f t="shared" si="0"/>
        <v>J25</v>
      </c>
      <c r="I25" s="89" t="s">
        <v>56</v>
      </c>
      <c r="J25" s="98">
        <f>J18+J21+J22+J23+J19</f>
        <v>2.4822301045804611</v>
      </c>
      <c r="K25" s="38" t="s">
        <v>154</v>
      </c>
      <c r="L25" s="128"/>
      <c r="M25" s="129"/>
      <c r="N25" s="130"/>
      <c r="T25" s="84" t="s">
        <v>168</v>
      </c>
      <c r="U25" s="84" t="s">
        <v>165</v>
      </c>
      <c r="V25" s="79" t="s">
        <v>169</v>
      </c>
      <c r="W25" s="79" t="s">
        <v>191</v>
      </c>
      <c r="X25" s="79" t="s">
        <v>211</v>
      </c>
      <c r="Y25" s="79" t="s">
        <v>231</v>
      </c>
      <c r="Z25" s="79" t="s">
        <v>253</v>
      </c>
      <c r="AA25" s="79" t="s">
        <v>166</v>
      </c>
      <c r="AB25" s="79" t="s">
        <v>189</v>
      </c>
      <c r="AC25" s="79" t="s">
        <v>209</v>
      </c>
      <c r="AD25" s="79" t="s">
        <v>229</v>
      </c>
      <c r="AE25" s="79" t="s">
        <v>251</v>
      </c>
      <c r="AF25" s="79" t="s">
        <v>163</v>
      </c>
      <c r="AG25" s="79" t="s">
        <v>187</v>
      </c>
      <c r="AH25" s="79" t="s">
        <v>207</v>
      </c>
      <c r="AI25" s="78" t="s">
        <v>227</v>
      </c>
      <c r="AJ25" s="82"/>
      <c r="AK25" s="56" t="b">
        <v>0</v>
      </c>
      <c r="AL25" s="1" t="str">
        <f t="shared" si="1"/>
        <v>SÖTÉT</v>
      </c>
      <c r="AM25" s="1" t="str">
        <f t="shared" si="2"/>
        <v>SÖTÉTPIROS</v>
      </c>
    </row>
    <row r="26" spans="2:39" ht="20.100000000000001" customHeight="1" thickBot="1" x14ac:dyDescent="0.3">
      <c r="B26" s="68">
        <v>40</v>
      </c>
      <c r="C26" s="69">
        <v>22</v>
      </c>
      <c r="F26" s="1">
        <v>26</v>
      </c>
      <c r="G26" s="77">
        <v>30</v>
      </c>
      <c r="H26" s="7" t="str">
        <f t="shared" si="0"/>
        <v>J26</v>
      </c>
      <c r="I26" s="92" t="s">
        <v>57</v>
      </c>
      <c r="J26" s="99">
        <f>J21+J22+J18+J20</f>
        <v>2.189158707714546</v>
      </c>
      <c r="K26" s="43" t="s">
        <v>59</v>
      </c>
      <c r="L26" s="131"/>
      <c r="M26" s="132"/>
      <c r="N26" s="133"/>
      <c r="T26" s="84"/>
      <c r="U26" s="84"/>
      <c r="V26" s="79" t="s">
        <v>170</v>
      </c>
      <c r="W26" s="79" t="s">
        <v>192</v>
      </c>
      <c r="X26" s="79" t="s">
        <v>212</v>
      </c>
      <c r="Y26" s="79" t="s">
        <v>232</v>
      </c>
      <c r="Z26" s="79" t="s">
        <v>254</v>
      </c>
      <c r="AA26" s="79" t="s">
        <v>270</v>
      </c>
      <c r="AB26" s="79" t="s">
        <v>143</v>
      </c>
      <c r="AC26" s="79" t="s">
        <v>297</v>
      </c>
      <c r="AD26" s="79" t="s">
        <v>312</v>
      </c>
      <c r="AE26" s="79" t="s">
        <v>327</v>
      </c>
      <c r="AF26" s="79" t="s">
        <v>341</v>
      </c>
      <c r="AG26" s="79" t="s">
        <v>353</v>
      </c>
      <c r="AH26" s="79" t="s">
        <v>366</v>
      </c>
      <c r="AI26" s="78" t="s">
        <v>376</v>
      </c>
      <c r="AJ26" s="82"/>
      <c r="AK26" s="56" t="b">
        <v>0</v>
      </c>
      <c r="AL26" s="1" t="str">
        <f t="shared" si="1"/>
        <v>SÖTÉT</v>
      </c>
      <c r="AM26" s="1" t="str">
        <f t="shared" si="2"/>
        <v>SÖTÉTPIROS</v>
      </c>
    </row>
    <row r="27" spans="2:39" ht="20.100000000000001" customHeight="1" thickBot="1" x14ac:dyDescent="0.3">
      <c r="B27" s="68">
        <v>45</v>
      </c>
      <c r="C27" s="69">
        <v>23</v>
      </c>
      <c r="F27" s="1">
        <v>25</v>
      </c>
      <c r="G27" s="1">
        <v>22</v>
      </c>
      <c r="H27" s="7" t="str">
        <f t="shared" si="0"/>
        <v>J27</v>
      </c>
      <c r="T27" s="85" t="s">
        <v>152</v>
      </c>
      <c r="U27" s="84" t="s">
        <v>168</v>
      </c>
      <c r="V27" s="79" t="s">
        <v>172</v>
      </c>
      <c r="W27" s="79" t="s">
        <v>193</v>
      </c>
      <c r="X27" s="79" t="s">
        <v>213</v>
      </c>
      <c r="Y27" s="79" t="s">
        <v>233</v>
      </c>
      <c r="Z27" s="79" t="s">
        <v>255</v>
      </c>
      <c r="AA27" s="79" t="s">
        <v>169</v>
      </c>
      <c r="AB27" s="79" t="s">
        <v>123</v>
      </c>
      <c r="AC27" s="79" t="s">
        <v>211</v>
      </c>
      <c r="AD27" s="79" t="s">
        <v>231</v>
      </c>
      <c r="AE27" s="79" t="s">
        <v>253</v>
      </c>
      <c r="AF27" s="79" t="s">
        <v>166</v>
      </c>
      <c r="AG27" s="79" t="s">
        <v>189</v>
      </c>
      <c r="AH27" s="79" t="s">
        <v>209</v>
      </c>
      <c r="AI27" s="78" t="s">
        <v>229</v>
      </c>
      <c r="AJ27" s="82"/>
      <c r="AK27" s="56" t="b">
        <v>0</v>
      </c>
      <c r="AL27" s="1" t="str">
        <f t="shared" si="1"/>
        <v>VILÁGOS</v>
      </c>
      <c r="AM27" s="1" t="str">
        <f t="shared" si="2"/>
        <v>VILÁGOSPIROS</v>
      </c>
    </row>
    <row r="28" spans="2:39" ht="20.100000000000001" customHeight="1" thickBot="1" x14ac:dyDescent="0.3">
      <c r="B28" s="68">
        <v>50</v>
      </c>
      <c r="C28" s="69">
        <v>24</v>
      </c>
      <c r="H28" s="7" t="str">
        <f t="shared" si="0"/>
        <v>J28</v>
      </c>
      <c r="I28" s="155" t="s">
        <v>67</v>
      </c>
      <c r="J28" s="156"/>
      <c r="K28" s="157"/>
      <c r="T28" s="84" t="s">
        <v>124</v>
      </c>
      <c r="U28" s="84" t="s">
        <v>125</v>
      </c>
      <c r="V28" s="79" t="s">
        <v>126</v>
      </c>
      <c r="W28" s="79" t="s">
        <v>137</v>
      </c>
      <c r="X28" s="79" t="s">
        <v>130</v>
      </c>
      <c r="Y28" s="79" t="s">
        <v>127</v>
      </c>
      <c r="Z28" s="79" t="s">
        <v>138</v>
      </c>
      <c r="AA28" s="79" t="s">
        <v>128</v>
      </c>
      <c r="AB28" s="79" t="s">
        <v>139</v>
      </c>
      <c r="AC28" s="79" t="s">
        <v>129</v>
      </c>
      <c r="AD28" s="79" t="s">
        <v>141</v>
      </c>
      <c r="AE28" s="79" t="s">
        <v>140</v>
      </c>
      <c r="AF28" s="79" t="s">
        <v>131</v>
      </c>
      <c r="AG28" s="79" t="s">
        <v>149</v>
      </c>
      <c r="AH28" s="79" t="s">
        <v>153</v>
      </c>
      <c r="AI28" s="78" t="s">
        <v>147</v>
      </c>
      <c r="AJ28" s="82"/>
      <c r="AK28" s="56" t="b">
        <v>0</v>
      </c>
      <c r="AL28" s="1" t="str">
        <f t="shared" si="1"/>
        <v>VILÁGOS</v>
      </c>
      <c r="AM28" s="1" t="str">
        <f t="shared" si="2"/>
        <v>VILÁGOSPIROS</v>
      </c>
    </row>
    <row r="29" spans="2:39" ht="20.100000000000001" customHeight="1" x14ac:dyDescent="0.25">
      <c r="B29" s="68">
        <v>55</v>
      </c>
      <c r="C29" s="69">
        <v>25</v>
      </c>
      <c r="H29" s="7" t="str">
        <f t="shared" si="0"/>
        <v>J29</v>
      </c>
      <c r="I29" s="9"/>
      <c r="J29" s="2" t="s">
        <v>63</v>
      </c>
      <c r="K29" s="149"/>
      <c r="L29" s="125" t="s">
        <v>93</v>
      </c>
      <c r="M29" s="126"/>
      <c r="N29" s="127"/>
      <c r="T29" s="84" t="s">
        <v>151</v>
      </c>
      <c r="U29" s="84" t="s">
        <v>150</v>
      </c>
      <c r="V29" s="79" t="s">
        <v>155</v>
      </c>
      <c r="W29" s="79" t="s">
        <v>179</v>
      </c>
      <c r="X29" s="79" t="s">
        <v>199</v>
      </c>
      <c r="Y29" s="79" t="s">
        <v>219</v>
      </c>
      <c r="Z29" s="79" t="s">
        <v>239</v>
      </c>
      <c r="AA29" s="79" t="s">
        <v>261</v>
      </c>
      <c r="AB29" s="79" t="s">
        <v>273</v>
      </c>
      <c r="AC29" s="79" t="s">
        <v>288</v>
      </c>
      <c r="AD29" s="79" t="s">
        <v>301</v>
      </c>
      <c r="AE29" s="79" t="s">
        <v>316</v>
      </c>
      <c r="AF29" s="79" t="s">
        <v>331</v>
      </c>
      <c r="AG29" s="79" t="s">
        <v>345</v>
      </c>
      <c r="AH29" s="79" t="s">
        <v>357</v>
      </c>
      <c r="AI29" s="78" t="s">
        <v>370</v>
      </c>
      <c r="AJ29" s="82"/>
      <c r="AK29" s="56" t="b">
        <v>1</v>
      </c>
      <c r="AL29" s="1" t="str">
        <f t="shared" si="1"/>
        <v>SÖTÉT</v>
      </c>
      <c r="AM29" s="1" t="str">
        <f t="shared" si="2"/>
        <v>SÖTÉTKÉK</v>
      </c>
    </row>
    <row r="30" spans="2:39" ht="20.100000000000001" customHeight="1" x14ac:dyDescent="0.25">
      <c r="B30" s="68">
        <v>60</v>
      </c>
      <c r="C30" s="69">
        <v>26</v>
      </c>
      <c r="H30" s="7" t="str">
        <f t="shared" si="0"/>
        <v>J30</v>
      </c>
      <c r="I30" s="10" t="s">
        <v>61</v>
      </c>
      <c r="J30" s="4">
        <v>19</v>
      </c>
      <c r="K30" s="150"/>
      <c r="L30" s="128"/>
      <c r="M30" s="129"/>
      <c r="N30" s="130"/>
      <c r="T30" s="84"/>
      <c r="U30" s="84"/>
      <c r="V30" s="79" t="s">
        <v>156</v>
      </c>
      <c r="W30" s="79" t="s">
        <v>180</v>
      </c>
      <c r="X30" s="79" t="s">
        <v>200</v>
      </c>
      <c r="Y30" s="79" t="s">
        <v>220</v>
      </c>
      <c r="Z30" s="79" t="s">
        <v>240</v>
      </c>
      <c r="AA30" s="79" t="s">
        <v>150</v>
      </c>
      <c r="AB30" s="79" t="s">
        <v>274</v>
      </c>
      <c r="AC30" s="79" t="s">
        <v>289</v>
      </c>
      <c r="AD30" s="79" t="s">
        <v>302</v>
      </c>
      <c r="AE30" s="79" t="s">
        <v>317</v>
      </c>
      <c r="AF30" s="79" t="s">
        <v>332</v>
      </c>
      <c r="AG30" s="79" t="s">
        <v>126</v>
      </c>
      <c r="AH30" s="79" t="s">
        <v>358</v>
      </c>
      <c r="AI30" s="78" t="s">
        <v>201</v>
      </c>
      <c r="AJ30" s="82"/>
      <c r="AK30" s="56" t="b">
        <v>1</v>
      </c>
      <c r="AL30" s="1" t="str">
        <f t="shared" si="1"/>
        <v>SÖTÉT</v>
      </c>
      <c r="AM30" s="1" t="str">
        <f t="shared" si="2"/>
        <v>SÖTÉTKÉK</v>
      </c>
    </row>
    <row r="31" spans="2:39" ht="20.100000000000001" customHeight="1" x14ac:dyDescent="0.25">
      <c r="B31" s="68">
        <v>65</v>
      </c>
      <c r="C31" s="69">
        <v>27</v>
      </c>
      <c r="H31" s="53" t="str">
        <f t="shared" si="0"/>
        <v>J31</v>
      </c>
      <c r="I31" s="10" t="s">
        <v>62</v>
      </c>
      <c r="J31" s="54">
        <f>18+COUNT(C19:C32)</f>
        <v>32</v>
      </c>
      <c r="K31" s="150"/>
      <c r="L31" s="128"/>
      <c r="M31" s="129"/>
      <c r="N31" s="130"/>
      <c r="T31" s="84" t="s">
        <v>150</v>
      </c>
      <c r="U31" s="84" t="s">
        <v>137</v>
      </c>
      <c r="V31" s="79" t="s">
        <v>177</v>
      </c>
      <c r="W31" s="79" t="s">
        <v>197</v>
      </c>
      <c r="X31" s="79" t="s">
        <v>155</v>
      </c>
      <c r="Y31" s="79" t="s">
        <v>179</v>
      </c>
      <c r="Z31" s="79" t="s">
        <v>199</v>
      </c>
      <c r="AA31" s="79" t="s">
        <v>219</v>
      </c>
      <c r="AB31" s="79" t="s">
        <v>239</v>
      </c>
      <c r="AC31" s="79" t="s">
        <v>261</v>
      </c>
      <c r="AD31" s="79" t="s">
        <v>273</v>
      </c>
      <c r="AE31" s="79" t="s">
        <v>288</v>
      </c>
      <c r="AF31" s="79" t="s">
        <v>301</v>
      </c>
      <c r="AG31" s="79" t="s">
        <v>316</v>
      </c>
      <c r="AH31" s="79" t="s">
        <v>331</v>
      </c>
      <c r="AI31" s="78" t="s">
        <v>345</v>
      </c>
      <c r="AJ31" s="82"/>
      <c r="AK31" s="56" t="b">
        <v>1</v>
      </c>
      <c r="AL31" s="1" t="str">
        <f t="shared" si="1"/>
        <v>VILÁGOS</v>
      </c>
      <c r="AM31" s="1" t="str">
        <f t="shared" si="2"/>
        <v>VILÁGOSKÉK</v>
      </c>
    </row>
    <row r="32" spans="2:39" ht="20.100000000000001" customHeight="1" thickBot="1" x14ac:dyDescent="0.3">
      <c r="B32" s="70">
        <v>70</v>
      </c>
      <c r="C32" s="71">
        <v>28</v>
      </c>
      <c r="H32" s="7" t="str">
        <f t="shared" si="0"/>
        <v>J32</v>
      </c>
      <c r="I32" s="11" t="s">
        <v>65</v>
      </c>
      <c r="J32" s="6"/>
      <c r="K32" s="150"/>
      <c r="L32" s="128"/>
      <c r="M32" s="129"/>
      <c r="N32" s="130"/>
      <c r="T32" s="84"/>
      <c r="U32" s="84"/>
      <c r="V32" s="79" t="s">
        <v>178</v>
      </c>
      <c r="W32" s="79" t="s">
        <v>198</v>
      </c>
      <c r="X32" s="79" t="s">
        <v>201</v>
      </c>
      <c r="Y32" s="79" t="s">
        <v>221</v>
      </c>
      <c r="Z32" s="79" t="s">
        <v>241</v>
      </c>
      <c r="AA32" s="79" t="s">
        <v>262</v>
      </c>
      <c r="AB32" s="79" t="s">
        <v>275</v>
      </c>
      <c r="AC32" s="79" t="s">
        <v>137</v>
      </c>
      <c r="AD32" s="79" t="s">
        <v>303</v>
      </c>
      <c r="AE32" s="79" t="s">
        <v>318</v>
      </c>
      <c r="AF32" s="79" t="s">
        <v>333</v>
      </c>
      <c r="AG32" s="79" t="s">
        <v>346</v>
      </c>
      <c r="AH32" s="79" t="s">
        <v>359</v>
      </c>
      <c r="AI32" s="78" t="s">
        <v>130</v>
      </c>
      <c r="AJ32" s="82"/>
      <c r="AK32" s="56" t="b">
        <v>1</v>
      </c>
      <c r="AL32" s="1" t="str">
        <f t="shared" si="1"/>
        <v>VILÁGOS</v>
      </c>
      <c r="AM32" s="1" t="str">
        <f t="shared" si="2"/>
        <v>VILÁGOSKÉK</v>
      </c>
    </row>
    <row r="33" spans="2:39" ht="20.100000000000001" customHeight="1" x14ac:dyDescent="0.25">
      <c r="B33" s="12"/>
      <c r="C33" s="12"/>
      <c r="H33" s="7" t="str">
        <f t="shared" si="0"/>
        <v>J33</v>
      </c>
      <c r="I33" s="9"/>
      <c r="J33" s="2" t="s">
        <v>64</v>
      </c>
      <c r="K33" s="150"/>
      <c r="L33" s="128"/>
      <c r="M33" s="129"/>
      <c r="N33" s="130"/>
      <c r="T33" s="84" t="s">
        <v>137</v>
      </c>
      <c r="U33" s="84" t="s">
        <v>127</v>
      </c>
      <c r="V33" s="79"/>
      <c r="W33" s="79"/>
      <c r="X33" s="79"/>
      <c r="Y33" s="79"/>
      <c r="Z33" s="79" t="s">
        <v>155</v>
      </c>
      <c r="AA33" s="79" t="s">
        <v>179</v>
      </c>
      <c r="AB33" s="79" t="s">
        <v>199</v>
      </c>
      <c r="AC33" s="79" t="s">
        <v>219</v>
      </c>
      <c r="AD33" s="79" t="s">
        <v>239</v>
      </c>
      <c r="AE33" s="79" t="s">
        <v>261</v>
      </c>
      <c r="AF33" s="79" t="s">
        <v>273</v>
      </c>
      <c r="AG33" s="79" t="s">
        <v>288</v>
      </c>
      <c r="AH33" s="79" t="s">
        <v>301</v>
      </c>
      <c r="AI33" s="78" t="s">
        <v>316</v>
      </c>
      <c r="AJ33" s="82"/>
      <c r="AK33" s="56" t="b">
        <v>1</v>
      </c>
      <c r="AL33" s="1" t="str">
        <f>IF(OR(T33&lt;&gt;"",T32&lt;&gt;""),IF(OR(MOD(ROW(AL33),4)=1,MOD(ROW(AL33),4)=2),"SÖTÉT","VILÁGOS"),"")</f>
        <v>SÖTÉT</v>
      </c>
      <c r="AM33" s="1" t="str">
        <f>IF(AK33&lt;&gt;"",AL33&amp;IF(AK33,"KÉK","PIROS"),"")</f>
        <v>SÖTÉTKÉK</v>
      </c>
    </row>
    <row r="34" spans="2:39" ht="20.100000000000001" customHeight="1" x14ac:dyDescent="0.25">
      <c r="H34" s="7" t="str">
        <f t="shared" si="0"/>
        <v>J34</v>
      </c>
      <c r="I34" s="10" t="s">
        <v>61</v>
      </c>
      <c r="J34" s="4">
        <v>19</v>
      </c>
      <c r="K34" s="150"/>
      <c r="L34" s="128"/>
      <c r="M34" s="129"/>
      <c r="N34" s="130"/>
      <c r="T34" s="84"/>
      <c r="U34" s="84"/>
      <c r="V34" s="79"/>
      <c r="W34" s="79"/>
      <c r="X34" s="79"/>
      <c r="Y34" s="79"/>
      <c r="Z34" s="79" t="s">
        <v>242</v>
      </c>
      <c r="AA34" s="79" t="s">
        <v>263</v>
      </c>
      <c r="AB34" s="79" t="s">
        <v>276</v>
      </c>
      <c r="AC34" s="79" t="s">
        <v>290</v>
      </c>
      <c r="AD34" s="79" t="s">
        <v>304</v>
      </c>
      <c r="AE34" s="79" t="s">
        <v>127</v>
      </c>
      <c r="AF34" s="79" t="s">
        <v>334</v>
      </c>
      <c r="AG34" s="79" t="s">
        <v>347</v>
      </c>
      <c r="AH34" s="79" t="s">
        <v>360</v>
      </c>
      <c r="AI34" s="78" t="s">
        <v>371</v>
      </c>
      <c r="AJ34" s="82"/>
      <c r="AK34" s="56" t="b">
        <v>1</v>
      </c>
      <c r="AL34" s="1" t="str">
        <f t="shared" ref="AL34:AL60" si="3">IF(OR(T34&lt;&gt;"",T33&lt;&gt;""),IF(OR(MOD(ROW(AL34),4)=1,MOD(ROW(AL34),4)=2),"SÖTÉT","VILÁGOS"),"")</f>
        <v>SÖTÉT</v>
      </c>
      <c r="AM34" s="1" t="str">
        <f t="shared" ref="AM34:AM60" si="4">IF(AK34&lt;&gt;"",AL34&amp;IF(AK34,"KÉK","PIROS"),"")</f>
        <v>SÖTÉTKÉK</v>
      </c>
    </row>
    <row r="35" spans="2:39" ht="20.100000000000001" customHeight="1" x14ac:dyDescent="0.25">
      <c r="H35" s="7" t="str">
        <f t="shared" si="0"/>
        <v>J35</v>
      </c>
      <c r="I35" s="10" t="s">
        <v>62</v>
      </c>
      <c r="J35" s="54">
        <f>18+COUNT(B19:B32)</f>
        <v>32</v>
      </c>
      <c r="K35" s="150"/>
      <c r="L35" s="128"/>
      <c r="M35" s="129"/>
      <c r="N35" s="130"/>
      <c r="T35" s="84" t="s">
        <v>127</v>
      </c>
      <c r="U35" s="84" t="s">
        <v>128</v>
      </c>
      <c r="V35" s="79"/>
      <c r="W35" s="79"/>
      <c r="X35" s="79"/>
      <c r="Y35" s="79"/>
      <c r="Z35" s="79"/>
      <c r="AA35" s="79"/>
      <c r="AB35" s="79" t="s">
        <v>155</v>
      </c>
      <c r="AC35" s="79" t="s">
        <v>179</v>
      </c>
      <c r="AD35" s="79" t="s">
        <v>199</v>
      </c>
      <c r="AE35" s="79" t="s">
        <v>219</v>
      </c>
      <c r="AF35" s="79" t="s">
        <v>239</v>
      </c>
      <c r="AG35" s="79" t="s">
        <v>261</v>
      </c>
      <c r="AH35" s="79" t="s">
        <v>273</v>
      </c>
      <c r="AI35" s="78" t="s">
        <v>288</v>
      </c>
      <c r="AJ35" s="82"/>
      <c r="AK35" s="56" t="b">
        <v>1</v>
      </c>
      <c r="AL35" s="1" t="str">
        <f t="shared" si="3"/>
        <v>VILÁGOS</v>
      </c>
      <c r="AM35" s="1" t="str">
        <f t="shared" si="4"/>
        <v>VILÁGOSKÉK</v>
      </c>
    </row>
    <row r="36" spans="2:39" ht="20.100000000000001" customHeight="1" thickBot="1" x14ac:dyDescent="0.3">
      <c r="H36" s="7" t="str">
        <f t="shared" si="0"/>
        <v>J36</v>
      </c>
      <c r="I36" s="11" t="s">
        <v>65</v>
      </c>
      <c r="J36" s="6"/>
      <c r="K36" s="151"/>
      <c r="L36" s="131"/>
      <c r="M36" s="132"/>
      <c r="N36" s="133"/>
      <c r="T36" s="84"/>
      <c r="U36" s="84"/>
      <c r="V36" s="79"/>
      <c r="W36" s="79"/>
      <c r="X36" s="79"/>
      <c r="Y36" s="79"/>
      <c r="Z36" s="79"/>
      <c r="AA36" s="79"/>
      <c r="AB36" s="79" t="s">
        <v>277</v>
      </c>
      <c r="AC36" s="79" t="s">
        <v>291</v>
      </c>
      <c r="AD36" s="79" t="s">
        <v>305</v>
      </c>
      <c r="AE36" s="79" t="s">
        <v>319</v>
      </c>
      <c r="AF36" s="79" t="s">
        <v>335</v>
      </c>
      <c r="AG36" s="79" t="s">
        <v>128</v>
      </c>
      <c r="AH36" s="79" t="s">
        <v>361</v>
      </c>
      <c r="AI36" s="78" t="s">
        <v>372</v>
      </c>
      <c r="AJ36" s="82"/>
      <c r="AK36" s="56" t="b">
        <v>1</v>
      </c>
      <c r="AL36" s="1" t="str">
        <f t="shared" si="3"/>
        <v>VILÁGOS</v>
      </c>
      <c r="AM36" s="1" t="str">
        <f t="shared" si="4"/>
        <v>VILÁGOSKÉK</v>
      </c>
    </row>
    <row r="37" spans="2:39" ht="20.100000000000001" customHeight="1" thickBot="1" x14ac:dyDescent="0.3">
      <c r="H37" s="7" t="str">
        <f t="shared" si="0"/>
        <v>J37</v>
      </c>
      <c r="T37" s="84" t="s">
        <v>128</v>
      </c>
      <c r="U37" s="84" t="s">
        <v>129</v>
      </c>
      <c r="V37" s="79"/>
      <c r="W37" s="79"/>
      <c r="X37" s="79"/>
      <c r="Y37" s="79"/>
      <c r="Z37" s="79"/>
      <c r="AA37" s="79"/>
      <c r="AB37" s="79"/>
      <c r="AC37" s="79"/>
      <c r="AD37" s="79" t="s">
        <v>155</v>
      </c>
      <c r="AE37" s="79" t="s">
        <v>179</v>
      </c>
      <c r="AF37" s="79" t="s">
        <v>199</v>
      </c>
      <c r="AG37" s="79" t="s">
        <v>219</v>
      </c>
      <c r="AH37" s="79" t="s">
        <v>239</v>
      </c>
      <c r="AI37" s="78" t="s">
        <v>261</v>
      </c>
      <c r="AJ37" s="82"/>
      <c r="AK37" s="56" t="b">
        <v>1</v>
      </c>
      <c r="AL37" s="1" t="str">
        <f t="shared" si="3"/>
        <v>SÖTÉT</v>
      </c>
      <c r="AM37" s="1" t="str">
        <f t="shared" si="4"/>
        <v>SÖTÉTKÉK</v>
      </c>
    </row>
    <row r="38" spans="2:39" ht="20.100000000000001" customHeight="1" thickBot="1" x14ac:dyDescent="0.3">
      <c r="H38" s="7" t="str">
        <f t="shared" si="0"/>
        <v>J38</v>
      </c>
      <c r="I38" s="152" t="s">
        <v>66</v>
      </c>
      <c r="J38" s="153"/>
      <c r="K38" s="154"/>
      <c r="T38" s="84"/>
      <c r="U38" s="84"/>
      <c r="V38" s="79"/>
      <c r="W38" s="79"/>
      <c r="X38" s="79"/>
      <c r="Y38" s="79"/>
      <c r="Z38" s="79"/>
      <c r="AA38" s="79"/>
      <c r="AB38" s="79"/>
      <c r="AC38" s="79"/>
      <c r="AD38" s="79" t="s">
        <v>306</v>
      </c>
      <c r="AE38" s="79" t="s">
        <v>320</v>
      </c>
      <c r="AF38" s="79" t="s">
        <v>336</v>
      </c>
      <c r="AG38" s="79" t="s">
        <v>348</v>
      </c>
      <c r="AH38" s="79" t="s">
        <v>362</v>
      </c>
      <c r="AI38" s="78" t="s">
        <v>129</v>
      </c>
      <c r="AJ38" s="82"/>
      <c r="AK38" s="56" t="b">
        <v>1</v>
      </c>
      <c r="AL38" s="1" t="str">
        <f t="shared" si="3"/>
        <v>SÖTÉT</v>
      </c>
      <c r="AM38" s="1" t="str">
        <f t="shared" si="4"/>
        <v>SÖTÉTKÉK</v>
      </c>
    </row>
    <row r="39" spans="2:39" ht="20.100000000000001" customHeight="1" x14ac:dyDescent="0.25">
      <c r="H39" s="7" t="str">
        <f t="shared" si="0"/>
        <v>J39</v>
      </c>
      <c r="I39" s="9" t="s">
        <v>68</v>
      </c>
      <c r="J39" s="14">
        <f>INDEX(A1:C40,J32,3)</f>
        <v>0</v>
      </c>
      <c r="K39" s="37" t="s">
        <v>72</v>
      </c>
      <c r="T39" s="84" t="s">
        <v>132</v>
      </c>
      <c r="U39" s="84" t="s">
        <v>131</v>
      </c>
      <c r="V39" s="79" t="s">
        <v>157</v>
      </c>
      <c r="W39" s="79" t="s">
        <v>181</v>
      </c>
      <c r="X39" s="79" t="s">
        <v>202</v>
      </c>
      <c r="Y39" s="79" t="s">
        <v>222</v>
      </c>
      <c r="Z39" s="79" t="s">
        <v>243</v>
      </c>
      <c r="AA39" s="79" t="s">
        <v>264</v>
      </c>
      <c r="AB39" s="79" t="s">
        <v>278</v>
      </c>
      <c r="AC39" s="79" t="s">
        <v>292</v>
      </c>
      <c r="AD39" s="79" t="s">
        <v>307</v>
      </c>
      <c r="AE39" s="79" t="s">
        <v>321</v>
      </c>
      <c r="AF39" s="79"/>
      <c r="AG39" s="79"/>
      <c r="AH39" s="79"/>
      <c r="AI39" s="78"/>
      <c r="AJ39" s="82"/>
      <c r="AK39" s="56" t="b">
        <v>0</v>
      </c>
      <c r="AL39" s="1" t="str">
        <f t="shared" si="3"/>
        <v>VILÁGOS</v>
      </c>
      <c r="AM39" s="1" t="str">
        <f t="shared" si="4"/>
        <v>VILÁGOSPIROS</v>
      </c>
    </row>
    <row r="40" spans="2:39" ht="20.100000000000001" customHeight="1" x14ac:dyDescent="0.25">
      <c r="H40" s="7" t="str">
        <f t="shared" si="0"/>
        <v>J40</v>
      </c>
      <c r="I40" s="10" t="s">
        <v>69</v>
      </c>
      <c r="J40" s="15">
        <f>INDEX(A1:C40,J36,2)</f>
        <v>0</v>
      </c>
      <c r="K40" s="38" t="s">
        <v>73</v>
      </c>
      <c r="T40" s="84"/>
      <c r="U40" s="84"/>
      <c r="V40" s="79" t="s">
        <v>158</v>
      </c>
      <c r="W40" s="79" t="s">
        <v>182</v>
      </c>
      <c r="X40" s="79" t="s">
        <v>203</v>
      </c>
      <c r="Y40" s="79" t="s">
        <v>149</v>
      </c>
      <c r="Z40" s="79" t="s">
        <v>244</v>
      </c>
      <c r="AA40" s="79" t="s">
        <v>265</v>
      </c>
      <c r="AB40" s="79" t="s">
        <v>279</v>
      </c>
      <c r="AC40" s="79" t="s">
        <v>293</v>
      </c>
      <c r="AD40" s="79" t="s">
        <v>308</v>
      </c>
      <c r="AE40" s="79" t="s">
        <v>322</v>
      </c>
      <c r="AF40" s="79"/>
      <c r="AG40" s="79"/>
      <c r="AH40" s="79"/>
      <c r="AI40" s="78"/>
      <c r="AJ40" s="82"/>
      <c r="AK40" s="56" t="b">
        <v>0</v>
      </c>
      <c r="AL40" s="1" t="str">
        <f t="shared" si="3"/>
        <v>VILÁGOS</v>
      </c>
      <c r="AM40" s="1" t="str">
        <f t="shared" si="4"/>
        <v>VILÁGOSPIROS</v>
      </c>
    </row>
    <row r="41" spans="2:39" ht="20.100000000000001" customHeight="1" x14ac:dyDescent="0.25">
      <c r="H41" s="7" t="str">
        <f t="shared" si="0"/>
        <v>J41</v>
      </c>
      <c r="I41" s="10" t="s">
        <v>70</v>
      </c>
      <c r="J41" s="15">
        <f>IF(ABS(J40-MAX(C19:C32))&gt;ABS(J40-MIN(C19:C32)),J40+C16,J40-C15)</f>
        <v>2</v>
      </c>
      <c r="K41" s="38" t="s">
        <v>74</v>
      </c>
      <c r="T41" s="84" t="s">
        <v>133</v>
      </c>
      <c r="U41" s="84" t="s">
        <v>132</v>
      </c>
      <c r="V41" s="79" t="s">
        <v>159</v>
      </c>
      <c r="W41" s="79" t="s">
        <v>183</v>
      </c>
      <c r="X41" s="79" t="s">
        <v>204</v>
      </c>
      <c r="Y41" s="79" t="s">
        <v>223</v>
      </c>
      <c r="Z41" s="79" t="s">
        <v>245</v>
      </c>
      <c r="AA41" s="79" t="s">
        <v>157</v>
      </c>
      <c r="AB41" s="79" t="s">
        <v>181</v>
      </c>
      <c r="AC41" s="79" t="s">
        <v>202</v>
      </c>
      <c r="AD41" s="79" t="s">
        <v>222</v>
      </c>
      <c r="AE41" s="79" t="s">
        <v>243</v>
      </c>
      <c r="AF41" s="79" t="s">
        <v>264</v>
      </c>
      <c r="AG41" s="79" t="s">
        <v>278</v>
      </c>
      <c r="AH41" s="79" t="s">
        <v>292</v>
      </c>
      <c r="AI41" s="78" t="s">
        <v>307</v>
      </c>
      <c r="AJ41" s="82"/>
      <c r="AK41" s="56" t="b">
        <v>0</v>
      </c>
      <c r="AL41" s="1" t="str">
        <f t="shared" si="3"/>
        <v>SÖTÉT</v>
      </c>
      <c r="AM41" s="1" t="str">
        <f t="shared" si="4"/>
        <v>SÖTÉTPIROS</v>
      </c>
    </row>
    <row r="42" spans="2:39" ht="20.100000000000001" customHeight="1" thickBot="1" x14ac:dyDescent="0.3">
      <c r="H42" s="7" t="str">
        <f t="shared" si="0"/>
        <v>J42</v>
      </c>
      <c r="I42" s="11" t="s">
        <v>71</v>
      </c>
      <c r="J42" s="16">
        <f>AVERAGE(J40:J41)</f>
        <v>1</v>
      </c>
      <c r="K42" s="43" t="s">
        <v>75</v>
      </c>
      <c r="T42" s="84"/>
      <c r="U42" s="84"/>
      <c r="V42" s="79" t="s">
        <v>160</v>
      </c>
      <c r="W42" s="79" t="s">
        <v>184</v>
      </c>
      <c r="X42" s="79" t="s">
        <v>132</v>
      </c>
      <c r="Y42" s="79" t="s">
        <v>224</v>
      </c>
      <c r="Z42" s="79" t="s">
        <v>246</v>
      </c>
      <c r="AA42" s="79" t="s">
        <v>266</v>
      </c>
      <c r="AB42" s="79" t="s">
        <v>280</v>
      </c>
      <c r="AC42" s="79" t="s">
        <v>294</v>
      </c>
      <c r="AD42" s="79" t="s">
        <v>146</v>
      </c>
      <c r="AE42" s="79" t="s">
        <v>323</v>
      </c>
      <c r="AF42" s="79" t="s">
        <v>337</v>
      </c>
      <c r="AG42" s="79" t="s">
        <v>349</v>
      </c>
      <c r="AH42" s="79" t="s">
        <v>363</v>
      </c>
      <c r="AI42" s="78" t="s">
        <v>373</v>
      </c>
      <c r="AJ42" s="82"/>
      <c r="AK42" s="56" t="b">
        <v>0</v>
      </c>
      <c r="AL42" s="1" t="str">
        <f t="shared" si="3"/>
        <v>SÖTÉT</v>
      </c>
      <c r="AM42" s="1" t="str">
        <f t="shared" si="4"/>
        <v>SÖTÉTPIROS</v>
      </c>
    </row>
    <row r="43" spans="2:39" ht="20.100000000000001" customHeight="1" thickBot="1" x14ac:dyDescent="0.3">
      <c r="H43" s="7" t="str">
        <f t="shared" si="0"/>
        <v>J43</v>
      </c>
      <c r="T43" s="84" t="s">
        <v>134</v>
      </c>
      <c r="U43" s="84" t="s">
        <v>133</v>
      </c>
      <c r="V43" s="79" t="s">
        <v>161</v>
      </c>
      <c r="W43" s="79" t="s">
        <v>185</v>
      </c>
      <c r="X43" s="79" t="s">
        <v>205</v>
      </c>
      <c r="Y43" s="79" t="s">
        <v>225</v>
      </c>
      <c r="Z43" s="79" t="s">
        <v>247</v>
      </c>
      <c r="AA43" s="79" t="s">
        <v>159</v>
      </c>
      <c r="AB43" s="79" t="s">
        <v>183</v>
      </c>
      <c r="AC43" s="79" t="s">
        <v>204</v>
      </c>
      <c r="AD43" s="79" t="s">
        <v>223</v>
      </c>
      <c r="AE43" s="79" t="s">
        <v>245</v>
      </c>
      <c r="AF43" s="79" t="s">
        <v>157</v>
      </c>
      <c r="AG43" s="79" t="s">
        <v>181</v>
      </c>
      <c r="AH43" s="79" t="s">
        <v>202</v>
      </c>
      <c r="AI43" s="78" t="s">
        <v>222</v>
      </c>
      <c r="AJ43" s="82"/>
      <c r="AK43" s="56" t="b">
        <v>0</v>
      </c>
      <c r="AL43" s="1" t="str">
        <f t="shared" si="3"/>
        <v>VILÁGOS</v>
      </c>
      <c r="AM43" s="1" t="str">
        <f t="shared" si="4"/>
        <v>VILÁGOSPIROS</v>
      </c>
    </row>
    <row r="44" spans="2:39" ht="20.100000000000001" customHeight="1" thickBot="1" x14ac:dyDescent="0.3">
      <c r="H44" s="7" t="str">
        <f t="shared" si="0"/>
        <v>J44</v>
      </c>
      <c r="I44" s="138" t="s">
        <v>100</v>
      </c>
      <c r="J44" s="139"/>
      <c r="K44" s="140"/>
      <c r="T44" s="84"/>
      <c r="U44" s="84"/>
      <c r="V44" s="79" t="s">
        <v>162</v>
      </c>
      <c r="W44" s="79" t="s">
        <v>186</v>
      </c>
      <c r="X44" s="79" t="s">
        <v>206</v>
      </c>
      <c r="Y44" s="79" t="s">
        <v>226</v>
      </c>
      <c r="Z44" s="79" t="s">
        <v>248</v>
      </c>
      <c r="AA44" s="79" t="s">
        <v>267</v>
      </c>
      <c r="AB44" s="79" t="s">
        <v>281</v>
      </c>
      <c r="AC44" s="79" t="s">
        <v>133</v>
      </c>
      <c r="AD44" s="79" t="s">
        <v>309</v>
      </c>
      <c r="AE44" s="79" t="s">
        <v>324</v>
      </c>
      <c r="AF44" s="79" t="s">
        <v>338</v>
      </c>
      <c r="AG44" s="79" t="s">
        <v>350</v>
      </c>
      <c r="AH44" s="79" t="s">
        <v>364</v>
      </c>
      <c r="AI44" s="78" t="s">
        <v>136</v>
      </c>
      <c r="AJ44" s="82"/>
      <c r="AK44" s="56" t="b">
        <v>0</v>
      </c>
      <c r="AL44" s="1" t="str">
        <f t="shared" si="3"/>
        <v>VILÁGOS</v>
      </c>
      <c r="AM44" s="1" t="str">
        <f t="shared" si="4"/>
        <v>VILÁGOSPIROS</v>
      </c>
    </row>
    <row r="45" spans="2:39" ht="20.100000000000001" customHeight="1" x14ac:dyDescent="0.25">
      <c r="H45" s="7" t="str">
        <f t="shared" si="0"/>
        <v>J45</v>
      </c>
      <c r="I45" s="87" t="s">
        <v>18</v>
      </c>
      <c r="J45" s="88">
        <f>D_cső_belső*0.001</f>
        <v>7.4000000000000003E-3</v>
      </c>
      <c r="K45" s="37" t="s">
        <v>22</v>
      </c>
      <c r="L45" s="125" t="s">
        <v>50</v>
      </c>
      <c r="M45" s="141"/>
      <c r="N45" s="142"/>
      <c r="T45" s="84" t="s">
        <v>135</v>
      </c>
      <c r="U45" s="84" t="s">
        <v>134</v>
      </c>
      <c r="V45" s="79" t="s">
        <v>163</v>
      </c>
      <c r="W45" s="79" t="s">
        <v>187</v>
      </c>
      <c r="X45" s="79" t="s">
        <v>207</v>
      </c>
      <c r="Y45" s="79" t="s">
        <v>227</v>
      </c>
      <c r="Z45" s="79" t="s">
        <v>249</v>
      </c>
      <c r="AA45" s="79" t="s">
        <v>161</v>
      </c>
      <c r="AB45" s="79" t="s">
        <v>185</v>
      </c>
      <c r="AC45" s="79" t="s">
        <v>205</v>
      </c>
      <c r="AD45" s="79" t="s">
        <v>225</v>
      </c>
      <c r="AE45" s="79" t="s">
        <v>247</v>
      </c>
      <c r="AF45" s="79" t="s">
        <v>159</v>
      </c>
      <c r="AG45" s="79" t="s">
        <v>183</v>
      </c>
      <c r="AH45" s="79" t="s">
        <v>204</v>
      </c>
      <c r="AI45" s="78" t="s">
        <v>223</v>
      </c>
      <c r="AJ45" s="82"/>
      <c r="AK45" s="56" t="b">
        <v>0</v>
      </c>
      <c r="AL45" s="1" t="str">
        <f t="shared" si="3"/>
        <v>SÖTÉT</v>
      </c>
      <c r="AM45" s="1" t="str">
        <f t="shared" si="4"/>
        <v>SÖTÉTPIROS</v>
      </c>
    </row>
    <row r="46" spans="2:39" ht="20.100000000000001" customHeight="1" x14ac:dyDescent="0.25">
      <c r="H46" s="7" t="str">
        <f t="shared" si="0"/>
        <v>J46</v>
      </c>
      <c r="I46" s="89" t="s">
        <v>19</v>
      </c>
      <c r="J46" s="90">
        <f>D_cső_külső*0.001</f>
        <v>0.01</v>
      </c>
      <c r="K46" s="38" t="s">
        <v>23</v>
      </c>
      <c r="L46" s="143"/>
      <c r="M46" s="144"/>
      <c r="N46" s="145"/>
      <c r="T46" s="84"/>
      <c r="U46" s="84"/>
      <c r="V46" s="79" t="s">
        <v>164</v>
      </c>
      <c r="W46" s="79" t="s">
        <v>188</v>
      </c>
      <c r="X46" s="79" t="s">
        <v>208</v>
      </c>
      <c r="Y46" s="79" t="s">
        <v>228</v>
      </c>
      <c r="Z46" s="79" t="s">
        <v>250</v>
      </c>
      <c r="AA46" s="79" t="s">
        <v>268</v>
      </c>
      <c r="AB46" s="79" t="s">
        <v>282</v>
      </c>
      <c r="AC46" s="79" t="s">
        <v>295</v>
      </c>
      <c r="AD46" s="79" t="s">
        <v>310</v>
      </c>
      <c r="AE46" s="79" t="s">
        <v>325</v>
      </c>
      <c r="AF46" s="79" t="s">
        <v>339</v>
      </c>
      <c r="AG46" s="79" t="s">
        <v>351</v>
      </c>
      <c r="AH46" s="79" t="s">
        <v>134</v>
      </c>
      <c r="AI46" s="78" t="s">
        <v>374</v>
      </c>
      <c r="AJ46" s="82"/>
      <c r="AK46" s="56" t="b">
        <v>0</v>
      </c>
      <c r="AL46" s="1" t="str">
        <f t="shared" si="3"/>
        <v>SÖTÉT</v>
      </c>
      <c r="AM46" s="1" t="str">
        <f t="shared" si="4"/>
        <v>SÖTÉTPIROS</v>
      </c>
    </row>
    <row r="47" spans="2:39" ht="20.100000000000001" customHeight="1" x14ac:dyDescent="0.25">
      <c r="H47" s="7" t="str">
        <f t="shared" si="0"/>
        <v>J47</v>
      </c>
      <c r="I47" s="89" t="s">
        <v>20</v>
      </c>
      <c r="J47" s="90">
        <f>J46+0.002*Lemezvastagság</f>
        <v>1.0999999999999999E-2</v>
      </c>
      <c r="K47" s="38" t="s">
        <v>24</v>
      </c>
      <c r="L47" s="143"/>
      <c r="M47" s="144"/>
      <c r="N47" s="145"/>
      <c r="T47" s="84" t="s">
        <v>165</v>
      </c>
      <c r="U47" s="84" t="s">
        <v>135</v>
      </c>
      <c r="V47" s="79" t="s">
        <v>166</v>
      </c>
      <c r="W47" s="79" t="s">
        <v>189</v>
      </c>
      <c r="X47" s="79" t="s">
        <v>209</v>
      </c>
      <c r="Y47" s="79" t="s">
        <v>229</v>
      </c>
      <c r="Z47" s="79" t="s">
        <v>251</v>
      </c>
      <c r="AA47" s="79" t="s">
        <v>163</v>
      </c>
      <c r="AB47" s="79" t="s">
        <v>187</v>
      </c>
      <c r="AC47" s="79" t="s">
        <v>207</v>
      </c>
      <c r="AD47" s="79" t="s">
        <v>227</v>
      </c>
      <c r="AE47" s="79" t="s">
        <v>249</v>
      </c>
      <c r="AF47" s="79" t="s">
        <v>161</v>
      </c>
      <c r="AG47" s="79" t="s">
        <v>185</v>
      </c>
      <c r="AH47" s="79" t="s">
        <v>205</v>
      </c>
      <c r="AI47" s="78" t="s">
        <v>225</v>
      </c>
      <c r="AJ47" s="82"/>
      <c r="AK47" s="56" t="b">
        <v>0</v>
      </c>
      <c r="AL47" s="1" t="str">
        <f t="shared" si="3"/>
        <v>VILÁGOS</v>
      </c>
      <c r="AM47" s="1" t="str">
        <f t="shared" si="4"/>
        <v>VILÁGOSPIROS</v>
      </c>
    </row>
    <row r="48" spans="2:39" ht="20.100000000000001" customHeight="1" x14ac:dyDescent="0.25">
      <c r="H48" s="7" t="str">
        <f t="shared" si="0"/>
        <v>J48</v>
      </c>
      <c r="I48" s="89" t="s">
        <v>25</v>
      </c>
      <c r="J48" s="90">
        <f>(J46-J45)/2</f>
        <v>1.2999999999999999E-3</v>
      </c>
      <c r="K48" s="38" t="s">
        <v>27</v>
      </c>
      <c r="L48" s="143"/>
      <c r="M48" s="144"/>
      <c r="N48" s="145"/>
      <c r="T48" s="84"/>
      <c r="U48" s="84"/>
      <c r="V48" s="79" t="s">
        <v>167</v>
      </c>
      <c r="W48" s="79" t="s">
        <v>190</v>
      </c>
      <c r="X48" s="79" t="s">
        <v>210</v>
      </c>
      <c r="Y48" s="79" t="s">
        <v>230</v>
      </c>
      <c r="Z48" s="79" t="s">
        <v>252</v>
      </c>
      <c r="AA48" s="79" t="s">
        <v>269</v>
      </c>
      <c r="AB48" s="79" t="s">
        <v>283</v>
      </c>
      <c r="AC48" s="79" t="s">
        <v>296</v>
      </c>
      <c r="AD48" s="79" t="s">
        <v>311</v>
      </c>
      <c r="AE48" s="79" t="s">
        <v>326</v>
      </c>
      <c r="AF48" s="79" t="s">
        <v>340</v>
      </c>
      <c r="AG48" s="79" t="s">
        <v>352</v>
      </c>
      <c r="AH48" s="79" t="s">
        <v>365</v>
      </c>
      <c r="AI48" s="78" t="s">
        <v>375</v>
      </c>
      <c r="AJ48" s="82"/>
      <c r="AK48" s="56" t="b">
        <v>0</v>
      </c>
      <c r="AL48" s="1" t="str">
        <f t="shared" si="3"/>
        <v>VILÁGOS</v>
      </c>
      <c r="AM48" s="1" t="str">
        <f t="shared" si="4"/>
        <v>VILÁGOSPIROS</v>
      </c>
    </row>
    <row r="49" spans="8:39" ht="20.100000000000001" customHeight="1" x14ac:dyDescent="0.25">
      <c r="H49" s="7" t="str">
        <f t="shared" si="0"/>
        <v>J49</v>
      </c>
      <c r="I49" s="89" t="s">
        <v>26</v>
      </c>
      <c r="J49" s="90">
        <f>(J47-J46)/2</f>
        <v>4.9999999999999958E-4</v>
      </c>
      <c r="K49" s="38" t="s">
        <v>28</v>
      </c>
      <c r="L49" s="143"/>
      <c r="M49" s="144"/>
      <c r="N49" s="145"/>
      <c r="T49" s="84" t="s">
        <v>168</v>
      </c>
      <c r="U49" s="84" t="s">
        <v>165</v>
      </c>
      <c r="V49" s="79" t="s">
        <v>169</v>
      </c>
      <c r="W49" s="79" t="s">
        <v>191</v>
      </c>
      <c r="X49" s="79" t="s">
        <v>211</v>
      </c>
      <c r="Y49" s="79" t="s">
        <v>231</v>
      </c>
      <c r="Z49" s="79" t="s">
        <v>253</v>
      </c>
      <c r="AA49" s="79" t="s">
        <v>166</v>
      </c>
      <c r="AB49" s="79" t="s">
        <v>189</v>
      </c>
      <c r="AC49" s="79" t="s">
        <v>209</v>
      </c>
      <c r="AD49" s="79" t="s">
        <v>229</v>
      </c>
      <c r="AE49" s="79" t="s">
        <v>251</v>
      </c>
      <c r="AF49" s="79" t="s">
        <v>163</v>
      </c>
      <c r="AG49" s="79" t="s">
        <v>187</v>
      </c>
      <c r="AH49" s="79" t="s">
        <v>207</v>
      </c>
      <c r="AI49" s="78" t="s">
        <v>227</v>
      </c>
      <c r="AJ49" s="82"/>
      <c r="AK49" s="56" t="b">
        <v>0</v>
      </c>
      <c r="AL49" s="1" t="str">
        <f t="shared" si="3"/>
        <v>SÖTÉT</v>
      </c>
      <c r="AM49" s="1" t="str">
        <f t="shared" si="4"/>
        <v>SÖTÉTPIROS</v>
      </c>
    </row>
    <row r="50" spans="8:39" ht="20.100000000000001" customHeight="1" x14ac:dyDescent="0.25">
      <c r="H50" s="7" t="str">
        <f t="shared" si="0"/>
        <v>J50</v>
      </c>
      <c r="I50" s="89" t="s">
        <v>29</v>
      </c>
      <c r="J50" s="90">
        <f>GK_vast*0.001</f>
        <v>0.01</v>
      </c>
      <c r="K50" s="38" t="s">
        <v>30</v>
      </c>
      <c r="L50" s="143"/>
      <c r="M50" s="144"/>
      <c r="N50" s="145"/>
      <c r="T50" s="84"/>
      <c r="U50" s="84"/>
      <c r="V50" s="79" t="s">
        <v>170</v>
      </c>
      <c r="W50" s="79" t="s">
        <v>192</v>
      </c>
      <c r="X50" s="79" t="s">
        <v>212</v>
      </c>
      <c r="Y50" s="79" t="s">
        <v>232</v>
      </c>
      <c r="Z50" s="79" t="s">
        <v>254</v>
      </c>
      <c r="AA50" s="79" t="s">
        <v>270</v>
      </c>
      <c r="AB50" s="79" t="s">
        <v>284</v>
      </c>
      <c r="AC50" s="79" t="s">
        <v>297</v>
      </c>
      <c r="AD50" s="79" t="s">
        <v>312</v>
      </c>
      <c r="AE50" s="79" t="s">
        <v>327</v>
      </c>
      <c r="AF50" s="79" t="s">
        <v>341</v>
      </c>
      <c r="AG50" s="79" t="s">
        <v>353</v>
      </c>
      <c r="AH50" s="79" t="s">
        <v>366</v>
      </c>
      <c r="AI50" s="78" t="s">
        <v>376</v>
      </c>
      <c r="AJ50" s="82"/>
      <c r="AK50" s="56" t="b">
        <v>0</v>
      </c>
      <c r="AL50" s="1" t="str">
        <f t="shared" si="3"/>
        <v>SÖTÉT</v>
      </c>
      <c r="AM50" s="1" t="str">
        <f t="shared" si="4"/>
        <v>SÖTÉTPIROS</v>
      </c>
    </row>
    <row r="51" spans="8:39" ht="20.100000000000001" customHeight="1" x14ac:dyDescent="0.25">
      <c r="H51" s="7" t="str">
        <f t="shared" si="0"/>
        <v>J51</v>
      </c>
      <c r="I51" s="89" t="s">
        <v>31</v>
      </c>
      <c r="J51" s="91">
        <f>J45*PI()*Hossz*0.001</f>
        <v>2.3247785636564475E-2</v>
      </c>
      <c r="K51" s="38" t="s">
        <v>110</v>
      </c>
      <c r="L51" s="143"/>
      <c r="M51" s="144"/>
      <c r="N51" s="145"/>
      <c r="T51" s="84" t="s">
        <v>171</v>
      </c>
      <c r="U51" s="84" t="s">
        <v>168</v>
      </c>
      <c r="V51" s="79" t="s">
        <v>172</v>
      </c>
      <c r="W51" s="79" t="s">
        <v>193</v>
      </c>
      <c r="X51" s="79" t="s">
        <v>213</v>
      </c>
      <c r="Y51" s="79" t="s">
        <v>233</v>
      </c>
      <c r="Z51" s="79" t="s">
        <v>255</v>
      </c>
      <c r="AA51" s="79" t="s">
        <v>169</v>
      </c>
      <c r="AB51" s="79" t="s">
        <v>191</v>
      </c>
      <c r="AC51" s="79" t="s">
        <v>211</v>
      </c>
      <c r="AD51" s="79" t="s">
        <v>231</v>
      </c>
      <c r="AE51" s="79" t="s">
        <v>253</v>
      </c>
      <c r="AF51" s="79" t="s">
        <v>166</v>
      </c>
      <c r="AG51" s="79" t="s">
        <v>189</v>
      </c>
      <c r="AH51" s="79" t="s">
        <v>209</v>
      </c>
      <c r="AI51" s="78" t="s">
        <v>229</v>
      </c>
      <c r="AJ51" s="82"/>
      <c r="AK51" s="56" t="b">
        <v>0</v>
      </c>
      <c r="AL51" s="1" t="str">
        <f t="shared" si="3"/>
        <v>VILÁGOS</v>
      </c>
      <c r="AM51" s="1" t="str">
        <f t="shared" si="4"/>
        <v>VILÁGOSPIROS</v>
      </c>
    </row>
    <row r="52" spans="8:39" ht="20.100000000000001" customHeight="1" x14ac:dyDescent="0.25">
      <c r="H52" s="7" t="str">
        <f t="shared" si="0"/>
        <v>J52</v>
      </c>
      <c r="I52" s="89" t="s">
        <v>32</v>
      </c>
      <c r="J52" s="91">
        <f>J46*PI()*Hossz/1000</f>
        <v>3.1415926535897934E-2</v>
      </c>
      <c r="K52" s="38" t="s">
        <v>111</v>
      </c>
      <c r="L52" s="143"/>
      <c r="M52" s="144"/>
      <c r="N52" s="145"/>
      <c r="T52" s="84"/>
      <c r="U52" s="84"/>
      <c r="V52" s="79" t="s">
        <v>173</v>
      </c>
      <c r="W52" s="79" t="s">
        <v>194</v>
      </c>
      <c r="X52" s="79" t="s">
        <v>214</v>
      </c>
      <c r="Y52" s="79" t="s">
        <v>234</v>
      </c>
      <c r="Z52" s="79" t="s">
        <v>256</v>
      </c>
      <c r="AA52" s="79" t="s">
        <v>271</v>
      </c>
      <c r="AB52" s="79" t="s">
        <v>285</v>
      </c>
      <c r="AC52" s="79" t="s">
        <v>298</v>
      </c>
      <c r="AD52" s="79" t="s">
        <v>313</v>
      </c>
      <c r="AE52" s="79" t="s">
        <v>328</v>
      </c>
      <c r="AF52" s="79" t="s">
        <v>342</v>
      </c>
      <c r="AG52" s="79" t="s">
        <v>354</v>
      </c>
      <c r="AH52" s="79" t="s">
        <v>367</v>
      </c>
      <c r="AI52" s="78" t="s">
        <v>377</v>
      </c>
      <c r="AJ52" s="82"/>
      <c r="AK52" s="56" t="b">
        <v>0</v>
      </c>
      <c r="AL52" s="1" t="str">
        <f t="shared" si="3"/>
        <v>VILÁGOS</v>
      </c>
      <c r="AM52" s="1" t="str">
        <f t="shared" si="4"/>
        <v>VILÁGOSPIROS</v>
      </c>
    </row>
    <row r="53" spans="8:39" ht="20.100000000000001" customHeight="1" x14ac:dyDescent="0.25">
      <c r="H53" s="7" t="str">
        <f t="shared" si="0"/>
        <v>J53</v>
      </c>
      <c r="I53" s="89" t="s">
        <v>33</v>
      </c>
      <c r="J53" s="91">
        <f>J47*PI()*Hossz/1000</f>
        <v>3.4557519189487719E-2</v>
      </c>
      <c r="K53" s="38" t="s">
        <v>112</v>
      </c>
      <c r="L53" s="143"/>
      <c r="M53" s="144"/>
      <c r="N53" s="145"/>
      <c r="T53" s="84" t="s">
        <v>174</v>
      </c>
      <c r="U53" s="84" t="s">
        <v>171</v>
      </c>
      <c r="V53" s="79" t="s">
        <v>175</v>
      </c>
      <c r="W53" s="79" t="s">
        <v>195</v>
      </c>
      <c r="X53" s="79" t="s">
        <v>215</v>
      </c>
      <c r="Y53" s="79" t="s">
        <v>235</v>
      </c>
      <c r="Z53" s="79" t="s">
        <v>257</v>
      </c>
      <c r="AA53" s="79" t="s">
        <v>172</v>
      </c>
      <c r="AB53" s="79" t="s">
        <v>193</v>
      </c>
      <c r="AC53" s="79" t="s">
        <v>213</v>
      </c>
      <c r="AD53" s="79" t="s">
        <v>233</v>
      </c>
      <c r="AE53" s="79" t="s">
        <v>255</v>
      </c>
      <c r="AF53" s="79" t="s">
        <v>169</v>
      </c>
      <c r="AG53" s="79" t="s">
        <v>191</v>
      </c>
      <c r="AH53" s="79" t="s">
        <v>211</v>
      </c>
      <c r="AI53" s="78" t="s">
        <v>231</v>
      </c>
      <c r="AJ53" s="82"/>
      <c r="AK53" s="56" t="b">
        <v>0</v>
      </c>
      <c r="AL53" s="1" t="str">
        <f t="shared" si="3"/>
        <v>SÖTÉT</v>
      </c>
      <c r="AM53" s="1" t="str">
        <f t="shared" si="4"/>
        <v>SÖTÉTPIROS</v>
      </c>
    </row>
    <row r="54" spans="8:39" ht="20.100000000000001" customHeight="1" x14ac:dyDescent="0.25">
      <c r="H54" s="7" t="str">
        <f t="shared" si="0"/>
        <v>J54</v>
      </c>
      <c r="I54" s="89" t="s">
        <v>34</v>
      </c>
      <c r="J54" s="91">
        <f>(Csőköz*Csőszám*Hossz)/1000000</f>
        <v>0.32</v>
      </c>
      <c r="K54" s="38" t="s">
        <v>36</v>
      </c>
      <c r="L54" s="143"/>
      <c r="M54" s="144"/>
      <c r="N54" s="145"/>
      <c r="T54" s="84"/>
      <c r="U54" s="84"/>
      <c r="V54" s="79" t="s">
        <v>168</v>
      </c>
      <c r="W54" s="79" t="s">
        <v>196</v>
      </c>
      <c r="X54" s="79" t="s">
        <v>216</v>
      </c>
      <c r="Y54" s="79" t="s">
        <v>236</v>
      </c>
      <c r="Z54" s="79" t="s">
        <v>258</v>
      </c>
      <c r="AA54" s="79" t="s">
        <v>272</v>
      </c>
      <c r="AB54" s="79" t="s">
        <v>286</v>
      </c>
      <c r="AC54" s="79" t="s">
        <v>299</v>
      </c>
      <c r="AD54" s="79" t="s">
        <v>314</v>
      </c>
      <c r="AE54" s="79" t="s">
        <v>329</v>
      </c>
      <c r="AF54" s="79" t="s">
        <v>343</v>
      </c>
      <c r="AG54" s="79" t="s">
        <v>355</v>
      </c>
      <c r="AH54" s="79" t="s">
        <v>368</v>
      </c>
      <c r="AI54" s="78" t="s">
        <v>378</v>
      </c>
      <c r="AJ54" s="82"/>
      <c r="AK54" s="56" t="b">
        <v>0</v>
      </c>
      <c r="AL54" s="1" t="str">
        <f t="shared" si="3"/>
        <v>SÖTÉT</v>
      </c>
      <c r="AM54" s="1" t="str">
        <f t="shared" si="4"/>
        <v>SÖTÉTPIROS</v>
      </c>
    </row>
    <row r="55" spans="8:39" ht="20.100000000000001" customHeight="1" thickBot="1" x14ac:dyDescent="0.3">
      <c r="H55" s="7" t="str">
        <f t="shared" si="0"/>
        <v>J55</v>
      </c>
      <c r="I55" s="92" t="s">
        <v>35</v>
      </c>
      <c r="J55" s="93">
        <f>Hossz*Szélesség/1000000</f>
        <v>0.4</v>
      </c>
      <c r="K55" s="43" t="s">
        <v>37</v>
      </c>
      <c r="L55" s="146"/>
      <c r="M55" s="147"/>
      <c r="N55" s="148"/>
      <c r="T55" s="84" t="s">
        <v>176</v>
      </c>
      <c r="U55" s="84" t="s">
        <v>174</v>
      </c>
      <c r="V55" s="79" t="s">
        <v>177</v>
      </c>
      <c r="W55" s="79" t="s">
        <v>197</v>
      </c>
      <c r="X55" s="79" t="s">
        <v>217</v>
      </c>
      <c r="Y55" s="79" t="s">
        <v>237</v>
      </c>
      <c r="Z55" s="79" t="s">
        <v>259</v>
      </c>
      <c r="AA55" s="79" t="s">
        <v>175</v>
      </c>
      <c r="AB55" s="79" t="s">
        <v>195</v>
      </c>
      <c r="AC55" s="79" t="s">
        <v>215</v>
      </c>
      <c r="AD55" s="79" t="s">
        <v>235</v>
      </c>
      <c r="AE55" s="79" t="s">
        <v>257</v>
      </c>
      <c r="AF55" s="79" t="s">
        <v>172</v>
      </c>
      <c r="AG55" s="79" t="s">
        <v>193</v>
      </c>
      <c r="AH55" s="79" t="s">
        <v>213</v>
      </c>
      <c r="AI55" s="78" t="s">
        <v>233</v>
      </c>
      <c r="AJ55" s="82"/>
      <c r="AK55" s="56" t="b">
        <v>0</v>
      </c>
      <c r="AL55" s="1" t="str">
        <f t="shared" si="3"/>
        <v>VILÁGOS</v>
      </c>
      <c r="AM55" s="1" t="str">
        <f t="shared" si="4"/>
        <v>VILÁGOSPIROS</v>
      </c>
    </row>
    <row r="56" spans="8:39" ht="20.100000000000001" customHeight="1" x14ac:dyDescent="0.25">
      <c r="T56" s="84"/>
      <c r="U56" s="84"/>
      <c r="V56" s="79" t="s">
        <v>178</v>
      </c>
      <c r="W56" s="79" t="s">
        <v>198</v>
      </c>
      <c r="X56" s="79" t="s">
        <v>218</v>
      </c>
      <c r="Y56" s="79" t="s">
        <v>238</v>
      </c>
      <c r="Z56" s="79" t="s">
        <v>260</v>
      </c>
      <c r="AA56" s="79" t="s">
        <v>171</v>
      </c>
      <c r="AB56" s="79" t="s">
        <v>287</v>
      </c>
      <c r="AC56" s="79" t="s">
        <v>300</v>
      </c>
      <c r="AD56" s="79" t="s">
        <v>315</v>
      </c>
      <c r="AE56" s="79" t="s">
        <v>330</v>
      </c>
      <c r="AF56" s="79" t="s">
        <v>344</v>
      </c>
      <c r="AG56" s="79" t="s">
        <v>356</v>
      </c>
      <c r="AH56" s="79" t="s">
        <v>369</v>
      </c>
      <c r="AI56" s="78" t="s">
        <v>379</v>
      </c>
      <c r="AJ56" s="82"/>
      <c r="AK56" s="56" t="b">
        <v>0</v>
      </c>
      <c r="AL56" s="1" t="str">
        <f t="shared" si="3"/>
        <v>VILÁGOS</v>
      </c>
      <c r="AM56" s="1" t="str">
        <f t="shared" si="4"/>
        <v>VILÁGOSPIROS</v>
      </c>
    </row>
    <row r="57" spans="8:39" ht="20.100000000000001" customHeight="1" x14ac:dyDescent="0.25">
      <c r="T57" s="84"/>
      <c r="U57" s="84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8"/>
      <c r="AJ57" s="82"/>
      <c r="AK57" s="56"/>
      <c r="AL57" s="1" t="str">
        <f t="shared" si="3"/>
        <v/>
      </c>
      <c r="AM57" s="1" t="str">
        <f t="shared" si="4"/>
        <v/>
      </c>
    </row>
    <row r="58" spans="8:39" ht="20.100000000000001" customHeight="1" x14ac:dyDescent="0.25">
      <c r="T58" s="84"/>
      <c r="U58" s="84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8"/>
      <c r="AJ58" s="82"/>
      <c r="AK58" s="56"/>
      <c r="AL58" s="1" t="str">
        <f t="shared" si="3"/>
        <v/>
      </c>
      <c r="AM58" s="1" t="str">
        <f t="shared" si="4"/>
        <v/>
      </c>
    </row>
    <row r="59" spans="8:39" ht="20.100000000000001" customHeight="1" x14ac:dyDescent="0.25">
      <c r="T59" s="84"/>
      <c r="U59" s="84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8"/>
      <c r="AJ59" s="82"/>
      <c r="AK59" s="56"/>
      <c r="AL59" s="1" t="str">
        <f t="shared" si="3"/>
        <v/>
      </c>
      <c r="AM59" s="1" t="str">
        <f t="shared" si="4"/>
        <v/>
      </c>
    </row>
    <row r="60" spans="8:39" ht="20.100000000000001" customHeight="1" x14ac:dyDescent="0.25">
      <c r="T60" s="84"/>
      <c r="U60" s="84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8"/>
      <c r="AJ60" s="82"/>
      <c r="AK60" s="56"/>
      <c r="AL60" s="1" t="str">
        <f t="shared" si="3"/>
        <v/>
      </c>
      <c r="AM60" s="1" t="str">
        <f t="shared" si="4"/>
        <v/>
      </c>
    </row>
    <row r="61" spans="8:39" ht="20.100000000000001" customHeight="1" x14ac:dyDescent="0.25">
      <c r="T61" s="84"/>
      <c r="U61" s="84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8"/>
      <c r="AJ61" s="82"/>
      <c r="AK61" s="56"/>
      <c r="AL61" s="1" t="str">
        <f t="shared" ref="AL61:AL64" si="5">IF(OR(T61&lt;&gt;"",T60&lt;&gt;""),IF(OR(MOD(ROW(AL61),4)=1,MOD(ROW(AL61),4)=2),"SÖTÉT","VILÁGOS"),"")</f>
        <v/>
      </c>
      <c r="AM61" s="1" t="str">
        <f t="shared" ref="AM61:AM64" si="6">IF(AK61&lt;&gt;"",AL61&amp;IF(AK61,"KÉK","PIROS"),"")</f>
        <v/>
      </c>
    </row>
    <row r="62" spans="8:39" ht="20.100000000000001" customHeight="1" x14ac:dyDescent="0.25">
      <c r="T62" s="84"/>
      <c r="U62" s="84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8"/>
      <c r="AJ62" s="82"/>
      <c r="AK62" s="56"/>
      <c r="AL62" s="1" t="str">
        <f t="shared" si="5"/>
        <v/>
      </c>
      <c r="AM62" s="1" t="str">
        <f t="shared" si="6"/>
        <v/>
      </c>
    </row>
    <row r="63" spans="8:39" ht="20.100000000000001" customHeight="1" x14ac:dyDescent="0.25">
      <c r="T63" s="84"/>
      <c r="U63" s="84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8"/>
      <c r="AJ63" s="82"/>
      <c r="AK63" s="56"/>
      <c r="AL63" s="1" t="str">
        <f t="shared" si="5"/>
        <v/>
      </c>
      <c r="AM63" s="1" t="str">
        <f t="shared" si="6"/>
        <v/>
      </c>
    </row>
    <row r="64" spans="8:39" ht="20.100000000000001" customHeight="1" x14ac:dyDescent="0.25">
      <c r="T64" s="84"/>
      <c r="U64" s="84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8"/>
      <c r="AJ64" s="82"/>
      <c r="AK64" s="56"/>
      <c r="AL64" s="1" t="str">
        <f t="shared" si="5"/>
        <v/>
      </c>
      <c r="AM64" s="1" t="str">
        <f t="shared" si="6"/>
        <v/>
      </c>
    </row>
    <row r="65" spans="20:37" ht="20.100000000000001" customHeight="1" x14ac:dyDescent="0.25">
      <c r="T65" s="84"/>
      <c r="U65" s="84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8"/>
      <c r="AJ65" s="82"/>
      <c r="AK65" s="56"/>
    </row>
    <row r="66" spans="20:37" ht="20.100000000000001" customHeight="1" x14ac:dyDescent="0.25">
      <c r="T66" s="84"/>
      <c r="U66" s="84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8"/>
      <c r="AJ66" s="82"/>
      <c r="AK66" s="56"/>
    </row>
    <row r="67" spans="20:37" ht="20.100000000000001" customHeight="1" x14ac:dyDescent="0.25">
      <c r="T67" s="84"/>
      <c r="U67" s="84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8"/>
      <c r="AJ67" s="82"/>
      <c r="AK67" s="56"/>
    </row>
    <row r="68" spans="20:37" ht="20.100000000000001" customHeight="1" x14ac:dyDescent="0.25">
      <c r="T68" s="84"/>
      <c r="U68" s="84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8"/>
      <c r="AJ68" s="82"/>
      <c r="AK68" s="56"/>
    </row>
    <row r="69" spans="20:37" ht="20.100000000000001" customHeight="1" x14ac:dyDescent="0.25">
      <c r="T69" s="84"/>
      <c r="U69" s="84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8"/>
      <c r="AJ69" s="82"/>
      <c r="AK69" s="56"/>
    </row>
    <row r="70" spans="20:37" ht="20.100000000000001" customHeight="1" x14ac:dyDescent="0.25">
      <c r="T70" s="84"/>
      <c r="U70" s="84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8"/>
      <c r="AJ70" s="82"/>
      <c r="AK70" s="56"/>
    </row>
    <row r="71" spans="20:37" ht="20.100000000000001" customHeight="1" x14ac:dyDescent="0.25"/>
    <row r="72" spans="20:37" ht="20.100000000000001" customHeight="1" x14ac:dyDescent="0.25"/>
    <row r="73" spans="20:37" ht="20.100000000000001" customHeight="1" x14ac:dyDescent="0.25"/>
    <row r="74" spans="20:37" ht="20.100000000000001" customHeight="1" x14ac:dyDescent="0.25"/>
  </sheetData>
  <sheetProtection selectLockedCells="1"/>
  <mergeCells count="14">
    <mergeCell ref="I44:K44"/>
    <mergeCell ref="I15:K15"/>
    <mergeCell ref="L45:N55"/>
    <mergeCell ref="L16:N26"/>
    <mergeCell ref="K29:K36"/>
    <mergeCell ref="L29:N36"/>
    <mergeCell ref="I38:K38"/>
    <mergeCell ref="I28:K28"/>
    <mergeCell ref="B17:B18"/>
    <mergeCell ref="C17:C18"/>
    <mergeCell ref="L4:N13"/>
    <mergeCell ref="F14:G22"/>
    <mergeCell ref="P3:R3"/>
    <mergeCell ref="I3:K3"/>
  </mergeCells>
  <conditionalFormatting sqref="B19:C32">
    <cfRule type="expression" dxfId="20" priority="24">
      <formula>OR(AND(ROW(B19)=$J$32,COLUMN(B19)=3),AND(ROW(B19)=$J$36,COLUMN(B19)=2))</formula>
    </cfRule>
  </conditionalFormatting>
  <conditionalFormatting sqref="Q5">
    <cfRule type="expression" dxfId="19" priority="23">
      <formula>Q5</formula>
    </cfRule>
  </conditionalFormatting>
  <conditionalFormatting sqref="Q6">
    <cfRule type="expression" dxfId="18" priority="22">
      <formula>Q6</formula>
    </cfRule>
  </conditionalFormatting>
  <conditionalFormatting sqref="Q4">
    <cfRule type="expression" dxfId="17" priority="21">
      <formula>Q4</formula>
    </cfRule>
  </conditionalFormatting>
  <conditionalFormatting sqref="T3:AJ70">
    <cfRule type="expression" dxfId="16" priority="5">
      <formula>OR(T3="Belépő",T3="Kilépő")</formula>
    </cfRule>
    <cfRule type="expression" dxfId="15" priority="6">
      <formula>NOT(ISERROR(SEARCH("közeg",S3)))</formula>
    </cfRule>
    <cfRule type="expression" dxfId="14" priority="9">
      <formula>AND($AM3="VILÁGOSPIROS",T$4&lt;&gt;"")</formula>
    </cfRule>
    <cfRule type="expression" dxfId="13" priority="10">
      <formula>AND($AM3="SÖTÉTPIROS",T$4&lt;&gt;"")</formula>
    </cfRule>
    <cfRule type="expression" dxfId="12" priority="11">
      <formula>AND($AM3="VILÁGOSKÉK",T$4&lt;&gt;"")</formula>
    </cfRule>
    <cfRule type="expression" dxfId="11" priority="12">
      <formula>AND($AM3="SÖTÉTKÉK",T$4&lt;&gt;"")</formula>
    </cfRule>
    <cfRule type="expression" dxfId="10" priority="13">
      <formula>AND(MOD(ROW(T3),2)=0,$T2&lt;&gt;"",T$4&lt;&gt;"")</formula>
    </cfRule>
    <cfRule type="expression" dxfId="9" priority="14">
      <formula>AND(MOD(ROW(T3),2)=1,$T3&lt;&gt;"",T$4&lt;&gt;"")</formula>
    </cfRule>
    <cfRule type="expression" dxfId="8" priority="20">
      <formula>NOT(ISERROR(SEARCH("közeg",T3)))</formula>
    </cfRule>
  </conditionalFormatting>
  <conditionalFormatting sqref="U2">
    <cfRule type="expression" dxfId="7" priority="19">
      <formula>U4&lt;&gt;""</formula>
    </cfRule>
  </conditionalFormatting>
  <conditionalFormatting sqref="V3">
    <cfRule type="expression" dxfId="6" priority="17">
      <formula>V3&lt;&gt;""</formula>
    </cfRule>
  </conditionalFormatting>
  <conditionalFormatting sqref="V4:AI4">
    <cfRule type="expression" dxfId="5" priority="16">
      <formula>V4&lt;&gt;""</formula>
    </cfRule>
  </conditionalFormatting>
  <conditionalFormatting sqref="V2:AI2">
    <cfRule type="expression" dxfId="4" priority="15">
      <formula>V4&lt;&gt;""</formula>
    </cfRule>
  </conditionalFormatting>
  <conditionalFormatting sqref="V3:AJ70">
    <cfRule type="expression" dxfId="3" priority="3">
      <formula>AND(OR(ROW(V3)=4,ROW(V3)=$R$12+1),V3&lt;&gt;"")</formula>
    </cfRule>
    <cfRule type="expression" dxfId="2" priority="4">
      <formula>AND(OR(ROW(V3)=3,ROW(V3)=$R$12),V4&lt;&gt;"")</formula>
    </cfRule>
  </conditionalFormatting>
  <conditionalFormatting sqref="F14:G22">
    <cfRule type="expression" dxfId="1" priority="2">
      <formula>F14&lt;&gt;""</formula>
    </cfRule>
  </conditionalFormatting>
  <conditionalFormatting sqref="T3:AJ60">
    <cfRule type="expression" dxfId="0" priority="1">
      <formula>AND($T$3&lt;&gt;"",OR(AND(ROW(T3)=3,COLUMN(T3)=$R$13),AND(ROW(T3)=$R$12,COLUMN(T3)=$R$13)))</formula>
    </cfRule>
  </conditionalFormatting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Csomagoló felületobjektum" shapeId="1030" r:id="rId4">
          <objectPr defaultSize="0" autoPict="0" r:id="rId5">
            <anchor moveWithCells="1">
              <from>
                <xdr:col>5</xdr:col>
                <xdr:colOff>114300</xdr:colOff>
                <xdr:row>2</xdr:row>
                <xdr:rowOff>171450</xdr:rowOff>
              </from>
              <to>
                <xdr:col>5</xdr:col>
                <xdr:colOff>152400</xdr:colOff>
                <xdr:row>2</xdr:row>
                <xdr:rowOff>209550</xdr:rowOff>
              </to>
            </anchor>
          </objectPr>
        </oleObject>
      </mc:Choice>
      <mc:Fallback>
        <oleObject progId="Csomagoló felületobjektum" shapeId="1030" r:id="rId4"/>
      </mc:Fallback>
    </mc:AlternateContent>
    <mc:AlternateContent xmlns:mc="http://schemas.openxmlformats.org/markup-compatibility/2006">
      <mc:Choice Requires="x14">
        <oleObject progId="Csomagoló felületobjektum" shapeId="1031" r:id="rId6">
          <objectPr defaultSize="0" autoPict="0" r:id="rId7">
            <anchor moveWithCells="1">
              <from>
                <xdr:col>5</xdr:col>
                <xdr:colOff>285750</xdr:colOff>
                <xdr:row>1</xdr:row>
                <xdr:rowOff>228600</xdr:rowOff>
              </from>
              <to>
                <xdr:col>5</xdr:col>
                <xdr:colOff>657225</xdr:colOff>
                <xdr:row>2</xdr:row>
                <xdr:rowOff>133350</xdr:rowOff>
              </to>
            </anchor>
          </objectPr>
        </oleObject>
      </mc:Choice>
      <mc:Fallback>
        <oleObject progId="Csomagoló felületobjektum" shapeId="1031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alc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reset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Button 4">
              <controlPr defaultSize="0" print="0" autoFill="0" autoPict="0" macro="[0]!HideShowCalc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calcm2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2</vt:i4>
      </vt:variant>
      <vt:variant>
        <vt:lpstr>Névvel ellátott tartományok</vt:lpstr>
      </vt:variant>
      <vt:variant>
        <vt:i4>18</vt:i4>
      </vt:variant>
    </vt:vector>
  </HeadingPairs>
  <TitlesOfParts>
    <vt:vector size="20" baseType="lpstr">
      <vt:lpstr>Munka2</vt:lpstr>
      <vt:lpstr>Munka1</vt:lpstr>
      <vt:lpstr>alfa_belső</vt:lpstr>
      <vt:lpstr>alfa_külső</vt:lpstr>
      <vt:lpstr>Csőköz</vt:lpstr>
      <vt:lpstr>Csőszám</vt:lpstr>
      <vt:lpstr>D_cső_belső</vt:lpstr>
      <vt:lpstr>D_cső_külső</vt:lpstr>
      <vt:lpstr>delta_T</vt:lpstr>
      <vt:lpstr>GK_vast</vt:lpstr>
      <vt:lpstr>Hossz</vt:lpstr>
      <vt:lpstr>lambda_acél</vt:lpstr>
      <vt:lpstr>lambda_GK</vt:lpstr>
      <vt:lpstr>lambda_PE</vt:lpstr>
      <vt:lpstr>Lemezvastagság</vt:lpstr>
      <vt:lpstr>Levegő_hőmérséklet</vt:lpstr>
      <vt:lpstr>Szélesség</vt:lpstr>
      <vt:lpstr>Víz_átlagos_hőmérséklet</vt:lpstr>
      <vt:lpstr>Víz_bemenő_hőmérséklet</vt:lpstr>
      <vt:lpstr>Víz_kimenő_hőmérséklet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hármas</dc:creator>
  <cp:lastModifiedBy>Szalai István</cp:lastModifiedBy>
  <dcterms:created xsi:type="dcterms:W3CDTF">2021-06-09T08:40:49Z</dcterms:created>
  <dcterms:modified xsi:type="dcterms:W3CDTF">2025-06-13T20:36:32Z</dcterms:modified>
</cp:coreProperties>
</file>