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zala\OneDrive\Asztali gép\"/>
    </mc:Choice>
  </mc:AlternateContent>
  <bookViews>
    <workbookView xWindow="0" yWindow="0" windowWidth="20490" windowHeight="7650"/>
  </bookViews>
  <sheets>
    <sheet name="Munka1" sheetId="1" r:id="rId1"/>
  </sheets>
  <definedNames>
    <definedName name="alfa_belső">Munka1!$C$5</definedName>
    <definedName name="alfa_külső">Munka1!$C$6</definedName>
    <definedName name="Csőköz">Munka1!$C$9</definedName>
    <definedName name="Csőszám">Munka1!$C$10</definedName>
    <definedName name="D_cső_belső">Munka1!$C$7</definedName>
    <definedName name="D_cső_külső">Munka1!$C$8</definedName>
    <definedName name="delta_T">Munka1!$C$15</definedName>
    <definedName name="GK_vast">Munka1!$C$14</definedName>
    <definedName name="Hossz">Munka1!$C$11</definedName>
    <definedName name="Hűtés">Munka1!$Q$4</definedName>
    <definedName name="lambda_acél">Munka1!$C$3</definedName>
    <definedName name="lambda_GK">Munka1!$C$4</definedName>
    <definedName name="lambda_PE">Munka1!$C$2</definedName>
    <definedName name="Lemezvastagság">Munka1!$C$13</definedName>
    <definedName name="Levegő_hőmérséklet">Munka1!$J$39</definedName>
    <definedName name="Szélesség">Munka1!$C$12</definedName>
    <definedName name="Víz_átlagos_hőmérséklet">Munka1!$J$42</definedName>
    <definedName name="Víz_bemenő_hőmérséklet">Munka1!$J$40</definedName>
    <definedName name="Víz_kimenő_hőmérséklet">Munka1!$J$41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8" i="1" l="1"/>
  <c r="J16" i="1"/>
  <c r="J21" i="1"/>
  <c r="J22" i="1"/>
  <c r="J23" i="1"/>
  <c r="AL64" i="1"/>
  <c r="AM64" i="1" s="1"/>
  <c r="AL63" i="1"/>
  <c r="AM63" i="1" s="1"/>
  <c r="AL62" i="1"/>
  <c r="AM62" i="1" s="1"/>
  <c r="AL61" i="1"/>
  <c r="AM61" i="1" s="1"/>
  <c r="AL60" i="1"/>
  <c r="AM60" i="1" s="1"/>
  <c r="AL59" i="1"/>
  <c r="AM59" i="1" s="1"/>
  <c r="AL58" i="1"/>
  <c r="AM58" i="1" s="1"/>
  <c r="AL57" i="1"/>
  <c r="AM57" i="1" s="1"/>
  <c r="AL56" i="1"/>
  <c r="AM56" i="1" s="1"/>
  <c r="AL55" i="1"/>
  <c r="AM55" i="1" s="1"/>
  <c r="AL54" i="1"/>
  <c r="AM54" i="1" s="1"/>
  <c r="AL53" i="1"/>
  <c r="AM53" i="1" s="1"/>
  <c r="AL52" i="1"/>
  <c r="AM52" i="1" s="1"/>
  <c r="AL51" i="1"/>
  <c r="AM51" i="1" s="1"/>
  <c r="AL50" i="1"/>
  <c r="AM50" i="1" s="1"/>
  <c r="AL49" i="1"/>
  <c r="AM49" i="1" s="1"/>
  <c r="AL48" i="1"/>
  <c r="AM48" i="1" s="1"/>
  <c r="AL47" i="1"/>
  <c r="AM47" i="1" s="1"/>
  <c r="AL46" i="1"/>
  <c r="AM46" i="1" s="1"/>
  <c r="AL45" i="1"/>
  <c r="AM45" i="1" s="1"/>
  <c r="AL44" i="1"/>
  <c r="AM44" i="1" s="1"/>
  <c r="AL43" i="1"/>
  <c r="AM43" i="1" s="1"/>
  <c r="AL42" i="1"/>
  <c r="AM42" i="1" s="1"/>
  <c r="AL41" i="1"/>
  <c r="AM41" i="1" s="1"/>
  <c r="AL40" i="1"/>
  <c r="AM40" i="1" s="1"/>
  <c r="AL39" i="1"/>
  <c r="AM39" i="1" s="1"/>
  <c r="AL38" i="1"/>
  <c r="AM38" i="1" s="1"/>
  <c r="AL37" i="1"/>
  <c r="AM37" i="1" s="1"/>
  <c r="AL36" i="1"/>
  <c r="AM36" i="1" s="1"/>
  <c r="AL35" i="1"/>
  <c r="AM35" i="1" s="1"/>
  <c r="AL34" i="1"/>
  <c r="AM34" i="1" s="1"/>
  <c r="AL33" i="1"/>
  <c r="AM33" i="1" s="1"/>
  <c r="Q12" i="1"/>
  <c r="Q13" i="1" s="1"/>
  <c r="J50" i="1"/>
  <c r="J24" i="1" l="1"/>
  <c r="J55" i="1"/>
  <c r="J9" i="1"/>
  <c r="J54" i="1"/>
  <c r="J35" i="1"/>
  <c r="J31" i="1"/>
  <c r="J46" i="1" l="1"/>
  <c r="J45" i="1"/>
  <c r="J51" i="1" s="1"/>
  <c r="J48" i="1" l="1"/>
  <c r="J47" i="1"/>
  <c r="J52" i="1"/>
  <c r="AL6" i="1"/>
  <c r="AM6" i="1" s="1"/>
  <c r="AL7" i="1"/>
  <c r="AM7" i="1" s="1"/>
  <c r="AL8" i="1"/>
  <c r="AM8" i="1" s="1"/>
  <c r="AL9" i="1"/>
  <c r="AM9" i="1" s="1"/>
  <c r="AL10" i="1"/>
  <c r="AM10" i="1" s="1"/>
  <c r="AL11" i="1"/>
  <c r="AM11" i="1" s="1"/>
  <c r="AL12" i="1"/>
  <c r="AM12" i="1" s="1"/>
  <c r="AL13" i="1"/>
  <c r="AM13" i="1" s="1"/>
  <c r="AL14" i="1"/>
  <c r="AM14" i="1" s="1"/>
  <c r="AL15" i="1"/>
  <c r="AM15" i="1" s="1"/>
  <c r="AL16" i="1"/>
  <c r="AM16" i="1" s="1"/>
  <c r="AL17" i="1"/>
  <c r="AM17" i="1" s="1"/>
  <c r="AL18" i="1"/>
  <c r="AM18" i="1" s="1"/>
  <c r="AL19" i="1"/>
  <c r="AM19" i="1" s="1"/>
  <c r="AL20" i="1"/>
  <c r="AM20" i="1" s="1"/>
  <c r="AL21" i="1"/>
  <c r="AM21" i="1" s="1"/>
  <c r="AL22" i="1"/>
  <c r="AM22" i="1" s="1"/>
  <c r="AL23" i="1"/>
  <c r="AM23" i="1" s="1"/>
  <c r="AL24" i="1"/>
  <c r="AM24" i="1" s="1"/>
  <c r="AL25" i="1"/>
  <c r="AM25" i="1" s="1"/>
  <c r="AL26" i="1"/>
  <c r="AM26" i="1" s="1"/>
  <c r="AL27" i="1"/>
  <c r="AM27" i="1" s="1"/>
  <c r="AL28" i="1"/>
  <c r="AM28" i="1" s="1"/>
  <c r="AL29" i="1"/>
  <c r="AM29" i="1" s="1"/>
  <c r="AL30" i="1"/>
  <c r="AM30" i="1" s="1"/>
  <c r="AL31" i="1"/>
  <c r="AM31" i="1" s="1"/>
  <c r="AL32" i="1"/>
  <c r="AM32" i="1" s="1"/>
  <c r="AL5" i="1"/>
  <c r="AM5" i="1" s="1"/>
  <c r="Q11" i="1"/>
  <c r="J49" i="1" l="1"/>
  <c r="J53" i="1"/>
  <c r="Q8" i="1"/>
  <c r="J40" i="1" l="1"/>
  <c r="J17" i="1" s="1"/>
  <c r="J39" i="1"/>
  <c r="R13" i="1"/>
  <c r="J19" i="1" l="1"/>
  <c r="J25" i="1" s="1"/>
  <c r="J20" i="1"/>
  <c r="J26" i="1" s="1"/>
  <c r="J7" i="1"/>
  <c r="Q4" i="1"/>
  <c r="J41" i="1"/>
  <c r="J10" i="1" s="1"/>
  <c r="J13" i="1" l="1"/>
  <c r="J12" i="1" s="1"/>
  <c r="J8" i="1"/>
  <c r="Q5" i="1"/>
  <c r="J42" i="1"/>
  <c r="J4" i="1" s="1"/>
  <c r="Q7" i="1" l="1"/>
  <c r="Q9" i="1" s="1"/>
  <c r="J5" i="1"/>
  <c r="J6" i="1" l="1"/>
  <c r="J11" i="1"/>
  <c r="Q10" i="1" l="1"/>
</calcChain>
</file>

<file path=xl/comments1.xml><?xml version="1.0" encoding="utf-8"?>
<comments xmlns="http://schemas.openxmlformats.org/spreadsheetml/2006/main">
  <authors>
    <author>Szalai István</author>
  </authors>
  <commentList>
    <comment ref="C6" authorId="0" shapeId="0">
      <text>
        <r>
          <rPr>
            <b/>
            <sz val="9"/>
            <color indexed="81"/>
            <rFont val="Tahoma"/>
            <family val="2"/>
            <charset val="238"/>
          </rPr>
          <t>Szalai István:</t>
        </r>
        <r>
          <rPr>
            <sz val="9"/>
            <color indexed="81"/>
            <rFont val="Tahoma"/>
            <family val="2"/>
            <charset val="238"/>
          </rPr>
          <t xml:space="preserve">
Cella üresen hagyása esetén DIN EN 1264-5 szabvány ajánlásának megfelelő értékekkel számolunk. Fűtés esetén 6,5, hűtés esetén 10,8</t>
        </r>
      </text>
    </comment>
  </commentList>
</comments>
</file>

<file path=xl/sharedStrings.xml><?xml version="1.0" encoding="utf-8"?>
<sst xmlns="http://schemas.openxmlformats.org/spreadsheetml/2006/main" count="375" uniqueCount="276">
  <si>
    <t>[W/m K]</t>
  </si>
  <si>
    <t>[mm]</t>
  </si>
  <si>
    <t>Csőköz:</t>
  </si>
  <si>
    <t>Csőszám:</t>
  </si>
  <si>
    <t>[db]</t>
  </si>
  <si>
    <t>Hossz:</t>
  </si>
  <si>
    <t>Lemezvast.:</t>
  </si>
  <si>
    <t>[°C]</t>
  </si>
  <si>
    <r>
      <t>α</t>
    </r>
    <r>
      <rPr>
        <vertAlign val="subscript"/>
        <sz val="11"/>
        <color theme="1"/>
        <rFont val="Calibri"/>
        <family val="2"/>
        <charset val="238"/>
        <scheme val="minor"/>
      </rPr>
      <t>belső</t>
    </r>
    <r>
      <rPr>
        <sz val="11"/>
        <color theme="1"/>
        <rFont val="Calibri"/>
        <family val="2"/>
        <charset val="238"/>
        <scheme val="minor"/>
      </rPr>
      <t>=</t>
    </r>
  </si>
  <si>
    <r>
      <t>α</t>
    </r>
    <r>
      <rPr>
        <vertAlign val="subscript"/>
        <sz val="11"/>
        <color theme="1"/>
        <rFont val="Calibri"/>
        <family val="2"/>
        <charset val="238"/>
        <scheme val="minor"/>
      </rPr>
      <t>külső</t>
    </r>
    <r>
      <rPr>
        <sz val="11"/>
        <color theme="1"/>
        <rFont val="Calibri"/>
        <family val="2"/>
        <charset val="238"/>
        <scheme val="minor"/>
      </rPr>
      <t>=</t>
    </r>
  </si>
  <si>
    <r>
      <t xml:space="preserve">D </t>
    </r>
    <r>
      <rPr>
        <vertAlign val="subscript"/>
        <sz val="11"/>
        <color theme="1"/>
        <rFont val="Calibri"/>
        <family val="2"/>
        <charset val="238"/>
        <scheme val="minor"/>
      </rPr>
      <t>cső belső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</si>
  <si>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 xml:space="preserve">D </t>
    </r>
    <r>
      <rPr>
        <vertAlign val="subscript"/>
        <sz val="11"/>
        <color theme="1"/>
        <rFont val="Calibri"/>
        <family val="2"/>
        <charset val="238"/>
        <scheme val="minor"/>
      </rPr>
      <t>cső külső</t>
    </r>
    <r>
      <rPr>
        <sz val="11"/>
        <color theme="1"/>
        <rFont val="Calibri"/>
        <family val="2"/>
        <charset val="238"/>
        <scheme val="minor"/>
      </rPr>
      <t xml:space="preserve"> =</t>
    </r>
  </si>
  <si>
    <t>Belépő víz hőm. [°C]</t>
  </si>
  <si>
    <t>Levegő hőm. [°C]</t>
  </si>
  <si>
    <t>[W/m² K]</t>
  </si>
  <si>
    <r>
      <t>λ</t>
    </r>
    <r>
      <rPr>
        <vertAlign val="subscript"/>
        <sz val="11"/>
        <color theme="1"/>
        <rFont val="Calibri"/>
        <family val="2"/>
        <charset val="238"/>
        <scheme val="minor"/>
      </rPr>
      <t>PE</t>
    </r>
    <r>
      <rPr>
        <sz val="11"/>
        <color theme="1"/>
        <rFont val="Calibri"/>
        <family val="2"/>
        <charset val="238"/>
        <scheme val="minor"/>
      </rPr>
      <t>=</t>
    </r>
  </si>
  <si>
    <r>
      <t>λ</t>
    </r>
    <r>
      <rPr>
        <vertAlign val="subscript"/>
        <sz val="11"/>
        <color theme="1"/>
        <rFont val="Calibri"/>
        <family val="2"/>
        <charset val="238"/>
        <scheme val="minor"/>
      </rPr>
      <t>acél</t>
    </r>
    <r>
      <rPr>
        <sz val="11"/>
        <color theme="1"/>
        <rFont val="Calibri"/>
        <family val="2"/>
        <charset val="238"/>
        <scheme val="minor"/>
      </rPr>
      <t>=</t>
    </r>
  </si>
  <si>
    <r>
      <t>λ</t>
    </r>
    <r>
      <rPr>
        <vertAlign val="subscript"/>
        <sz val="11"/>
        <color theme="1"/>
        <rFont val="Calibri"/>
        <family val="2"/>
        <charset val="238"/>
        <scheme val="minor"/>
      </rPr>
      <t>gipszkarton</t>
    </r>
    <r>
      <rPr>
        <sz val="11"/>
        <color theme="1"/>
        <rFont val="Calibri"/>
        <family val="2"/>
        <charset val="238"/>
        <scheme val="minor"/>
      </rPr>
      <t>=</t>
    </r>
  </si>
  <si>
    <r>
      <t>D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>=</t>
    </r>
  </si>
  <si>
    <r>
      <t>D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=</t>
    </r>
  </si>
  <si>
    <r>
      <t>D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>=</t>
    </r>
  </si>
  <si>
    <t>Gipszk. vast.:</t>
  </si>
  <si>
    <t>Cső belső átmérő</t>
  </si>
  <si>
    <t>Cső külső átmérő</t>
  </si>
  <si>
    <t>Lemez ív külső átmérő</t>
  </si>
  <si>
    <r>
      <t>S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>=</t>
    </r>
  </si>
  <si>
    <r>
      <t>S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=</t>
    </r>
  </si>
  <si>
    <t>Cső falvastagság</t>
  </si>
  <si>
    <t>Lemez falvastagság</t>
  </si>
  <si>
    <r>
      <t>S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>=</t>
    </r>
  </si>
  <si>
    <t>Gipszkarton falvasagság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</si>
  <si>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</si>
  <si>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</si>
  <si>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</si>
  <si>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>=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</si>
  <si>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5</t>
    </r>
    <r>
      <rPr>
        <sz val="11"/>
        <color theme="1"/>
        <rFont val="Calibri"/>
        <family val="2"/>
        <charset val="238"/>
        <scheme val="minor"/>
      </rPr>
      <t>=</t>
    </r>
  </si>
  <si>
    <t>Lemez összes sík fűtőfelülete</t>
  </si>
  <si>
    <t>Befoglaló téglalap felülete</t>
  </si>
  <si>
    <t>2. Hőtani ellenállások</t>
  </si>
  <si>
    <r>
      <t>α</t>
    </r>
    <r>
      <rPr>
        <vertAlign val="subscript"/>
        <sz val="11"/>
        <color theme="1"/>
        <rFont val="Calibri"/>
        <family val="2"/>
        <charset val="238"/>
      </rPr>
      <t>b</t>
    </r>
    <r>
      <rPr>
        <sz val="11"/>
        <color theme="1"/>
        <rFont val="Calibri"/>
        <family val="2"/>
        <charset val="238"/>
      </rPr>
      <t>=</t>
    </r>
  </si>
  <si>
    <r>
      <t>α</t>
    </r>
    <r>
      <rPr>
        <vertAlign val="subscript"/>
        <sz val="11"/>
        <color theme="1"/>
        <rFont val="Calibri"/>
        <family val="2"/>
        <charset val="238"/>
      </rPr>
      <t>k</t>
    </r>
    <r>
      <rPr>
        <sz val="11"/>
        <color theme="1"/>
        <rFont val="Calibri"/>
        <family val="2"/>
        <charset val="238"/>
      </rPr>
      <t>=</t>
    </r>
  </si>
  <si>
    <t>Folyadék és csőfal közti hőátbocsátás</t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</si>
  <si>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b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</si>
  <si>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k</t>
    </r>
    <r>
      <rPr>
        <sz val="11"/>
        <color theme="1"/>
        <rFont val="Calibri"/>
        <family val="2"/>
        <charset val="238"/>
        <scheme val="minor"/>
      </rPr>
      <t>=</t>
    </r>
  </si>
  <si>
    <t>Folyadék és csőfal közti fázishatár ellenállás</t>
  </si>
  <si>
    <t>Lemez ív külső felület és levegő közötti fázishatár ellenállás</t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</si>
  <si>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</si>
  <si>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=</t>
    </r>
  </si>
  <si>
    <t>Csőfalban való hővezetés ellenállása</t>
  </si>
  <si>
    <t>Lemezfalban való hővezetés ellenállása</t>
  </si>
  <si>
    <t xml:space="preserve">Megjegyzések a geometriai viszonyokhoz: 
 • A fűtőpanel felülete a hosszúság, csőszám és csőköz segítségével kerül kiszámításra, figyelembe véve, hogy a termék több kisebb blokkból, résekkel is készülhet. 
 • A befoglaló téglalap felülete egyben a termék által elfoglalt hely, gipszkarton hőleadó keresztmetszete, és a kiszámított teljesítmény ezzel az értékkel osztva lesz fajlagosítva. </t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</si>
  <si>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k</t>
    </r>
    <r>
      <rPr>
        <sz val="11"/>
        <color theme="1"/>
        <rFont val="Calibri"/>
        <family val="2"/>
        <charset val="238"/>
        <scheme val="minor"/>
      </rPr>
      <t>'=</t>
    </r>
  </si>
  <si>
    <t>Gipszkarton felület és levegő közötti fázishatár ellenállás</t>
  </si>
  <si>
    <t>Gipszkarton felület és levegő közti hőátbocsátás</t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</si>
  <si>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</si>
  <si>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b-f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</si>
  <si>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b-k</t>
    </r>
    <r>
      <rPr>
        <sz val="11"/>
        <color theme="1"/>
        <rFont val="Calibri"/>
        <family val="2"/>
        <charset val="238"/>
        <scheme val="minor"/>
      </rPr>
      <t>=</t>
    </r>
  </si>
  <si>
    <r>
      <t>R</t>
    </r>
    <r>
      <rPr>
        <vertAlign val="subscript"/>
        <sz val="11"/>
        <color theme="1"/>
        <rFont val="Calibri"/>
        <family val="2"/>
        <charset val="238"/>
        <scheme val="minor"/>
      </rPr>
      <t>b-k'</t>
    </r>
    <r>
      <rPr>
        <sz val="11"/>
        <color theme="1"/>
        <rFont val="Calibri"/>
        <family val="2"/>
        <charset val="238"/>
        <scheme val="minor"/>
      </rPr>
      <t>=</t>
    </r>
  </si>
  <si>
    <t>Hőellenállások soros összege folyadéktól lemezív külső felületig</t>
  </si>
  <si>
    <t>Hőellenállások soros összege folyadéktól lemezív külső felületével érintkező levegőig</t>
  </si>
  <si>
    <t>Megjegyzések a hőellenállások kiszámításához: 
 • Minden kiszámított ellenállás a rendszer "ismétlődő egységére" vonatkozik, tehát egy csőjárat, és mindkét oldalon 
[csőköz]/2 szélességű síklemez</t>
  </si>
  <si>
    <t>Min</t>
  </si>
  <si>
    <t>Max</t>
  </si>
  <si>
    <t>Levegő sor</t>
  </si>
  <si>
    <t>Víz sor</t>
  </si>
  <si>
    <t>index</t>
  </si>
  <si>
    <t>4. Hőmérséklet jellemzők</t>
  </si>
  <si>
    <t>3. Hőmérsékletadat iterátor</t>
  </si>
  <si>
    <r>
      <t>T</t>
    </r>
    <r>
      <rPr>
        <vertAlign val="subscript"/>
        <sz val="11"/>
        <color theme="1"/>
        <rFont val="Calibri"/>
        <family val="2"/>
        <charset val="238"/>
        <scheme val="minor"/>
      </rPr>
      <t>L</t>
    </r>
    <r>
      <rPr>
        <sz val="11"/>
        <color theme="1"/>
        <rFont val="Calibri"/>
        <family val="2"/>
        <charset val="238"/>
        <scheme val="minor"/>
      </rPr>
      <t>=</t>
    </r>
  </si>
  <si>
    <r>
      <t>T</t>
    </r>
    <r>
      <rPr>
        <vertAlign val="subscript"/>
        <sz val="11"/>
        <color theme="1"/>
        <rFont val="Calibri"/>
        <family val="2"/>
        <charset val="238"/>
        <scheme val="minor"/>
      </rPr>
      <t>v, be</t>
    </r>
    <r>
      <rPr>
        <sz val="11"/>
        <color theme="1"/>
        <rFont val="Calibri"/>
        <family val="2"/>
        <charset val="238"/>
        <scheme val="minor"/>
      </rPr>
      <t>=</t>
    </r>
  </si>
  <si>
    <r>
      <t>T</t>
    </r>
    <r>
      <rPr>
        <vertAlign val="subscript"/>
        <sz val="11"/>
        <color theme="1"/>
        <rFont val="Calibri"/>
        <family val="2"/>
        <charset val="238"/>
        <scheme val="minor"/>
      </rPr>
      <t>v, ki</t>
    </r>
    <r>
      <rPr>
        <sz val="11"/>
        <color theme="1"/>
        <rFont val="Calibri"/>
        <family val="2"/>
        <charset val="238"/>
        <scheme val="minor"/>
      </rPr>
      <t>=</t>
    </r>
  </si>
  <si>
    <r>
      <t>T</t>
    </r>
    <r>
      <rPr>
        <vertAlign val="subscript"/>
        <sz val="11"/>
        <color theme="1"/>
        <rFont val="Calibri"/>
        <family val="2"/>
        <charset val="238"/>
        <scheme val="minor"/>
      </rPr>
      <t>v, átl</t>
    </r>
    <r>
      <rPr>
        <sz val="11"/>
        <color theme="1"/>
        <rFont val="Calibri"/>
        <family val="2"/>
        <charset val="238"/>
        <scheme val="minor"/>
      </rPr>
      <t>=</t>
    </r>
  </si>
  <si>
    <t>Helyiség levegő hőmérséklete</t>
  </si>
  <si>
    <t>Bemenő folyadék hőmérséklete</t>
  </si>
  <si>
    <t>Kimenő folyadék hőmérséklete</t>
  </si>
  <si>
    <t>Folyadék átlaghőmérséklete</t>
  </si>
  <si>
    <t>Q=</t>
  </si>
  <si>
    <t>Hőáram, "egymágában álló", 1 db, fémréteggel borított műanyag hengerhéj esetén</t>
  </si>
  <si>
    <t>Hőmérséklet a csőív külső acélfelületén</t>
  </si>
  <si>
    <t>Bordatő hőmérséklete</t>
  </si>
  <si>
    <t>Levegő hőmérséklet</t>
  </si>
  <si>
    <t>m=</t>
  </si>
  <si>
    <t>H=</t>
  </si>
  <si>
    <t>Borda magassága</t>
  </si>
  <si>
    <r>
      <t xml:space="preserve">t </t>
    </r>
    <r>
      <rPr>
        <vertAlign val="subscript"/>
        <sz val="11"/>
        <color theme="1"/>
        <rFont val="Calibri"/>
        <family val="2"/>
        <charset val="238"/>
        <scheme val="minor"/>
      </rPr>
      <t>f</t>
    </r>
    <r>
      <rPr>
        <sz val="11"/>
        <color theme="1"/>
        <rFont val="Calibri"/>
        <family val="2"/>
        <charset val="238"/>
        <scheme val="minor"/>
      </rPr>
      <t>=</t>
    </r>
  </si>
  <si>
    <r>
      <t xml:space="preserve">t </t>
    </r>
    <r>
      <rPr>
        <vertAlign val="subscript"/>
        <sz val="11"/>
        <color theme="1"/>
        <rFont val="Calibri"/>
        <family val="2"/>
        <charset val="238"/>
        <scheme val="minor"/>
      </rPr>
      <t>0</t>
    </r>
    <r>
      <rPr>
        <sz val="11"/>
        <color theme="1"/>
        <rFont val="Calibri"/>
        <family val="2"/>
        <charset val="238"/>
        <scheme val="minor"/>
      </rPr>
      <t>=</t>
    </r>
  </si>
  <si>
    <r>
      <t xml:space="preserve">t </t>
    </r>
    <r>
      <rPr>
        <vertAlign val="subscript"/>
        <sz val="11"/>
        <color theme="1"/>
        <rFont val="Calibri"/>
        <family val="2"/>
        <charset val="238"/>
        <scheme val="minor"/>
      </rPr>
      <t>L</t>
    </r>
    <r>
      <rPr>
        <sz val="11"/>
        <color theme="1"/>
        <rFont val="Calibri"/>
        <family val="2"/>
        <charset val="238"/>
        <scheme val="minor"/>
      </rPr>
      <t>=</t>
    </r>
  </si>
  <si>
    <r>
      <t xml:space="preserve">T </t>
    </r>
    <r>
      <rPr>
        <vertAlign val="subscript"/>
        <sz val="11"/>
        <color theme="1"/>
        <rFont val="Calibri"/>
        <family val="2"/>
        <charset val="238"/>
        <scheme val="minor"/>
      </rPr>
      <t>f</t>
    </r>
    <r>
      <rPr>
        <sz val="11"/>
        <color theme="1"/>
        <rFont val="Calibri"/>
        <family val="2"/>
        <charset val="238"/>
        <scheme val="minor"/>
      </rPr>
      <t>=</t>
    </r>
  </si>
  <si>
    <t>Lemez hőleadó felület hőmérsékletének felületen vett átlaga</t>
  </si>
  <si>
    <t>q=</t>
  </si>
  <si>
    <t>Q'=</t>
  </si>
  <si>
    <t xml:space="preserve">A számolást segítő blokk, az "index" sorokban látható értékek a számításhoz pillanatnyilag felhasznált hőmérséklet pár helyére mutatnak. </t>
  </si>
  <si>
    <t>A rendszer leadott hőárama</t>
  </si>
  <si>
    <t>Leadott hőáram felületegységre fajlagosítva</t>
  </si>
  <si>
    <t>Érvényes pár:</t>
  </si>
  <si>
    <t>Fajlagos:</t>
  </si>
  <si>
    <t>1. Hőáram számítás</t>
  </si>
  <si>
    <t>5. Geometriai viszonyok</t>
  </si>
  <si>
    <t>Telj.számérték:</t>
  </si>
  <si>
    <t>Mért.egys.:</t>
  </si>
  <si>
    <t>Telj.érték:</t>
  </si>
  <si>
    <t>Hőm.érték:</t>
  </si>
  <si>
    <t>Oszlop:</t>
  </si>
  <si>
    <t>Sor1:</t>
  </si>
  <si>
    <t>Sor2:</t>
  </si>
  <si>
    <t>Hűtés:</t>
  </si>
  <si>
    <t>Táblázat építéshez segédtábla</t>
  </si>
  <si>
    <t>Egy cső belső felülete</t>
  </si>
  <si>
    <t>Egy cső külső felülete</t>
  </si>
  <si>
    <t>Lemez 1 db ív külső felület</t>
  </si>
  <si>
    <t>Gipszkarton falban való hőáramlás ellenállása</t>
  </si>
  <si>
    <r>
      <t xml:space="preserve">ΔT </t>
    </r>
    <r>
      <rPr>
        <vertAlign val="subscript"/>
        <sz val="11"/>
        <color theme="1"/>
        <rFont val="Calibri"/>
        <family val="2"/>
        <charset val="238"/>
        <scheme val="minor"/>
      </rPr>
      <t>víz hűtés</t>
    </r>
    <r>
      <rPr>
        <sz val="11"/>
        <color theme="1"/>
        <rFont val="Calibri"/>
        <family val="2"/>
        <charset val="238"/>
        <scheme val="minor"/>
      </rPr>
      <t xml:space="preserve"> = </t>
    </r>
  </si>
  <si>
    <r>
      <t xml:space="preserve">ΔT </t>
    </r>
    <r>
      <rPr>
        <vertAlign val="subscript"/>
        <sz val="11"/>
        <color theme="1"/>
        <rFont val="Calibri"/>
        <family val="2"/>
        <charset val="238"/>
        <scheme val="minor"/>
      </rPr>
      <t>víz fűtés</t>
    </r>
    <r>
      <rPr>
        <sz val="11"/>
        <color theme="1"/>
        <rFont val="Calibri"/>
        <family val="2"/>
        <charset val="238"/>
        <scheme val="minor"/>
      </rPr>
      <t xml:space="preserve">= </t>
    </r>
  </si>
  <si>
    <t>Tengelytáv:</t>
  </si>
  <si>
    <t>Bordaparaméter</t>
  </si>
  <si>
    <t>Hőellenállások soros összege folyadéktól gipszk. külső felületével érintkező levegőig</t>
  </si>
  <si>
    <t/>
  </si>
  <si>
    <t>Helyiség levegő hőmérséklet</t>
  </si>
  <si>
    <t>Hűtő-fűtő közeg hőmérs.</t>
  </si>
  <si>
    <t>Belépő</t>
  </si>
  <si>
    <t>Kilépő</t>
  </si>
  <si>
    <t>15 °C</t>
  </si>
  <si>
    <t>12 °C</t>
  </si>
  <si>
    <t>14 °C</t>
  </si>
  <si>
    <t>13,2 °C</t>
  </si>
  <si>
    <t>16 °C</t>
  </si>
  <si>
    <t>18 °C</t>
  </si>
  <si>
    <t>20 °C</t>
  </si>
  <si>
    <t>22 °C</t>
  </si>
  <si>
    <t>30 °C</t>
  </si>
  <si>
    <t>25 °C</t>
  </si>
  <si>
    <t>26,4 °C</t>
  </si>
  <si>
    <t>35 °C</t>
  </si>
  <si>
    <t>30,9 °C</t>
  </si>
  <si>
    <t>40 °C</t>
  </si>
  <si>
    <t>35,5 °C</t>
  </si>
  <si>
    <t>45 °C</t>
  </si>
  <si>
    <t>31,5 °C</t>
  </si>
  <si>
    <t>26,5 °C</t>
  </si>
  <si>
    <t>13,3 °C</t>
  </si>
  <si>
    <t>31 °C</t>
  </si>
  <si>
    <t>35,6 °C</t>
  </si>
  <si>
    <t>40,1 °C</t>
  </si>
  <si>
    <t>17 °C</t>
  </si>
  <si>
    <t>13,4 °C</t>
  </si>
  <si>
    <t>15,2 °C</t>
  </si>
  <si>
    <t>31,1 °C</t>
  </si>
  <si>
    <t>35,7 °C</t>
  </si>
  <si>
    <t>40,2 °C</t>
  </si>
  <si>
    <t>13,6 °C</t>
  </si>
  <si>
    <t>15,3 °C</t>
  </si>
  <si>
    <t>26,6 °C</t>
  </si>
  <si>
    <t>31,2 °C</t>
  </si>
  <si>
    <t>40,3 °C</t>
  </si>
  <si>
    <t>28 °C</t>
  </si>
  <si>
    <t>19 °C</t>
  </si>
  <si>
    <t>13,7 °C</t>
  </si>
  <si>
    <t>15,4 °C</t>
  </si>
  <si>
    <t>17,2 °C</t>
  </si>
  <si>
    <t>26,7 °C</t>
  </si>
  <si>
    <t>31,3 °C</t>
  </si>
  <si>
    <t>35,8 °C</t>
  </si>
  <si>
    <t>40,4 °C</t>
  </si>
  <si>
    <t>13,8 °C</t>
  </si>
  <si>
    <t>15,6 °C</t>
  </si>
  <si>
    <t>17,3 °C</t>
  </si>
  <si>
    <t>26,8 °C</t>
  </si>
  <si>
    <t>31,4 °C</t>
  </si>
  <si>
    <t>35,9 °C</t>
  </si>
  <si>
    <t>40,5 °C</t>
  </si>
  <si>
    <t>21 °C</t>
  </si>
  <si>
    <t>13,9 °C</t>
  </si>
  <si>
    <t>15,7 °C</t>
  </si>
  <si>
    <t>17,4 °C</t>
  </si>
  <si>
    <t>19,2 °C</t>
  </si>
  <si>
    <t>26,9 °C</t>
  </si>
  <si>
    <t>36 °C</t>
  </si>
  <si>
    <t>40,6 °C</t>
  </si>
  <si>
    <t>14,1 °C</t>
  </si>
  <si>
    <t>15,8 °C</t>
  </si>
  <si>
    <t>17,6 °C</t>
  </si>
  <si>
    <t>19,3 °C</t>
  </si>
  <si>
    <t>27 °C</t>
  </si>
  <si>
    <t>36,1 °C</t>
  </si>
  <si>
    <t>40,7 °C</t>
  </si>
  <si>
    <t>23 °C</t>
  </si>
  <si>
    <t>14,2 °C</t>
  </si>
  <si>
    <t>15,9 °C</t>
  </si>
  <si>
    <t>17,7 °C</t>
  </si>
  <si>
    <t>19,4 °C</t>
  </si>
  <si>
    <t>21,2 °C</t>
  </si>
  <si>
    <t>27,1 °C</t>
  </si>
  <si>
    <t>31,6 °C</t>
  </si>
  <si>
    <t>36,2 °C</t>
  </si>
  <si>
    <t>24 °C</t>
  </si>
  <si>
    <t>14,3 °C</t>
  </si>
  <si>
    <t>16,1 °C</t>
  </si>
  <si>
    <t>17,8 °C</t>
  </si>
  <si>
    <t>19,6 °C</t>
  </si>
  <si>
    <t>21,3 °C</t>
  </si>
  <si>
    <t>31,7 °C</t>
  </si>
  <si>
    <t>36,3 °C</t>
  </si>
  <si>
    <t>40,8 °C</t>
  </si>
  <si>
    <t>14,4 °C</t>
  </si>
  <si>
    <t>16,2 °C</t>
  </si>
  <si>
    <t>17,9 °C</t>
  </si>
  <si>
    <t>19,7 °C</t>
  </si>
  <si>
    <t>21,4 °C</t>
  </si>
  <si>
    <t>31,8 °C</t>
  </si>
  <si>
    <t>36,4 °C</t>
  </si>
  <si>
    <t>40,9 °C</t>
  </si>
  <si>
    <t>26 °C</t>
  </si>
  <si>
    <t>14,5 °C</t>
  </si>
  <si>
    <t>16,3 °C</t>
  </si>
  <si>
    <t>18,1 °C</t>
  </si>
  <si>
    <t>19,8 °C</t>
  </si>
  <si>
    <t>21,6 °C</t>
  </si>
  <si>
    <t>31,9 °C</t>
  </si>
  <si>
    <t>41 °C</t>
  </si>
  <si>
    <t>14,7 °C</t>
  </si>
  <si>
    <t>16,4 °C</t>
  </si>
  <si>
    <t>18,2 °C</t>
  </si>
  <si>
    <t>19,9 °C</t>
  </si>
  <si>
    <t>21,7 °C</t>
  </si>
  <si>
    <t>32 °C</t>
  </si>
  <si>
    <t>36,5 °C</t>
  </si>
  <si>
    <t>41,1 °C</t>
  </si>
  <si>
    <t>14,8 °C</t>
  </si>
  <si>
    <t>16,5 °C</t>
  </si>
  <si>
    <t>18,3 °C</t>
  </si>
  <si>
    <t>20,1 °C</t>
  </si>
  <si>
    <t>21,8 °C</t>
  </si>
  <si>
    <t>32,1 °C</t>
  </si>
  <si>
    <t>36,6 °C</t>
  </si>
  <si>
    <t>41,2 °C</t>
  </si>
  <si>
    <t xml:space="preserve">Megjegyzések a hőáram számításához: 
 • A számítás a végtelen hosszú hengeres héj, a hűtőbordával ellátott test, és a síkfalban történő hőáramlás számítási modelljét implementálja. 
 • A hőteljesítmény kiszámítása 
DIN EN 1264-5 szabvány szerinti. 
A számítás elvégzésekor a hőleadó felület és levegő átlagos hőmérsékletkülönbségének a bordamodell segítségével kiszámított értéket vesszük. </t>
  </si>
  <si>
    <t>97,2 W/m²</t>
  </si>
  <si>
    <t>152,1 W/m²</t>
  </si>
  <si>
    <r>
      <t>ΔT</t>
    </r>
    <r>
      <rPr>
        <vertAlign val="subscript"/>
        <sz val="11"/>
        <color theme="1"/>
        <rFont val="Calibri"/>
        <family val="2"/>
        <charset val="238"/>
      </rPr>
      <t>log</t>
    </r>
    <r>
      <rPr>
        <sz val="11"/>
        <color theme="1"/>
        <rFont val="Calibri"/>
        <family val="2"/>
        <charset val="238"/>
      </rPr>
      <t>=</t>
    </r>
  </si>
  <si>
    <t>89,1 W/m²</t>
  </si>
  <si>
    <t>128,3 W/m²</t>
  </si>
  <si>
    <t>168 W/m²</t>
  </si>
  <si>
    <t>208,2 W/m²</t>
  </si>
  <si>
    <t>81,3 W/m²</t>
  </si>
  <si>
    <t>120,4 W/m²</t>
  </si>
  <si>
    <t>160 W/m²</t>
  </si>
  <si>
    <t>200,1 W/m²</t>
  </si>
  <si>
    <t>73,6 W/m²</t>
  </si>
  <si>
    <t>112,6 W/m²</t>
  </si>
  <si>
    <t>192,1 W/m²</t>
  </si>
  <si>
    <t>65,9 W/m²</t>
  </si>
  <si>
    <t>104,7 W/m²</t>
  </si>
  <si>
    <t>144,1 W/m²</t>
  </si>
  <si>
    <t>184 W/m²</t>
  </si>
  <si>
    <t>58,1 W/m²</t>
  </si>
  <si>
    <t>96,9 W/m²</t>
  </si>
  <si>
    <t>136,2 W/m²</t>
  </si>
  <si>
    <t>176 W/m²</t>
  </si>
  <si>
    <t>50,4 W/m²</t>
  </si>
  <si>
    <t>42,7 W/m²</t>
  </si>
  <si>
    <t>34,9 W/m²</t>
  </si>
  <si>
    <t>26,9 W/m²</t>
  </si>
  <si>
    <t>18,4 W/m²</t>
  </si>
  <si>
    <t>16,1 W/m²</t>
  </si>
  <si>
    <t>26,2 W/m²</t>
  </si>
  <si>
    <t>36,2 W/m²</t>
  </si>
  <si>
    <t>46,2 W/m²</t>
  </si>
  <si>
    <t>56,3 W/m²</t>
  </si>
  <si>
    <t>66,4 W/m²</t>
  </si>
  <si>
    <t>76,6 W/m²</t>
  </si>
  <si>
    <t>86,9 W/m²</t>
  </si>
  <si>
    <t>107,6 W/m²</t>
  </si>
  <si>
    <t>118 W/m²</t>
  </si>
  <si>
    <t>128,4 W/m²</t>
  </si>
  <si>
    <t>138,9 W/m²</t>
  </si>
  <si>
    <t>149,5 W/m²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</si>
</sst>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##&quot; °C&quot;"/>
    <numFmt numFmtId="165" formatCode="0.000#&quot; [m]&quot;"/>
    <numFmt numFmtId="166" formatCode="0.0000"/>
    <numFmt numFmtId="167" formatCode="0.000#&quot; [m²]&quot;"/>
    <numFmt numFmtId="168" formatCode="##0.00&quot; [W/m² K]&quot;"/>
    <numFmt numFmtId="169" formatCode="0.0000&quot; [K/W]&quot;"/>
    <numFmt numFmtId="170" formatCode="0.00&quot; [W]&quot;"/>
    <numFmt numFmtId="171" formatCode="00.0&quot; [°C]&quot;"/>
    <numFmt numFmtId="172" formatCode="#0.0&quot; [°C]&quot;"/>
    <numFmt numFmtId="173" formatCode="0.000&quot; [m]&quot;"/>
    <numFmt numFmtId="174" formatCode="0.0&quot; [°C]&quot;"/>
    <numFmt numFmtId="175" formatCode="0.0000&quot; [-]&quot;"/>
    <numFmt numFmtId="176" formatCode="#0.00&quot; [W]&quot;"/>
    <numFmt numFmtId="177" formatCode="#0.00&quot; [W/m²]&quot;"/>
    <numFmt numFmtId="178" formatCode="#0.0&quot; °C&quot;"/>
    <numFmt numFmtId="179" formatCode="0.0"/>
    <numFmt numFmtId="180" formatCode="00.0&quot; [1/m]&quot;"/>
  </numFmts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vertAlign val="subscript"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vertAlign val="subscript"/>
      <sz val="11"/>
      <color theme="1"/>
      <name val="Calibri"/>
      <family val="2"/>
      <charset val="238"/>
    </font>
    <font>
      <sz val="11"/>
      <color theme="5" tint="0.59999389629810485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6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Up="1" diagonalDown="1">
      <left/>
      <right style="medium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/>
      <bottom/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165" fontId="0" fillId="0" borderId="1" xfId="0" applyNumberFormat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2" xfId="0" applyBorder="1" applyAlignment="1">
      <alignment horizontal="right" vertical="center"/>
    </xf>
    <xf numFmtId="165" fontId="0" fillId="0" borderId="3" xfId="0" applyNumberFormat="1" applyBorder="1" applyAlignment="1">
      <alignment vertical="center"/>
    </xf>
    <xf numFmtId="0" fontId="0" fillId="0" borderId="5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167" fontId="0" fillId="0" borderId="8" xfId="0" applyNumberForma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168" fontId="0" fillId="0" borderId="1" xfId="0" applyNumberFormat="1" applyBorder="1" applyAlignment="1">
      <alignment vertical="center"/>
    </xf>
    <xf numFmtId="169" fontId="0" fillId="0" borderId="1" xfId="0" applyNumberFormat="1" applyBorder="1" applyAlignment="1">
      <alignment vertical="center"/>
    </xf>
    <xf numFmtId="0" fontId="3" fillId="0" borderId="2" xfId="0" applyFont="1" applyBorder="1" applyAlignment="1">
      <alignment horizontal="right" vertical="center"/>
    </xf>
    <xf numFmtId="168" fontId="0" fillId="0" borderId="3" xfId="0" applyNumberFormat="1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169" fontId="0" fillId="0" borderId="8" xfId="0" applyNumberFormat="1" applyBorder="1" applyAlignment="1">
      <alignment vertical="center"/>
    </xf>
    <xf numFmtId="171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2" fontId="0" fillId="0" borderId="3" xfId="0" applyNumberFormat="1" applyBorder="1" applyAlignment="1">
      <alignment vertical="center"/>
    </xf>
    <xf numFmtId="172" fontId="0" fillId="0" borderId="1" xfId="0" applyNumberFormat="1" applyBorder="1" applyAlignment="1">
      <alignment vertical="center"/>
    </xf>
    <xf numFmtId="172" fontId="0" fillId="0" borderId="8" xfId="0" applyNumberFormat="1" applyBorder="1" applyAlignment="1">
      <alignment vertical="center"/>
    </xf>
    <xf numFmtId="173" fontId="0" fillId="0" borderId="1" xfId="0" applyNumberFormat="1" applyBorder="1" applyAlignment="1">
      <alignment vertical="center"/>
    </xf>
    <xf numFmtId="0" fontId="3" fillId="0" borderId="10" xfId="0" applyFont="1" applyBorder="1" applyAlignment="1">
      <alignment horizontal="right" vertical="center"/>
    </xf>
    <xf numFmtId="174" fontId="0" fillId="0" borderId="1" xfId="0" applyNumberFormat="1" applyBorder="1" applyAlignment="1">
      <alignment vertical="center"/>
    </xf>
    <xf numFmtId="0" fontId="0" fillId="4" borderId="2" xfId="0" applyFill="1" applyBorder="1" applyAlignment="1">
      <alignment horizontal="right" vertical="center"/>
    </xf>
    <xf numFmtId="174" fontId="0" fillId="4" borderId="3" xfId="0" applyNumberFormat="1" applyFill="1" applyBorder="1" applyAlignment="1">
      <alignment vertical="center"/>
    </xf>
    <xf numFmtId="0" fontId="0" fillId="4" borderId="5" xfId="0" applyFill="1" applyBorder="1" applyAlignment="1">
      <alignment horizontal="right" vertical="center"/>
    </xf>
    <xf numFmtId="0" fontId="0" fillId="4" borderId="7" xfId="0" applyFill="1" applyBorder="1" applyAlignment="1">
      <alignment horizontal="right" vertical="center"/>
    </xf>
    <xf numFmtId="0" fontId="5" fillId="3" borderId="1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1" xfId="0" applyFont="1" applyFill="1" applyBorder="1" applyAlignment="1" applyProtection="1">
      <alignment vertical="center"/>
      <protection locked="0"/>
    </xf>
    <xf numFmtId="178" fontId="0" fillId="0" borderId="2" xfId="0" applyNumberFormat="1" applyBorder="1" applyAlignment="1" applyProtection="1">
      <alignment horizontal="center" vertical="center" wrapText="1"/>
      <protection locked="0"/>
    </xf>
    <xf numFmtId="178" fontId="0" fillId="0" borderId="4" xfId="0" applyNumberFormat="1" applyBorder="1" applyAlignment="1" applyProtection="1">
      <alignment horizontal="center" vertical="center" wrapText="1"/>
      <protection locked="0"/>
    </xf>
    <xf numFmtId="178" fontId="0" fillId="0" borderId="5" xfId="0" applyNumberFormat="1" applyBorder="1" applyAlignment="1" applyProtection="1">
      <alignment horizontal="center" vertical="center"/>
      <protection locked="0"/>
    </xf>
    <xf numFmtId="178" fontId="0" fillId="0" borderId="6" xfId="0" applyNumberFormat="1" applyBorder="1" applyAlignment="1" applyProtection="1">
      <alignment horizontal="center" vertical="center"/>
      <protection locked="0"/>
    </xf>
    <xf numFmtId="178" fontId="0" fillId="0" borderId="7" xfId="0" applyNumberFormat="1" applyBorder="1" applyAlignment="1" applyProtection="1">
      <alignment horizontal="center" vertical="center"/>
      <protection locked="0"/>
    </xf>
    <xf numFmtId="178" fontId="0" fillId="0" borderId="9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12" xfId="0" applyFont="1" applyBorder="1" applyAlignment="1">
      <alignment vertical="center"/>
    </xf>
    <xf numFmtId="0" fontId="0" fillId="4" borderId="4" xfId="0" applyFont="1" applyFill="1" applyBorder="1" applyAlignment="1">
      <alignment vertical="center"/>
    </xf>
    <xf numFmtId="0" fontId="0" fillId="4" borderId="6" xfId="0" applyFont="1" applyFill="1" applyBorder="1" applyAlignment="1">
      <alignment vertical="center"/>
    </xf>
    <xf numFmtId="0" fontId="0" fillId="4" borderId="9" xfId="0" applyFont="1" applyFill="1" applyBorder="1" applyAlignment="1">
      <alignment vertical="center"/>
    </xf>
    <xf numFmtId="0" fontId="0" fillId="0" borderId="9" xfId="0" applyFont="1" applyBorder="1" applyAlignment="1">
      <alignment vertical="center"/>
    </xf>
    <xf numFmtId="166" fontId="0" fillId="0" borderId="0" xfId="0" applyNumberFormat="1" applyAlignment="1">
      <alignment horizontal="right" vertical="center"/>
    </xf>
    <xf numFmtId="0" fontId="0" fillId="2" borderId="2" xfId="0" applyFill="1" applyBorder="1" applyAlignment="1">
      <alignment horizontal="right" vertical="center"/>
    </xf>
    <xf numFmtId="0" fontId="0" fillId="2" borderId="5" xfId="0" applyFill="1" applyBorder="1" applyAlignment="1">
      <alignment horizontal="right" vertical="center"/>
    </xf>
    <xf numFmtId="0" fontId="0" fillId="2" borderId="7" xfId="0" applyFill="1" applyBorder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1" fontId="0" fillId="0" borderId="6" xfId="0" applyNumberFormat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1" xfId="0" applyNumberFormat="1" applyBorder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</xf>
    <xf numFmtId="0" fontId="0" fillId="0" borderId="0" xfId="0" applyFont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</xf>
    <xf numFmtId="0" fontId="0" fillId="0" borderId="3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75" fontId="0" fillId="0" borderId="11" xfId="0" applyNumberFormat="1" applyBorder="1" applyAlignment="1">
      <alignment horizontal="right" vertical="center"/>
    </xf>
    <xf numFmtId="176" fontId="0" fillId="4" borderId="1" xfId="0" applyNumberFormat="1" applyFill="1" applyBorder="1" applyAlignment="1">
      <alignment horizontal="right" vertical="center"/>
    </xf>
    <xf numFmtId="177" fontId="0" fillId="4" borderId="8" xfId="0" applyNumberFormat="1" applyFill="1" applyBorder="1" applyAlignment="1">
      <alignment horizontal="right" vertical="center"/>
    </xf>
    <xf numFmtId="0" fontId="0" fillId="2" borderId="30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7" fillId="0" borderId="0" xfId="0" applyFont="1" applyFill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27" xfId="0" applyFont="1" applyBorder="1" applyAlignment="1">
      <alignment horizontal="center" vertical="center"/>
    </xf>
    <xf numFmtId="0" fontId="0" fillId="0" borderId="28" xfId="0" applyFont="1" applyBorder="1" applyAlignment="1">
      <alignment horizontal="center" vertical="center"/>
    </xf>
    <xf numFmtId="0" fontId="0" fillId="0" borderId="29" xfId="0" applyFont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 wrapText="1"/>
    </xf>
    <xf numFmtId="0" fontId="1" fillId="2" borderId="18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</cellXfs>
  <cellStyles count="1">
    <cellStyle name="Normál" xfId="0" builtinId="0"/>
  </cellStyles>
  <dxfs count="21">
    <dxf>
      <border>
        <left style="thin">
          <color auto="1"/>
        </left>
      </border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Kiszámítás teljesítményértékekkel [W]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Tábla törlése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Számítások megjelenítése/elrejtése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171450</xdr:rowOff>
        </xdr:from>
        <xdr:to>
          <xdr:col>5</xdr:col>
          <xdr:colOff>152400</xdr:colOff>
          <xdr:row>2</xdr:row>
          <xdr:rowOff>209550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18</xdr:col>
      <xdr:colOff>307590</xdr:colOff>
      <xdr:row>12</xdr:row>
      <xdr:rowOff>96217</xdr:rowOff>
    </xdr:from>
    <xdr:to>
      <xdr:col>35</xdr:col>
      <xdr:colOff>574790</xdr:colOff>
      <xdr:row>24</xdr:row>
      <xdr:rowOff>71806</xdr:rowOff>
    </xdr:to>
    <xdr:pic>
      <xdr:nvPicPr>
        <xdr:cNvPr id="8" name="Ké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719117">
          <a:off x="20354914" y="3054570"/>
          <a:ext cx="12997082" cy="29339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228600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247650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Kiszámítás fajlagos értékekkel [W/m²]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AM74"/>
  <sheetViews>
    <sheetView showGridLines="0" tabSelected="1" zoomScale="70" zoomScaleNormal="70" workbookViewId="0">
      <selection activeCell="J13" sqref="J13"/>
    </sheetView>
  </sheetViews>
  <sheetFormatPr defaultColWidth="0" defaultRowHeight="0" customHeight="1" zeroHeight="1" x14ac:dyDescent="0.25"/>
  <cols>
    <col min="1" max="7" width="12.7109375" style="1" customWidth="1"/>
    <col min="8" max="8" width="12.7109375" style="7" customWidth="1"/>
    <col min="9" max="9" width="6.7109375" style="7" customWidth="1"/>
    <col min="10" max="10" width="15.7109375" style="1" customWidth="1"/>
    <col min="11" max="11" width="83.5703125" style="45" customWidth="1"/>
    <col min="12" max="14" width="14.7109375" style="1" customWidth="1"/>
    <col min="15" max="15" width="12.7109375" style="1" customWidth="1"/>
    <col min="16" max="16" width="15.7109375" style="7" customWidth="1"/>
    <col min="17" max="19" width="12.7109375" style="1" customWidth="1"/>
    <col min="20" max="21" width="10.7109375" style="69" customWidth="1"/>
    <col min="22" max="32" width="10.7109375" style="67" customWidth="1"/>
    <col min="33" max="34" width="12.7109375" style="67" customWidth="1"/>
    <col min="35" max="36" width="12.7109375" style="65" customWidth="1"/>
    <col min="37" max="16384" width="12.7109375" style="1" hidden="1"/>
  </cols>
  <sheetData>
    <row r="1" spans="2:39" ht="20.100000000000001" customHeight="1" thickBot="1" x14ac:dyDescent="0.3">
      <c r="T1" s="68"/>
      <c r="U1" s="68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4"/>
    </row>
    <row r="2" spans="2:39" ht="20.100000000000001" customHeight="1" thickBot="1" x14ac:dyDescent="0.3">
      <c r="B2" s="54" t="s">
        <v>15</v>
      </c>
      <c r="C2" s="70">
        <v>0.35</v>
      </c>
      <c r="D2" s="2" t="s">
        <v>0</v>
      </c>
      <c r="T2" s="68"/>
      <c r="U2" s="68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2"/>
      <c r="AJ2" s="66"/>
      <c r="AK2" s="59"/>
    </row>
    <row r="3" spans="2:39" ht="20.100000000000001" customHeight="1" thickBot="1" x14ac:dyDescent="0.3">
      <c r="B3" s="55" t="s">
        <v>16</v>
      </c>
      <c r="C3" s="71">
        <v>81</v>
      </c>
      <c r="D3" s="4" t="s">
        <v>0</v>
      </c>
      <c r="I3" s="91" t="s">
        <v>96</v>
      </c>
      <c r="J3" s="92"/>
      <c r="K3" s="93"/>
      <c r="P3" s="91" t="s">
        <v>106</v>
      </c>
      <c r="Q3" s="92"/>
      <c r="R3" s="93"/>
      <c r="T3" s="73" t="s">
        <v>118</v>
      </c>
      <c r="U3" s="68"/>
      <c r="V3" s="63"/>
      <c r="W3" s="63"/>
      <c r="X3" s="63"/>
      <c r="Y3" s="63"/>
      <c r="Z3" s="63"/>
      <c r="AA3" s="63"/>
      <c r="AB3" s="63" t="s">
        <v>117</v>
      </c>
      <c r="AC3" s="63"/>
      <c r="AD3" s="63"/>
      <c r="AE3" s="63"/>
      <c r="AF3" s="63"/>
      <c r="AG3" s="63"/>
      <c r="AH3" s="63"/>
      <c r="AI3" s="62"/>
      <c r="AJ3" s="66"/>
      <c r="AK3" s="59"/>
    </row>
    <row r="4" spans="2:39" ht="20.100000000000001" customHeight="1" x14ac:dyDescent="0.25">
      <c r="B4" s="55" t="s">
        <v>17</v>
      </c>
      <c r="C4" s="71">
        <v>0.25</v>
      </c>
      <c r="D4" s="4" t="s">
        <v>0</v>
      </c>
      <c r="I4" s="11" t="s">
        <v>90</v>
      </c>
      <c r="J4" s="24">
        <f>(J42-J39)/J25</f>
        <v>0.32766273327515327</v>
      </c>
      <c r="K4" s="46" t="s">
        <v>77</v>
      </c>
      <c r="L4" s="81" t="s">
        <v>235</v>
      </c>
      <c r="M4" s="82"/>
      <c r="N4" s="83"/>
      <c r="P4" s="11" t="s">
        <v>105</v>
      </c>
      <c r="Q4" s="36" t="b">
        <f>ABS(J40-MAX(C19:C32))&gt;ABS(J40-MIN(C19:C32))</f>
        <v>1</v>
      </c>
      <c r="R4" s="2"/>
      <c r="T4" s="68" t="s">
        <v>119</v>
      </c>
      <c r="U4" s="68" t="s">
        <v>120</v>
      </c>
      <c r="V4" s="63" t="s">
        <v>121</v>
      </c>
      <c r="W4" s="63" t="s">
        <v>125</v>
      </c>
      <c r="X4" s="63" t="s">
        <v>143</v>
      </c>
      <c r="Y4" s="63" t="s">
        <v>126</v>
      </c>
      <c r="Z4" s="63" t="s">
        <v>155</v>
      </c>
      <c r="AA4" s="63" t="s">
        <v>127</v>
      </c>
      <c r="AB4" s="63" t="s">
        <v>170</v>
      </c>
      <c r="AC4" s="63" t="s">
        <v>128</v>
      </c>
      <c r="AD4" s="63" t="s">
        <v>185</v>
      </c>
      <c r="AE4" s="63" t="s">
        <v>194</v>
      </c>
      <c r="AF4" s="63" t="s">
        <v>130</v>
      </c>
      <c r="AG4" s="63" t="s">
        <v>211</v>
      </c>
      <c r="AH4" s="63" t="s">
        <v>182</v>
      </c>
      <c r="AI4" s="62" t="s">
        <v>154</v>
      </c>
      <c r="AJ4" s="66"/>
      <c r="AK4" s="59"/>
    </row>
    <row r="5" spans="2:39" ht="20.100000000000001" customHeight="1" x14ac:dyDescent="0.25">
      <c r="B5" s="55" t="s">
        <v>8</v>
      </c>
      <c r="C5" s="71">
        <v>300</v>
      </c>
      <c r="D5" s="4" t="s">
        <v>14</v>
      </c>
      <c r="I5" s="13" t="s">
        <v>84</v>
      </c>
      <c r="J5" s="23">
        <f>J42-J24*J4</f>
        <v>0.9080819044790327</v>
      </c>
      <c r="K5" s="47" t="s">
        <v>78</v>
      </c>
      <c r="L5" s="84"/>
      <c r="M5" s="85"/>
      <c r="N5" s="86"/>
      <c r="P5" s="13" t="s">
        <v>94</v>
      </c>
      <c r="Q5" s="35" t="b">
        <f>OR(AND(Q4,J41&lt;J39,J40&lt;J39),AND(NOT(Q4),J41&gt;J39,J40&gt;J39))</f>
        <v>0</v>
      </c>
      <c r="R5" s="4"/>
      <c r="T5" s="68" t="s">
        <v>122</v>
      </c>
      <c r="U5" s="68" t="s">
        <v>123</v>
      </c>
      <c r="V5" s="63" t="s">
        <v>263</v>
      </c>
      <c r="W5" s="63" t="s">
        <v>264</v>
      </c>
      <c r="X5" s="63" t="s">
        <v>265</v>
      </c>
      <c r="Y5" s="63" t="s">
        <v>266</v>
      </c>
      <c r="Z5" s="63" t="s">
        <v>267</v>
      </c>
      <c r="AA5" s="63" t="s">
        <v>268</v>
      </c>
      <c r="AB5" s="63" t="s">
        <v>269</v>
      </c>
      <c r="AC5" s="63" t="s">
        <v>270</v>
      </c>
      <c r="AD5" s="63" t="s">
        <v>236</v>
      </c>
      <c r="AE5" s="63" t="s">
        <v>271</v>
      </c>
      <c r="AF5" s="63" t="s">
        <v>272</v>
      </c>
      <c r="AG5" s="63" t="s">
        <v>273</v>
      </c>
      <c r="AH5" s="63" t="s">
        <v>274</v>
      </c>
      <c r="AI5" s="62" t="s">
        <v>275</v>
      </c>
      <c r="AJ5" s="66"/>
      <c r="AK5" s="59" t="b">
        <v>1</v>
      </c>
      <c r="AL5" s="1" t="str">
        <f>IF(OR(T5&lt;&gt;"",T4&lt;&gt;""),IF(OR(MOD(ROW(AL5),4)=1,MOD(ROW(AL5),4)=2),"SÖTÉT","VILÁGOS"),"")</f>
        <v>SÖTÉT</v>
      </c>
      <c r="AM5" s="1" t="str">
        <f>IF(AK5&lt;&gt;"",AL5&amp;IF(AK5,"KÉK","PIROS"),"")</f>
        <v>SÖTÉTKÉK</v>
      </c>
    </row>
    <row r="6" spans="2:39" ht="20.100000000000001" customHeight="1" x14ac:dyDescent="0.25">
      <c r="B6" s="55" t="s">
        <v>9</v>
      </c>
      <c r="C6" s="71"/>
      <c r="D6" s="4" t="s">
        <v>14</v>
      </c>
      <c r="I6" s="13" t="s">
        <v>85</v>
      </c>
      <c r="J6" s="23">
        <f>J5</f>
        <v>0.9080819044790327</v>
      </c>
      <c r="K6" s="47" t="s">
        <v>79</v>
      </c>
      <c r="L6" s="84"/>
      <c r="M6" s="85"/>
      <c r="N6" s="86"/>
      <c r="P6" s="13" t="s">
        <v>95</v>
      </c>
      <c r="Q6" s="37" t="b">
        <v>1</v>
      </c>
      <c r="R6" s="4"/>
      <c r="T6" s="68"/>
      <c r="U6" s="68"/>
      <c r="V6" s="63" t="s">
        <v>124</v>
      </c>
      <c r="W6" s="63" t="s">
        <v>139</v>
      </c>
      <c r="X6" s="63" t="s">
        <v>144</v>
      </c>
      <c r="Y6" s="63" t="s">
        <v>149</v>
      </c>
      <c r="Z6" s="63" t="s">
        <v>156</v>
      </c>
      <c r="AA6" s="63" t="s">
        <v>163</v>
      </c>
      <c r="AB6" s="63" t="s">
        <v>171</v>
      </c>
      <c r="AC6" s="63" t="s">
        <v>178</v>
      </c>
      <c r="AD6" s="63" t="s">
        <v>186</v>
      </c>
      <c r="AE6" s="63" t="s">
        <v>195</v>
      </c>
      <c r="AF6" s="63" t="s">
        <v>203</v>
      </c>
      <c r="AG6" s="63" t="s">
        <v>212</v>
      </c>
      <c r="AH6" s="63" t="s">
        <v>219</v>
      </c>
      <c r="AI6" s="62" t="s">
        <v>227</v>
      </c>
      <c r="AJ6" s="66"/>
      <c r="AK6" s="59" t="b">
        <v>1</v>
      </c>
      <c r="AL6" s="1" t="str">
        <f t="shared" ref="AL6:AL32" si="0">IF(OR(T6&lt;&gt;"",T5&lt;&gt;""),IF(OR(MOD(ROW(AL6),4)=1,MOD(ROW(AL6),4)=2),"SÖTÉT","VILÁGOS"),"")</f>
        <v>SÖTÉT</v>
      </c>
      <c r="AM6" s="1" t="str">
        <f t="shared" ref="AM6:AM32" si="1">IF(AK6&lt;&gt;"",AL6&amp;IF(AK6,"KÉK","PIROS"),"")</f>
        <v>SÖTÉTKÉK</v>
      </c>
    </row>
    <row r="7" spans="2:39" ht="20.100000000000001" customHeight="1" x14ac:dyDescent="0.25">
      <c r="B7" s="55" t="s">
        <v>10</v>
      </c>
      <c r="C7" s="71">
        <v>7.4</v>
      </c>
      <c r="D7" s="4" t="s">
        <v>1</v>
      </c>
      <c r="I7" s="13" t="s">
        <v>86</v>
      </c>
      <c r="J7" s="26">
        <f>Levegő_hőmérséklet</f>
        <v>0</v>
      </c>
      <c r="K7" s="47" t="s">
        <v>80</v>
      </c>
      <c r="L7" s="84"/>
      <c r="M7" s="85"/>
      <c r="N7" s="86"/>
      <c r="P7" s="13" t="s">
        <v>98</v>
      </c>
      <c r="Q7" s="8" t="str">
        <f>IFERROR(TRUNC(ABS(IF(Q6,J13,J12)),1),"---")</f>
        <v>---</v>
      </c>
      <c r="R7" s="4"/>
      <c r="T7" s="68" t="s">
        <v>123</v>
      </c>
      <c r="U7" s="68" t="s">
        <v>125</v>
      </c>
      <c r="V7" s="63"/>
      <c r="W7" s="63"/>
      <c r="X7" s="63" t="s">
        <v>263</v>
      </c>
      <c r="Y7" s="63" t="s">
        <v>264</v>
      </c>
      <c r="Z7" s="63" t="s">
        <v>265</v>
      </c>
      <c r="AA7" s="63" t="s">
        <v>266</v>
      </c>
      <c r="AB7" s="63" t="s">
        <v>267</v>
      </c>
      <c r="AC7" s="63" t="s">
        <v>268</v>
      </c>
      <c r="AD7" s="63" t="s">
        <v>269</v>
      </c>
      <c r="AE7" s="63" t="s">
        <v>270</v>
      </c>
      <c r="AF7" s="63" t="s">
        <v>236</v>
      </c>
      <c r="AG7" s="63" t="s">
        <v>271</v>
      </c>
      <c r="AH7" s="63" t="s">
        <v>272</v>
      </c>
      <c r="AI7" s="62" t="s">
        <v>273</v>
      </c>
      <c r="AJ7" s="66"/>
      <c r="AK7" s="59" t="b">
        <v>1</v>
      </c>
      <c r="AL7" s="1" t="str">
        <f t="shared" si="0"/>
        <v>VILÁGOS</v>
      </c>
      <c r="AM7" s="1" t="str">
        <f>IF(AK7&lt;&gt;"",AL7&amp;IF(AK7,"KÉK","PIROS"),"")</f>
        <v>VILÁGOSKÉK</v>
      </c>
    </row>
    <row r="8" spans="2:39" ht="20.100000000000001" customHeight="1" x14ac:dyDescent="0.25">
      <c r="B8" s="55" t="s">
        <v>11</v>
      </c>
      <c r="C8" s="71">
        <v>10</v>
      </c>
      <c r="D8" s="4" t="s">
        <v>1</v>
      </c>
      <c r="I8" s="13" t="s">
        <v>81</v>
      </c>
      <c r="J8" s="60">
        <f>SQRT((2*1/((1/J17)+J50/lambda_GK))/(C3*J49))</f>
        <v>17.617214086056332</v>
      </c>
      <c r="K8" s="47" t="s">
        <v>114</v>
      </c>
      <c r="L8" s="84"/>
      <c r="M8" s="85"/>
      <c r="N8" s="86"/>
      <c r="P8" s="13" t="s">
        <v>99</v>
      </c>
      <c r="Q8" s="8" t="str">
        <f>IF(Q6,"W/m²","W")</f>
        <v>W/m²</v>
      </c>
      <c r="R8" s="4"/>
      <c r="T8" s="68"/>
      <c r="U8" s="68"/>
      <c r="V8" s="63"/>
      <c r="W8" s="63"/>
      <c r="X8" s="63" t="s">
        <v>145</v>
      </c>
      <c r="Y8" s="63" t="s">
        <v>150</v>
      </c>
      <c r="Z8" s="63" t="s">
        <v>157</v>
      </c>
      <c r="AA8" s="63" t="s">
        <v>164</v>
      </c>
      <c r="AB8" s="63" t="s">
        <v>172</v>
      </c>
      <c r="AC8" s="63" t="s">
        <v>179</v>
      </c>
      <c r="AD8" s="63" t="s">
        <v>187</v>
      </c>
      <c r="AE8" s="63" t="s">
        <v>196</v>
      </c>
      <c r="AF8" s="63" t="s">
        <v>204</v>
      </c>
      <c r="AG8" s="63" t="s">
        <v>213</v>
      </c>
      <c r="AH8" s="63" t="s">
        <v>220</v>
      </c>
      <c r="AI8" s="62" t="s">
        <v>228</v>
      </c>
      <c r="AJ8" s="66"/>
      <c r="AK8" s="59" t="b">
        <v>1</v>
      </c>
      <c r="AL8" s="1" t="str">
        <f t="shared" si="0"/>
        <v>VILÁGOS</v>
      </c>
      <c r="AM8" s="1" t="str">
        <f t="shared" si="1"/>
        <v>VILÁGOSKÉK</v>
      </c>
    </row>
    <row r="9" spans="2:39" ht="20.100000000000001" customHeight="1" x14ac:dyDescent="0.25">
      <c r="B9" s="55" t="s">
        <v>2</v>
      </c>
      <c r="C9" s="71">
        <v>37</v>
      </c>
      <c r="D9" s="4" t="s">
        <v>1</v>
      </c>
      <c r="I9" s="13" t="s">
        <v>82</v>
      </c>
      <c r="J9" s="28">
        <f>C9/2000</f>
        <v>1.8499999999999999E-2</v>
      </c>
      <c r="K9" s="47" t="s">
        <v>83</v>
      </c>
      <c r="L9" s="84"/>
      <c r="M9" s="85"/>
      <c r="N9" s="86"/>
      <c r="P9" s="13" t="s">
        <v>100</v>
      </c>
      <c r="Q9" s="8" t="str">
        <f>Q7&amp;" "&amp;IF(ISNUMBER(Q7),Q8,"")</f>
        <v xml:space="preserve">--- </v>
      </c>
      <c r="R9" s="4"/>
      <c r="T9" s="68" t="s">
        <v>125</v>
      </c>
      <c r="U9" s="68" t="s">
        <v>126</v>
      </c>
      <c r="V9" s="63"/>
      <c r="W9" s="63"/>
      <c r="X9" s="63"/>
      <c r="Y9" s="63"/>
      <c r="Z9" s="63" t="s">
        <v>263</v>
      </c>
      <c r="AA9" s="63" t="s">
        <v>264</v>
      </c>
      <c r="AB9" s="63" t="s">
        <v>265</v>
      </c>
      <c r="AC9" s="63" t="s">
        <v>266</v>
      </c>
      <c r="AD9" s="63" t="s">
        <v>267</v>
      </c>
      <c r="AE9" s="63" t="s">
        <v>268</v>
      </c>
      <c r="AF9" s="63" t="s">
        <v>269</v>
      </c>
      <c r="AG9" s="63" t="s">
        <v>270</v>
      </c>
      <c r="AH9" s="63" t="s">
        <v>236</v>
      </c>
      <c r="AI9" s="62" t="s">
        <v>271</v>
      </c>
      <c r="AJ9" s="66"/>
      <c r="AK9" s="59" t="b">
        <v>1</v>
      </c>
      <c r="AL9" s="1" t="str">
        <f t="shared" si="0"/>
        <v>SÖTÉT</v>
      </c>
      <c r="AM9" s="1" t="str">
        <f t="shared" si="1"/>
        <v>SÖTÉTKÉK</v>
      </c>
    </row>
    <row r="10" spans="2:39" ht="20.100000000000001" customHeight="1" thickBot="1" x14ac:dyDescent="0.3">
      <c r="B10" s="55" t="s">
        <v>3</v>
      </c>
      <c r="C10" s="71">
        <v>8</v>
      </c>
      <c r="D10" s="4" t="s">
        <v>4</v>
      </c>
      <c r="I10" s="29" t="s">
        <v>238</v>
      </c>
      <c r="J10" s="74" t="str">
        <f>IFERROR((Víz_bemenő_hőmérséklet-Víz_kimenő_hőmérséklet)/LN((Víz_bemenő_hőmérséklet-Levegő_hőmérséklet)/(Víz_kimenő_hőmérséklet-Levegő_hőmérséklet)),"---")</f>
        <v>---</v>
      </c>
      <c r="K10" s="48"/>
      <c r="L10" s="84"/>
      <c r="M10" s="85"/>
      <c r="N10" s="86"/>
      <c r="P10" s="13" t="s">
        <v>101</v>
      </c>
      <c r="Q10" s="30" t="str">
        <f>TRUNC(J11,1)&amp;" °C"</f>
        <v>0,8 °C</v>
      </c>
      <c r="R10" s="4"/>
      <c r="T10" s="68"/>
      <c r="U10" s="68"/>
      <c r="V10" s="63"/>
      <c r="W10" s="63"/>
      <c r="X10" s="63"/>
      <c r="Y10" s="63"/>
      <c r="Z10" s="63" t="s">
        <v>158</v>
      </c>
      <c r="AA10" s="63" t="s">
        <v>165</v>
      </c>
      <c r="AB10" s="63" t="s">
        <v>173</v>
      </c>
      <c r="AC10" s="63" t="s">
        <v>180</v>
      </c>
      <c r="AD10" s="63" t="s">
        <v>188</v>
      </c>
      <c r="AE10" s="63" t="s">
        <v>197</v>
      </c>
      <c r="AF10" s="63" t="s">
        <v>205</v>
      </c>
      <c r="AG10" s="63" t="s">
        <v>214</v>
      </c>
      <c r="AH10" s="63" t="s">
        <v>221</v>
      </c>
      <c r="AI10" s="62" t="s">
        <v>229</v>
      </c>
      <c r="AJ10" s="66"/>
      <c r="AK10" s="59" t="b">
        <v>1</v>
      </c>
      <c r="AL10" s="1" t="str">
        <f t="shared" si="0"/>
        <v>SÖTÉT</v>
      </c>
      <c r="AM10" s="1" t="str">
        <f t="shared" si="1"/>
        <v>SÖTÉTKÉK</v>
      </c>
    </row>
    <row r="11" spans="2:39" ht="20.100000000000001" customHeight="1" x14ac:dyDescent="0.25">
      <c r="B11" s="55" t="s">
        <v>5</v>
      </c>
      <c r="C11" s="71">
        <v>1000</v>
      </c>
      <c r="D11" s="4" t="s">
        <v>1</v>
      </c>
      <c r="I11" s="31" t="s">
        <v>87</v>
      </c>
      <c r="J11" s="32">
        <f>J7+(J5-J7)*TANH(J8*J9)/(J8*J9)</f>
        <v>0.87723873070981961</v>
      </c>
      <c r="K11" s="49" t="s">
        <v>88</v>
      </c>
      <c r="L11" s="84"/>
      <c r="M11" s="85"/>
      <c r="N11" s="86"/>
      <c r="P11" s="13" t="s">
        <v>102</v>
      </c>
      <c r="Q11" s="3">
        <f>22+J32-J30</f>
        <v>3</v>
      </c>
      <c r="R11" s="4"/>
      <c r="T11" s="68" t="s">
        <v>126</v>
      </c>
      <c r="U11" s="68" t="s">
        <v>127</v>
      </c>
      <c r="V11" s="63"/>
      <c r="W11" s="63"/>
      <c r="X11" s="63"/>
      <c r="Y11" s="63"/>
      <c r="Z11" s="63"/>
      <c r="AA11" s="63"/>
      <c r="AB11" s="63" t="s">
        <v>263</v>
      </c>
      <c r="AC11" s="63" t="s">
        <v>264</v>
      </c>
      <c r="AD11" s="63" t="s">
        <v>265</v>
      </c>
      <c r="AE11" s="63" t="s">
        <v>266</v>
      </c>
      <c r="AF11" s="63" t="s">
        <v>267</v>
      </c>
      <c r="AG11" s="63" t="s">
        <v>268</v>
      </c>
      <c r="AH11" s="63" t="s">
        <v>269</v>
      </c>
      <c r="AI11" s="62" t="s">
        <v>270</v>
      </c>
      <c r="AJ11" s="66"/>
      <c r="AK11" s="59" t="b">
        <v>1</v>
      </c>
      <c r="AL11" s="1" t="str">
        <f t="shared" si="0"/>
        <v>VILÁGOS</v>
      </c>
      <c r="AM11" s="1" t="str">
        <f t="shared" si="1"/>
        <v>VILÁGOSKÉK</v>
      </c>
    </row>
    <row r="12" spans="2:39" ht="20.100000000000001" customHeight="1" x14ac:dyDescent="0.25">
      <c r="B12" s="55" t="s">
        <v>113</v>
      </c>
      <c r="C12" s="71">
        <v>400</v>
      </c>
      <c r="D12" s="4" t="s">
        <v>1</v>
      </c>
      <c r="F12" s="1" t="b">
        <v>0</v>
      </c>
      <c r="G12" s="1" t="b">
        <v>1</v>
      </c>
      <c r="I12" s="33" t="s">
        <v>76</v>
      </c>
      <c r="J12" s="75" t="str">
        <f>IFERROR(J13*AVERAGE(J54:J55),"---")</f>
        <v>---</v>
      </c>
      <c r="K12" s="50" t="s">
        <v>92</v>
      </c>
      <c r="L12" s="84"/>
      <c r="M12" s="85"/>
      <c r="N12" s="86"/>
      <c r="P12" s="13" t="s">
        <v>103</v>
      </c>
      <c r="Q12" s="3">
        <f>2+2*(J36-J34)</f>
        <v>-36</v>
      </c>
      <c r="R12" s="4">
        <v>3</v>
      </c>
      <c r="T12" s="68"/>
      <c r="U12" s="68"/>
      <c r="V12" s="63"/>
      <c r="W12" s="63"/>
      <c r="X12" s="63"/>
      <c r="Y12" s="63"/>
      <c r="Z12" s="63"/>
      <c r="AA12" s="63"/>
      <c r="AB12" s="63" t="s">
        <v>174</v>
      </c>
      <c r="AC12" s="63" t="s">
        <v>181</v>
      </c>
      <c r="AD12" s="63" t="s">
        <v>189</v>
      </c>
      <c r="AE12" s="63" t="s">
        <v>198</v>
      </c>
      <c r="AF12" s="63" t="s">
        <v>206</v>
      </c>
      <c r="AG12" s="63" t="s">
        <v>215</v>
      </c>
      <c r="AH12" s="63" t="s">
        <v>222</v>
      </c>
      <c r="AI12" s="62" t="s">
        <v>230</v>
      </c>
      <c r="AJ12" s="66"/>
      <c r="AK12" s="59" t="b">
        <v>1</v>
      </c>
      <c r="AL12" s="1" t="str">
        <f t="shared" si="0"/>
        <v>VILÁGOS</v>
      </c>
      <c r="AM12" s="1" t="str">
        <f t="shared" si="1"/>
        <v>VILÁGOSKÉK</v>
      </c>
    </row>
    <row r="13" spans="2:39" ht="20.100000000000001" customHeight="1" thickBot="1" x14ac:dyDescent="0.3">
      <c r="B13" s="55" t="s">
        <v>6</v>
      </c>
      <c r="C13" s="71">
        <v>0.6</v>
      </c>
      <c r="D13" s="4" t="s">
        <v>1</v>
      </c>
      <c r="I13" s="34" t="s">
        <v>89</v>
      </c>
      <c r="J13" s="76" t="str">
        <f>IFERROR(IF(Hűtés,8.5855*ABS(J10)^1.0557,6.1969*J10^1.0614),"---")</f>
        <v>---</v>
      </c>
      <c r="K13" s="51" t="s">
        <v>93</v>
      </c>
      <c r="L13" s="87"/>
      <c r="M13" s="88"/>
      <c r="N13" s="89"/>
      <c r="P13" s="14" t="s">
        <v>104</v>
      </c>
      <c r="Q13" s="5">
        <f>Q12+1</f>
        <v>-35</v>
      </c>
      <c r="R13" s="6">
        <f>22+J31-J30+1</f>
        <v>36</v>
      </c>
      <c r="T13" s="68" t="s">
        <v>127</v>
      </c>
      <c r="U13" s="68" t="s">
        <v>128</v>
      </c>
      <c r="V13" s="63"/>
      <c r="W13" s="63"/>
      <c r="X13" s="63"/>
      <c r="Y13" s="63"/>
      <c r="Z13" s="63"/>
      <c r="AA13" s="63"/>
      <c r="AB13" s="63"/>
      <c r="AC13" s="63"/>
      <c r="AD13" s="63" t="s">
        <v>263</v>
      </c>
      <c r="AE13" s="63" t="s">
        <v>264</v>
      </c>
      <c r="AF13" s="63" t="s">
        <v>265</v>
      </c>
      <c r="AG13" s="63" t="s">
        <v>266</v>
      </c>
      <c r="AH13" s="63" t="s">
        <v>267</v>
      </c>
      <c r="AI13" s="62" t="s">
        <v>268</v>
      </c>
      <c r="AJ13" s="66"/>
      <c r="AK13" s="59" t="b">
        <v>1</v>
      </c>
      <c r="AL13" s="1" t="str">
        <f t="shared" si="0"/>
        <v>SÖTÉT</v>
      </c>
      <c r="AM13" s="1" t="str">
        <f t="shared" si="1"/>
        <v>SÖTÉTKÉK</v>
      </c>
    </row>
    <row r="14" spans="2:39" ht="20.100000000000001" customHeight="1" thickBot="1" x14ac:dyDescent="0.3">
      <c r="B14" s="55" t="s">
        <v>21</v>
      </c>
      <c r="C14" s="71">
        <v>10</v>
      </c>
      <c r="D14" s="4" t="s">
        <v>1</v>
      </c>
      <c r="F14" s="90"/>
      <c r="G14" s="90"/>
      <c r="T14" s="68"/>
      <c r="U14" s="68"/>
      <c r="V14" s="63"/>
      <c r="W14" s="63"/>
      <c r="X14" s="63"/>
      <c r="Y14" s="63"/>
      <c r="Z14" s="63"/>
      <c r="AA14" s="63"/>
      <c r="AB14" s="63"/>
      <c r="AC14" s="63"/>
      <c r="AD14" s="63" t="s">
        <v>190</v>
      </c>
      <c r="AE14" s="63" t="s">
        <v>199</v>
      </c>
      <c r="AF14" s="63" t="s">
        <v>207</v>
      </c>
      <c r="AG14" s="63" t="s">
        <v>216</v>
      </c>
      <c r="AH14" s="63" t="s">
        <v>223</v>
      </c>
      <c r="AI14" s="62" t="s">
        <v>231</v>
      </c>
      <c r="AJ14" s="66"/>
      <c r="AK14" s="59" t="b">
        <v>1</v>
      </c>
      <c r="AL14" s="1" t="str">
        <f t="shared" si="0"/>
        <v>SÖTÉT</v>
      </c>
      <c r="AM14" s="1" t="str">
        <f t="shared" si="1"/>
        <v>SÖTÉTKÉK</v>
      </c>
    </row>
    <row r="15" spans="2:39" ht="20.100000000000001" customHeight="1" thickBot="1" x14ac:dyDescent="0.3">
      <c r="B15" s="55" t="s">
        <v>112</v>
      </c>
      <c r="C15" s="71">
        <v>5</v>
      </c>
      <c r="D15" s="4" t="s">
        <v>7</v>
      </c>
      <c r="F15" s="90"/>
      <c r="G15" s="90"/>
      <c r="I15" s="91" t="s">
        <v>38</v>
      </c>
      <c r="J15" s="92"/>
      <c r="K15" s="93"/>
      <c r="T15" s="68" t="s">
        <v>129</v>
      </c>
      <c r="U15" s="68" t="s">
        <v>130</v>
      </c>
      <c r="V15" s="63" t="s">
        <v>239</v>
      </c>
      <c r="W15" s="63" t="s">
        <v>243</v>
      </c>
      <c r="X15" s="63" t="s">
        <v>247</v>
      </c>
      <c r="Y15" s="63" t="s">
        <v>250</v>
      </c>
      <c r="Z15" s="63" t="s">
        <v>254</v>
      </c>
      <c r="AA15" s="63" t="s">
        <v>258</v>
      </c>
      <c r="AB15" s="63" t="s">
        <v>259</v>
      </c>
      <c r="AC15" s="63" t="s">
        <v>260</v>
      </c>
      <c r="AD15" s="63" t="s">
        <v>261</v>
      </c>
      <c r="AE15" s="63" t="s">
        <v>262</v>
      </c>
      <c r="AF15" s="63"/>
      <c r="AG15" s="63"/>
      <c r="AH15" s="63"/>
      <c r="AI15" s="62"/>
      <c r="AJ15" s="66"/>
      <c r="AK15" s="59" t="b">
        <v>0</v>
      </c>
      <c r="AL15" s="1" t="str">
        <f t="shared" si="0"/>
        <v>VILÁGOS</v>
      </c>
      <c r="AM15" s="1" t="str">
        <f t="shared" si="1"/>
        <v>VILÁGOSPIROS</v>
      </c>
    </row>
    <row r="16" spans="2:39" ht="20.100000000000001" customHeight="1" thickBot="1" x14ac:dyDescent="0.3">
      <c r="B16" s="56" t="s">
        <v>111</v>
      </c>
      <c r="C16" s="72">
        <v>2</v>
      </c>
      <c r="D16" s="6" t="s">
        <v>7</v>
      </c>
      <c r="F16" s="90"/>
      <c r="G16" s="90"/>
      <c r="I16" s="19" t="s">
        <v>39</v>
      </c>
      <c r="J16" s="20">
        <f>alfa_belső</f>
        <v>300</v>
      </c>
      <c r="K16" s="46" t="s">
        <v>41</v>
      </c>
      <c r="L16" s="81" t="s">
        <v>60</v>
      </c>
      <c r="M16" s="82"/>
      <c r="N16" s="83"/>
      <c r="T16" s="68"/>
      <c r="U16" s="68"/>
      <c r="V16" s="63" t="s">
        <v>131</v>
      </c>
      <c r="W16" s="63" t="s">
        <v>131</v>
      </c>
      <c r="X16" s="63" t="s">
        <v>138</v>
      </c>
      <c r="Y16" s="63" t="s">
        <v>151</v>
      </c>
      <c r="Z16" s="63" t="s">
        <v>159</v>
      </c>
      <c r="AA16" s="63" t="s">
        <v>166</v>
      </c>
      <c r="AB16" s="63" t="s">
        <v>175</v>
      </c>
      <c r="AC16" s="63" t="s">
        <v>182</v>
      </c>
      <c r="AD16" s="63" t="s">
        <v>191</v>
      </c>
      <c r="AE16" s="63" t="s">
        <v>191</v>
      </c>
      <c r="AF16" s="63"/>
      <c r="AG16" s="63"/>
      <c r="AH16" s="63"/>
      <c r="AI16" s="62"/>
      <c r="AJ16" s="66"/>
      <c r="AK16" s="59" t="b">
        <v>0</v>
      </c>
      <c r="AL16" s="1" t="str">
        <f t="shared" si="0"/>
        <v>VILÁGOS</v>
      </c>
      <c r="AM16" s="1" t="str">
        <f t="shared" si="1"/>
        <v>VILÁGOSPIROS</v>
      </c>
    </row>
    <row r="17" spans="2:39" ht="20.100000000000001" customHeight="1" x14ac:dyDescent="0.25">
      <c r="B17" s="77" t="s">
        <v>12</v>
      </c>
      <c r="C17" s="79" t="s">
        <v>13</v>
      </c>
      <c r="F17" s="90"/>
      <c r="G17" s="90"/>
      <c r="I17" s="21" t="s">
        <v>40</v>
      </c>
      <c r="J17" s="17">
        <f>IF(OR(ISBLANK(C6), NOT(ISNUMBER(C6)), C6 &lt;= 0),IF(ABS(J40-MAX(C19:C32))&gt;ABS(J40-MIN(C19:C32)),10.8,6.5),C6)</f>
        <v>10.8</v>
      </c>
      <c r="K17" s="47" t="s">
        <v>53</v>
      </c>
      <c r="L17" s="84"/>
      <c r="M17" s="85"/>
      <c r="N17" s="86"/>
      <c r="T17" s="68" t="s">
        <v>132</v>
      </c>
      <c r="U17" s="68" t="s">
        <v>129</v>
      </c>
      <c r="V17" s="63" t="s">
        <v>240</v>
      </c>
      <c r="W17" s="63" t="s">
        <v>244</v>
      </c>
      <c r="X17" s="63" t="s">
        <v>248</v>
      </c>
      <c r="Y17" s="63" t="s">
        <v>251</v>
      </c>
      <c r="Z17" s="63" t="s">
        <v>255</v>
      </c>
      <c r="AA17" s="63" t="s">
        <v>239</v>
      </c>
      <c r="AB17" s="63" t="s">
        <v>243</v>
      </c>
      <c r="AC17" s="63" t="s">
        <v>247</v>
      </c>
      <c r="AD17" s="63" t="s">
        <v>250</v>
      </c>
      <c r="AE17" s="63" t="s">
        <v>254</v>
      </c>
      <c r="AF17" s="63" t="s">
        <v>258</v>
      </c>
      <c r="AG17" s="63" t="s">
        <v>259</v>
      </c>
      <c r="AH17" s="63" t="s">
        <v>260</v>
      </c>
      <c r="AI17" s="62" t="s">
        <v>261</v>
      </c>
      <c r="AJ17" s="66"/>
      <c r="AK17" s="59" t="b">
        <v>0</v>
      </c>
      <c r="AL17" s="1" t="str">
        <f t="shared" si="0"/>
        <v>SÖTÉT</v>
      </c>
      <c r="AM17" s="1" t="str">
        <f t="shared" si="1"/>
        <v>SÖTÉTPIROS</v>
      </c>
    </row>
    <row r="18" spans="2:39" ht="20.100000000000001" customHeight="1" thickBot="1" x14ac:dyDescent="0.3">
      <c r="B18" s="78"/>
      <c r="C18" s="80"/>
      <c r="F18" s="90"/>
      <c r="G18" s="90"/>
      <c r="I18" s="13" t="s">
        <v>42</v>
      </c>
      <c r="J18" s="18">
        <f>1/(J16*J51)</f>
        <v>0.14338283161432011</v>
      </c>
      <c r="K18" s="47" t="s">
        <v>44</v>
      </c>
      <c r="L18" s="84"/>
      <c r="M18" s="85"/>
      <c r="N18" s="86"/>
      <c r="T18" s="68"/>
      <c r="U18" s="68"/>
      <c r="V18" s="63" t="s">
        <v>133</v>
      </c>
      <c r="W18" s="63" t="s">
        <v>140</v>
      </c>
      <c r="X18" s="63" t="s">
        <v>146</v>
      </c>
      <c r="Y18" s="63" t="s">
        <v>152</v>
      </c>
      <c r="Z18" s="63" t="s">
        <v>160</v>
      </c>
      <c r="AA18" s="63" t="s">
        <v>167</v>
      </c>
      <c r="AB18" s="63" t="s">
        <v>167</v>
      </c>
      <c r="AC18" s="63" t="s">
        <v>137</v>
      </c>
      <c r="AD18" s="63" t="s">
        <v>192</v>
      </c>
      <c r="AE18" s="63" t="s">
        <v>200</v>
      </c>
      <c r="AF18" s="63" t="s">
        <v>208</v>
      </c>
      <c r="AG18" s="63" t="s">
        <v>217</v>
      </c>
      <c r="AH18" s="63" t="s">
        <v>224</v>
      </c>
      <c r="AI18" s="62" t="s">
        <v>232</v>
      </c>
      <c r="AJ18" s="66"/>
      <c r="AK18" s="59" t="b">
        <v>0</v>
      </c>
      <c r="AL18" s="1" t="str">
        <f t="shared" si="0"/>
        <v>SÖTÉT</v>
      </c>
      <c r="AM18" s="1" t="str">
        <f t="shared" si="1"/>
        <v>SÖTÉTPIROS</v>
      </c>
    </row>
    <row r="19" spans="2:39" ht="20.100000000000001" customHeight="1" x14ac:dyDescent="0.25">
      <c r="B19" s="38">
        <v>12</v>
      </c>
      <c r="C19" s="39">
        <v>15</v>
      </c>
      <c r="F19" s="90"/>
      <c r="G19" s="90"/>
      <c r="I19" s="13" t="s">
        <v>43</v>
      </c>
      <c r="J19" s="18">
        <f>1/(J17*J55/C10)</f>
        <v>1.8518518518518516</v>
      </c>
      <c r="K19" s="47" t="s">
        <v>52</v>
      </c>
      <c r="L19" s="84"/>
      <c r="M19" s="85"/>
      <c r="N19" s="86"/>
      <c r="T19" s="68" t="s">
        <v>134</v>
      </c>
      <c r="U19" s="68" t="s">
        <v>132</v>
      </c>
      <c r="V19" s="63" t="s">
        <v>241</v>
      </c>
      <c r="W19" s="63" t="s">
        <v>245</v>
      </c>
      <c r="X19" s="63" t="s">
        <v>237</v>
      </c>
      <c r="Y19" s="63" t="s">
        <v>252</v>
      </c>
      <c r="Z19" s="63" t="s">
        <v>256</v>
      </c>
      <c r="AA19" s="63" t="s">
        <v>240</v>
      </c>
      <c r="AB19" s="63" t="s">
        <v>244</v>
      </c>
      <c r="AC19" s="63" t="s">
        <v>248</v>
      </c>
      <c r="AD19" s="63" t="s">
        <v>251</v>
      </c>
      <c r="AE19" s="63" t="s">
        <v>255</v>
      </c>
      <c r="AF19" s="63" t="s">
        <v>239</v>
      </c>
      <c r="AG19" s="63" t="s">
        <v>243</v>
      </c>
      <c r="AH19" s="63" t="s">
        <v>247</v>
      </c>
      <c r="AI19" s="62" t="s">
        <v>250</v>
      </c>
      <c r="AJ19" s="66"/>
      <c r="AK19" s="59" t="b">
        <v>0</v>
      </c>
      <c r="AL19" s="1" t="str">
        <f t="shared" si="0"/>
        <v>VILÁGOS</v>
      </c>
      <c r="AM19" s="1" t="str">
        <f t="shared" si="1"/>
        <v>VILÁGOSPIROS</v>
      </c>
    </row>
    <row r="20" spans="2:39" ht="20.100000000000001" customHeight="1" x14ac:dyDescent="0.25">
      <c r="B20" s="40">
        <v>14</v>
      </c>
      <c r="C20" s="41">
        <v>16</v>
      </c>
      <c r="F20" s="90"/>
      <c r="G20" s="90"/>
      <c r="H20" s="44"/>
      <c r="I20" s="13" t="s">
        <v>51</v>
      </c>
      <c r="J20" s="18">
        <f>1/(J17*J53)</f>
        <v>2.6315301437152003</v>
      </c>
      <c r="K20" s="47" t="s">
        <v>45</v>
      </c>
      <c r="L20" s="84"/>
      <c r="M20" s="85"/>
      <c r="N20" s="86"/>
      <c r="T20" s="68"/>
      <c r="U20" s="68"/>
      <c r="V20" s="63" t="s">
        <v>135</v>
      </c>
      <c r="W20" s="63" t="s">
        <v>141</v>
      </c>
      <c r="X20" s="63" t="s">
        <v>147</v>
      </c>
      <c r="Y20" s="63" t="s">
        <v>147</v>
      </c>
      <c r="Z20" s="63" t="s">
        <v>161</v>
      </c>
      <c r="AA20" s="63" t="s">
        <v>168</v>
      </c>
      <c r="AB20" s="63" t="s">
        <v>176</v>
      </c>
      <c r="AC20" s="63" t="s">
        <v>183</v>
      </c>
      <c r="AD20" s="63" t="s">
        <v>193</v>
      </c>
      <c r="AE20" s="63" t="s">
        <v>201</v>
      </c>
      <c r="AF20" s="63" t="s">
        <v>209</v>
      </c>
      <c r="AG20" s="63" t="s">
        <v>209</v>
      </c>
      <c r="AH20" s="63" t="s">
        <v>225</v>
      </c>
      <c r="AI20" s="62" t="s">
        <v>233</v>
      </c>
      <c r="AJ20" s="66"/>
      <c r="AK20" s="59" t="b">
        <v>0</v>
      </c>
      <c r="AL20" s="1" t="str">
        <f t="shared" si="0"/>
        <v>VILÁGOS</v>
      </c>
      <c r="AM20" s="1" t="str">
        <f t="shared" si="1"/>
        <v>VILÁGOSPIROS</v>
      </c>
    </row>
    <row r="21" spans="2:39" ht="20.100000000000001" customHeight="1" x14ac:dyDescent="0.25">
      <c r="B21" s="40">
        <v>16</v>
      </c>
      <c r="C21" s="41">
        <v>17</v>
      </c>
      <c r="F21" s="90"/>
      <c r="G21" s="90"/>
      <c r="I21" s="13" t="s">
        <v>46</v>
      </c>
      <c r="J21" s="18">
        <f>LN(J46/J45)/(2*C11*PI()*C2*0.001)</f>
        <v>0.13692103973344261</v>
      </c>
      <c r="K21" s="47" t="s">
        <v>48</v>
      </c>
      <c r="L21" s="84"/>
      <c r="M21" s="85"/>
      <c r="N21" s="86"/>
      <c r="T21" s="68" t="s">
        <v>136</v>
      </c>
      <c r="U21" s="68" t="s">
        <v>134</v>
      </c>
      <c r="V21" s="63" t="s">
        <v>242</v>
      </c>
      <c r="W21" s="63" t="s">
        <v>246</v>
      </c>
      <c r="X21" s="63" t="s">
        <v>249</v>
      </c>
      <c r="Y21" s="63" t="s">
        <v>253</v>
      </c>
      <c r="Z21" s="63" t="s">
        <v>257</v>
      </c>
      <c r="AA21" s="63" t="s">
        <v>241</v>
      </c>
      <c r="AB21" s="63" t="s">
        <v>245</v>
      </c>
      <c r="AC21" s="63" t="s">
        <v>237</v>
      </c>
      <c r="AD21" s="63" t="s">
        <v>252</v>
      </c>
      <c r="AE21" s="63" t="s">
        <v>256</v>
      </c>
      <c r="AF21" s="63" t="s">
        <v>240</v>
      </c>
      <c r="AG21" s="63" t="s">
        <v>244</v>
      </c>
      <c r="AH21" s="63" t="s">
        <v>248</v>
      </c>
      <c r="AI21" s="62" t="s">
        <v>251</v>
      </c>
      <c r="AJ21" s="66"/>
      <c r="AK21" s="59" t="b">
        <v>0</v>
      </c>
      <c r="AL21" s="1" t="str">
        <f t="shared" si="0"/>
        <v>SÖTÉT</v>
      </c>
      <c r="AM21" s="1" t="str">
        <f t="shared" si="1"/>
        <v>SÖTÉTPIROS</v>
      </c>
    </row>
    <row r="22" spans="2:39" ht="20.100000000000001" customHeight="1" x14ac:dyDescent="0.25">
      <c r="B22" s="40">
        <v>18</v>
      </c>
      <c r="C22" s="41">
        <v>18</v>
      </c>
      <c r="F22" s="90"/>
      <c r="G22" s="90"/>
      <c r="H22" s="53"/>
      <c r="I22" s="13" t="s">
        <v>47</v>
      </c>
      <c r="J22" s="18">
        <f>LN(J47/J46)/(2*C11*PI()*C3*0.001)</f>
        <v>2.2267679581130113E-4</v>
      </c>
      <c r="K22" s="47" t="s">
        <v>49</v>
      </c>
      <c r="L22" s="84"/>
      <c r="M22" s="85"/>
      <c r="N22" s="86"/>
      <c r="T22" s="68"/>
      <c r="U22" s="68"/>
      <c r="V22" s="63" t="s">
        <v>134</v>
      </c>
      <c r="W22" s="63" t="s">
        <v>142</v>
      </c>
      <c r="X22" s="63" t="s">
        <v>148</v>
      </c>
      <c r="Y22" s="63" t="s">
        <v>153</v>
      </c>
      <c r="Z22" s="63" t="s">
        <v>162</v>
      </c>
      <c r="AA22" s="63" t="s">
        <v>169</v>
      </c>
      <c r="AB22" s="63" t="s">
        <v>177</v>
      </c>
      <c r="AC22" s="63" t="s">
        <v>184</v>
      </c>
      <c r="AD22" s="63" t="s">
        <v>184</v>
      </c>
      <c r="AE22" s="63" t="s">
        <v>202</v>
      </c>
      <c r="AF22" s="63" t="s">
        <v>210</v>
      </c>
      <c r="AG22" s="63" t="s">
        <v>218</v>
      </c>
      <c r="AH22" s="63" t="s">
        <v>226</v>
      </c>
      <c r="AI22" s="62" t="s">
        <v>234</v>
      </c>
      <c r="AJ22" s="66"/>
      <c r="AK22" s="59" t="b">
        <v>0</v>
      </c>
      <c r="AL22" s="1" t="str">
        <f t="shared" si="0"/>
        <v>SÖTÉT</v>
      </c>
      <c r="AM22" s="1" t="str">
        <f t="shared" si="1"/>
        <v>SÖTÉTPIROS</v>
      </c>
    </row>
    <row r="23" spans="2:39" ht="20.100000000000001" customHeight="1" x14ac:dyDescent="0.25">
      <c r="B23" s="40">
        <v>20</v>
      </c>
      <c r="C23" s="41">
        <v>19</v>
      </c>
      <c r="I23" s="13" t="s">
        <v>54</v>
      </c>
      <c r="J23" s="18">
        <f>J50/(C4*AVERAGE(J54:J55)/C10)</f>
        <v>0.91954022988505757</v>
      </c>
      <c r="K23" s="47" t="s">
        <v>110</v>
      </c>
      <c r="L23" s="84"/>
      <c r="M23" s="85"/>
      <c r="N23" s="86"/>
      <c r="T23" s="68"/>
      <c r="U23" s="68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2"/>
      <c r="AJ23" s="66"/>
      <c r="AK23" s="59"/>
      <c r="AL23" s="1" t="str">
        <f t="shared" si="0"/>
        <v/>
      </c>
      <c r="AM23" s="1" t="str">
        <f t="shared" si="1"/>
        <v/>
      </c>
    </row>
    <row r="24" spans="2:39" ht="20.100000000000001" customHeight="1" x14ac:dyDescent="0.25">
      <c r="B24" s="40">
        <v>30</v>
      </c>
      <c r="C24" s="41">
        <v>20</v>
      </c>
      <c r="I24" s="13" t="s">
        <v>55</v>
      </c>
      <c r="J24" s="18">
        <f>J18+J21+J22</f>
        <v>0.28052654814357397</v>
      </c>
      <c r="K24" s="47" t="s">
        <v>58</v>
      </c>
      <c r="L24" s="84"/>
      <c r="M24" s="85"/>
      <c r="N24" s="86"/>
      <c r="T24" s="68"/>
      <c r="U24" s="68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2"/>
      <c r="AJ24" s="66"/>
      <c r="AK24" s="59"/>
      <c r="AL24" s="1" t="str">
        <f t="shared" si="0"/>
        <v/>
      </c>
      <c r="AM24" s="1" t="str">
        <f t="shared" si="1"/>
        <v/>
      </c>
    </row>
    <row r="25" spans="2:39" ht="20.100000000000001" customHeight="1" x14ac:dyDescent="0.25">
      <c r="B25" s="40">
        <v>35</v>
      </c>
      <c r="C25" s="41">
        <v>21</v>
      </c>
      <c r="I25" s="13" t="s">
        <v>56</v>
      </c>
      <c r="J25" s="18">
        <f>J18+J21+J22+J23+J19</f>
        <v>3.0519186298804835</v>
      </c>
      <c r="K25" s="47" t="s">
        <v>115</v>
      </c>
      <c r="L25" s="84"/>
      <c r="M25" s="85"/>
      <c r="N25" s="86"/>
      <c r="T25" s="68"/>
      <c r="U25" s="68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2"/>
      <c r="AJ25" s="66"/>
      <c r="AK25" s="59"/>
      <c r="AL25" s="1" t="str">
        <f t="shared" si="0"/>
        <v/>
      </c>
      <c r="AM25" s="1" t="str">
        <f t="shared" si="1"/>
        <v/>
      </c>
    </row>
    <row r="26" spans="2:39" ht="20.100000000000001" customHeight="1" thickBot="1" x14ac:dyDescent="0.3">
      <c r="B26" s="40">
        <v>40</v>
      </c>
      <c r="C26" s="41">
        <v>22</v>
      </c>
      <c r="G26" s="61"/>
      <c r="I26" s="14" t="s">
        <v>57</v>
      </c>
      <c r="J26" s="22">
        <f>J21+J22+J18+J20</f>
        <v>2.9120566918587745</v>
      </c>
      <c r="K26" s="52" t="s">
        <v>59</v>
      </c>
      <c r="L26" s="87"/>
      <c r="M26" s="88"/>
      <c r="N26" s="89"/>
      <c r="T26" s="68"/>
      <c r="U26" s="68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2"/>
      <c r="AJ26" s="66"/>
      <c r="AK26" s="59"/>
      <c r="AL26" s="1" t="str">
        <f t="shared" si="0"/>
        <v/>
      </c>
      <c r="AM26" s="1" t="str">
        <f t="shared" si="1"/>
        <v/>
      </c>
    </row>
    <row r="27" spans="2:39" ht="20.100000000000001" customHeight="1" thickBot="1" x14ac:dyDescent="0.3">
      <c r="B27" s="40">
        <v>45</v>
      </c>
      <c r="C27" s="41">
        <v>23</v>
      </c>
      <c r="T27" s="68"/>
      <c r="U27" s="68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2"/>
      <c r="AJ27" s="66"/>
      <c r="AK27" s="59"/>
      <c r="AL27" s="1" t="str">
        <f t="shared" si="0"/>
        <v/>
      </c>
      <c r="AM27" s="1" t="str">
        <f t="shared" si="1"/>
        <v/>
      </c>
    </row>
    <row r="28" spans="2:39" ht="20.100000000000001" customHeight="1" thickBot="1" x14ac:dyDescent="0.3">
      <c r="B28" s="40"/>
      <c r="C28" s="41">
        <v>24</v>
      </c>
      <c r="I28" s="111" t="s">
        <v>67</v>
      </c>
      <c r="J28" s="112"/>
      <c r="K28" s="113"/>
      <c r="T28" s="68"/>
      <c r="U28" s="68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2"/>
      <c r="AJ28" s="66"/>
      <c r="AK28" s="59"/>
      <c r="AL28" s="1" t="str">
        <f t="shared" si="0"/>
        <v/>
      </c>
      <c r="AM28" s="1" t="str">
        <f t="shared" si="1"/>
        <v/>
      </c>
    </row>
    <row r="29" spans="2:39" ht="20.100000000000001" customHeight="1" x14ac:dyDescent="0.25">
      <c r="B29" s="40" t="s">
        <v>116</v>
      </c>
      <c r="C29" s="41">
        <v>25</v>
      </c>
      <c r="I29" s="11"/>
      <c r="J29" s="2" t="s">
        <v>63</v>
      </c>
      <c r="K29" s="105"/>
      <c r="L29" s="81" t="s">
        <v>91</v>
      </c>
      <c r="M29" s="82"/>
      <c r="N29" s="83"/>
      <c r="T29" s="68"/>
      <c r="U29" s="68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2"/>
      <c r="AJ29" s="66"/>
      <c r="AK29" s="59"/>
      <c r="AL29" s="1" t="str">
        <f t="shared" si="0"/>
        <v/>
      </c>
      <c r="AM29" s="1" t="str">
        <f t="shared" si="1"/>
        <v/>
      </c>
    </row>
    <row r="30" spans="2:39" ht="20.100000000000001" customHeight="1" x14ac:dyDescent="0.25">
      <c r="B30" s="40" t="s">
        <v>116</v>
      </c>
      <c r="C30" s="41">
        <v>26</v>
      </c>
      <c r="I30" s="13" t="s">
        <v>61</v>
      </c>
      <c r="J30" s="4">
        <v>19</v>
      </c>
      <c r="K30" s="106"/>
      <c r="L30" s="84"/>
      <c r="M30" s="85"/>
      <c r="N30" s="86"/>
      <c r="T30" s="68"/>
      <c r="U30" s="68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2"/>
      <c r="AJ30" s="66"/>
      <c r="AK30" s="59"/>
      <c r="AL30" s="1" t="str">
        <f t="shared" si="0"/>
        <v/>
      </c>
      <c r="AM30" s="1" t="str">
        <f t="shared" si="1"/>
        <v/>
      </c>
    </row>
    <row r="31" spans="2:39" ht="20.100000000000001" customHeight="1" x14ac:dyDescent="0.25">
      <c r="B31" s="40" t="s">
        <v>116</v>
      </c>
      <c r="C31" s="41">
        <v>27</v>
      </c>
      <c r="H31" s="57"/>
      <c r="I31" s="13" t="s">
        <v>62</v>
      </c>
      <c r="J31" s="58">
        <f>18+COUNT(C19:C32)</f>
        <v>32</v>
      </c>
      <c r="K31" s="106"/>
      <c r="L31" s="84"/>
      <c r="M31" s="85"/>
      <c r="N31" s="86"/>
      <c r="T31" s="68"/>
      <c r="U31" s="68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2"/>
      <c r="AJ31" s="66"/>
      <c r="AK31" s="59"/>
      <c r="AL31" s="1" t="str">
        <f t="shared" si="0"/>
        <v/>
      </c>
      <c r="AM31" s="1" t="str">
        <f t="shared" si="1"/>
        <v/>
      </c>
    </row>
    <row r="32" spans="2:39" ht="20.100000000000001" customHeight="1" thickBot="1" x14ac:dyDescent="0.3">
      <c r="B32" s="42" t="s">
        <v>116</v>
      </c>
      <c r="C32" s="43">
        <v>28</v>
      </c>
      <c r="I32" s="14" t="s">
        <v>65</v>
      </c>
      <c r="J32" s="6"/>
      <c r="K32" s="106"/>
      <c r="L32" s="84"/>
      <c r="M32" s="85"/>
      <c r="N32" s="86"/>
      <c r="T32" s="68"/>
      <c r="U32" s="68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2"/>
      <c r="AJ32" s="66"/>
      <c r="AK32" s="59"/>
      <c r="AL32" s="1" t="str">
        <f t="shared" si="0"/>
        <v/>
      </c>
      <c r="AM32" s="1" t="str">
        <f t="shared" si="1"/>
        <v/>
      </c>
    </row>
    <row r="33" spans="2:39" ht="20.100000000000001" customHeight="1" x14ac:dyDescent="0.25">
      <c r="B33" s="16"/>
      <c r="C33" s="16"/>
      <c r="I33" s="11"/>
      <c r="J33" s="2" t="s">
        <v>64</v>
      </c>
      <c r="K33" s="106"/>
      <c r="L33" s="84"/>
      <c r="M33" s="85"/>
      <c r="N33" s="86"/>
      <c r="T33" s="68"/>
      <c r="U33" s="68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2"/>
      <c r="AJ33" s="66"/>
      <c r="AK33" s="59"/>
      <c r="AL33" s="1" t="str">
        <f>IF(OR(T33&lt;&gt;"",T32&lt;&gt;""),IF(OR(MOD(ROW(AL33),4)=1,MOD(ROW(AL33),4)=2),"SÖTÉT","VILÁGOS"),"")</f>
        <v/>
      </c>
      <c r="AM33" s="1" t="str">
        <f>IF(AK33&lt;&gt;"",AL33&amp;IF(AK33,"KÉK","PIROS"),"")</f>
        <v/>
      </c>
    </row>
    <row r="34" spans="2:39" ht="20.100000000000001" customHeight="1" x14ac:dyDescent="0.25">
      <c r="I34" s="13" t="s">
        <v>61</v>
      </c>
      <c r="J34" s="4">
        <v>19</v>
      </c>
      <c r="K34" s="106"/>
      <c r="L34" s="84"/>
      <c r="M34" s="85"/>
      <c r="N34" s="86"/>
      <c r="T34" s="68"/>
      <c r="U34" s="68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2"/>
      <c r="AJ34" s="66"/>
      <c r="AK34" s="59"/>
      <c r="AL34" s="1" t="str">
        <f t="shared" ref="AL34:AL60" si="2">IF(OR(T34&lt;&gt;"",T33&lt;&gt;""),IF(OR(MOD(ROW(AL34),4)=1,MOD(ROW(AL34),4)=2),"SÖTÉT","VILÁGOS"),"")</f>
        <v/>
      </c>
      <c r="AM34" s="1" t="str">
        <f t="shared" ref="AM34:AM60" si="3">IF(AK34&lt;&gt;"",AL34&amp;IF(AK34,"KÉK","PIROS"),"")</f>
        <v/>
      </c>
    </row>
    <row r="35" spans="2:39" ht="20.100000000000001" customHeight="1" x14ac:dyDescent="0.25">
      <c r="I35" s="13" t="s">
        <v>62</v>
      </c>
      <c r="J35" s="58">
        <f>18+COUNT(B19:B32)</f>
        <v>27</v>
      </c>
      <c r="K35" s="106"/>
      <c r="L35" s="84"/>
      <c r="M35" s="85"/>
      <c r="N35" s="86"/>
      <c r="T35" s="68"/>
      <c r="U35" s="68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2"/>
      <c r="AJ35" s="66"/>
      <c r="AK35" s="59"/>
      <c r="AL35" s="1" t="str">
        <f t="shared" si="2"/>
        <v/>
      </c>
      <c r="AM35" s="1" t="str">
        <f t="shared" si="3"/>
        <v/>
      </c>
    </row>
    <row r="36" spans="2:39" ht="20.100000000000001" customHeight="1" thickBot="1" x14ac:dyDescent="0.3">
      <c r="I36" s="14" t="s">
        <v>65</v>
      </c>
      <c r="J36" s="6"/>
      <c r="K36" s="107"/>
      <c r="L36" s="87"/>
      <c r="M36" s="88"/>
      <c r="N36" s="89"/>
      <c r="T36" s="68"/>
      <c r="U36" s="68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2"/>
      <c r="AJ36" s="66"/>
      <c r="AK36" s="59"/>
      <c r="AL36" s="1" t="str">
        <f t="shared" si="2"/>
        <v/>
      </c>
      <c r="AM36" s="1" t="str">
        <f t="shared" si="3"/>
        <v/>
      </c>
    </row>
    <row r="37" spans="2:39" ht="20.100000000000001" customHeight="1" thickBot="1" x14ac:dyDescent="0.3">
      <c r="T37" s="68"/>
      <c r="U37" s="68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2"/>
      <c r="AJ37" s="66"/>
      <c r="AK37" s="59"/>
      <c r="AL37" s="1" t="str">
        <f t="shared" si="2"/>
        <v/>
      </c>
      <c r="AM37" s="1" t="str">
        <f t="shared" si="3"/>
        <v/>
      </c>
    </row>
    <row r="38" spans="2:39" ht="20.100000000000001" customHeight="1" thickBot="1" x14ac:dyDescent="0.3">
      <c r="I38" s="108" t="s">
        <v>66</v>
      </c>
      <c r="J38" s="109"/>
      <c r="K38" s="110"/>
      <c r="T38" s="68"/>
      <c r="U38" s="68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2"/>
      <c r="AJ38" s="66"/>
      <c r="AK38" s="59"/>
      <c r="AL38" s="1" t="str">
        <f t="shared" si="2"/>
        <v/>
      </c>
      <c r="AM38" s="1" t="str">
        <f t="shared" si="3"/>
        <v/>
      </c>
    </row>
    <row r="39" spans="2:39" ht="20.100000000000001" customHeight="1" x14ac:dyDescent="0.25">
      <c r="I39" s="11" t="s">
        <v>68</v>
      </c>
      <c r="J39" s="25">
        <f>INDEX(A1:C40,J32,3)</f>
        <v>0</v>
      </c>
      <c r="K39" s="46" t="s">
        <v>72</v>
      </c>
      <c r="T39" s="68"/>
      <c r="U39" s="68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2"/>
      <c r="AJ39" s="66"/>
      <c r="AK39" s="59"/>
      <c r="AL39" s="1" t="str">
        <f t="shared" si="2"/>
        <v/>
      </c>
      <c r="AM39" s="1" t="str">
        <f t="shared" si="3"/>
        <v/>
      </c>
    </row>
    <row r="40" spans="2:39" ht="20.100000000000001" customHeight="1" x14ac:dyDescent="0.25">
      <c r="I40" s="13" t="s">
        <v>69</v>
      </c>
      <c r="J40" s="26">
        <f>INDEX(A1:C40,J36,2)</f>
        <v>0</v>
      </c>
      <c r="K40" s="47" t="s">
        <v>73</v>
      </c>
      <c r="T40" s="68"/>
      <c r="U40" s="68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2"/>
      <c r="AJ40" s="66"/>
      <c r="AK40" s="59"/>
      <c r="AL40" s="1" t="str">
        <f t="shared" si="2"/>
        <v/>
      </c>
      <c r="AM40" s="1" t="str">
        <f t="shared" si="3"/>
        <v/>
      </c>
    </row>
    <row r="41" spans="2:39" ht="20.100000000000001" customHeight="1" x14ac:dyDescent="0.25">
      <c r="I41" s="13" t="s">
        <v>70</v>
      </c>
      <c r="J41" s="26">
        <f>IF(ABS(J40-MAX(C19:C32))&gt;ABS(J40-MIN(C19:C32)),J40+C16,J40-C15)</f>
        <v>2</v>
      </c>
      <c r="K41" s="47" t="s">
        <v>74</v>
      </c>
      <c r="T41" s="68"/>
      <c r="U41" s="68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2"/>
      <c r="AJ41" s="66"/>
      <c r="AK41" s="59"/>
      <c r="AL41" s="1" t="str">
        <f t="shared" si="2"/>
        <v/>
      </c>
      <c r="AM41" s="1" t="str">
        <f t="shared" si="3"/>
        <v/>
      </c>
    </row>
    <row r="42" spans="2:39" ht="20.100000000000001" customHeight="1" thickBot="1" x14ac:dyDescent="0.3">
      <c r="I42" s="14" t="s">
        <v>71</v>
      </c>
      <c r="J42" s="27">
        <f>AVERAGE(J40:J41)</f>
        <v>1</v>
      </c>
      <c r="K42" s="52" t="s">
        <v>75</v>
      </c>
      <c r="T42" s="68"/>
      <c r="U42" s="68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2"/>
      <c r="AJ42" s="66"/>
      <c r="AK42" s="59"/>
      <c r="AL42" s="1" t="str">
        <f t="shared" si="2"/>
        <v/>
      </c>
      <c r="AM42" s="1" t="str">
        <f t="shared" si="3"/>
        <v/>
      </c>
    </row>
    <row r="43" spans="2:39" ht="20.100000000000001" customHeight="1" thickBot="1" x14ac:dyDescent="0.3">
      <c r="T43" s="68"/>
      <c r="U43" s="68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2"/>
      <c r="AJ43" s="66"/>
      <c r="AK43" s="59"/>
      <c r="AL43" s="1" t="str">
        <f t="shared" si="2"/>
        <v/>
      </c>
      <c r="AM43" s="1" t="str">
        <f t="shared" si="3"/>
        <v/>
      </c>
    </row>
    <row r="44" spans="2:39" ht="20.100000000000001" customHeight="1" thickBot="1" x14ac:dyDescent="0.3">
      <c r="I44" s="94" t="s">
        <v>97</v>
      </c>
      <c r="J44" s="95"/>
      <c r="K44" s="96"/>
      <c r="T44" s="68"/>
      <c r="U44" s="68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2"/>
      <c r="AJ44" s="66"/>
      <c r="AK44" s="59"/>
      <c r="AL44" s="1" t="str">
        <f t="shared" si="2"/>
        <v/>
      </c>
      <c r="AM44" s="1" t="str">
        <f t="shared" si="3"/>
        <v/>
      </c>
    </row>
    <row r="45" spans="2:39" ht="20.100000000000001" customHeight="1" x14ac:dyDescent="0.25">
      <c r="I45" s="11" t="s">
        <v>18</v>
      </c>
      <c r="J45" s="12">
        <f>D_cső_belső*0.001</f>
        <v>7.4000000000000003E-3</v>
      </c>
      <c r="K45" s="46" t="s">
        <v>22</v>
      </c>
      <c r="L45" s="81" t="s">
        <v>50</v>
      </c>
      <c r="M45" s="97"/>
      <c r="N45" s="98"/>
      <c r="T45" s="68"/>
      <c r="U45" s="68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2"/>
      <c r="AJ45" s="66"/>
      <c r="AK45" s="59"/>
      <c r="AL45" s="1" t="str">
        <f t="shared" si="2"/>
        <v/>
      </c>
      <c r="AM45" s="1" t="str">
        <f t="shared" si="3"/>
        <v/>
      </c>
    </row>
    <row r="46" spans="2:39" ht="20.100000000000001" customHeight="1" x14ac:dyDescent="0.25">
      <c r="I46" s="13" t="s">
        <v>19</v>
      </c>
      <c r="J46" s="9">
        <f>D_cső_külső*0.001</f>
        <v>0.01</v>
      </c>
      <c r="K46" s="47" t="s">
        <v>23</v>
      </c>
      <c r="L46" s="99"/>
      <c r="M46" s="100"/>
      <c r="N46" s="101"/>
      <c r="T46" s="68"/>
      <c r="U46" s="68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2"/>
      <c r="AJ46" s="66"/>
      <c r="AK46" s="59"/>
      <c r="AL46" s="1" t="str">
        <f t="shared" si="2"/>
        <v/>
      </c>
      <c r="AM46" s="1" t="str">
        <f t="shared" si="3"/>
        <v/>
      </c>
    </row>
    <row r="47" spans="2:39" ht="20.100000000000001" customHeight="1" x14ac:dyDescent="0.25">
      <c r="I47" s="13" t="s">
        <v>20</v>
      </c>
      <c r="J47" s="9">
        <f>J46+0.002*Lemezvastagság</f>
        <v>1.12E-2</v>
      </c>
      <c r="K47" s="47" t="s">
        <v>24</v>
      </c>
      <c r="L47" s="99"/>
      <c r="M47" s="100"/>
      <c r="N47" s="101"/>
      <c r="T47" s="68"/>
      <c r="U47" s="68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2"/>
      <c r="AJ47" s="66"/>
      <c r="AK47" s="59"/>
      <c r="AL47" s="1" t="str">
        <f t="shared" si="2"/>
        <v/>
      </c>
      <c r="AM47" s="1" t="str">
        <f t="shared" si="3"/>
        <v/>
      </c>
    </row>
    <row r="48" spans="2:39" ht="20.100000000000001" customHeight="1" x14ac:dyDescent="0.25">
      <c r="I48" s="13" t="s">
        <v>25</v>
      </c>
      <c r="J48" s="9">
        <f>(J46-J45)/2</f>
        <v>1.2999999999999999E-3</v>
      </c>
      <c r="K48" s="47" t="s">
        <v>27</v>
      </c>
      <c r="L48" s="99"/>
      <c r="M48" s="100"/>
      <c r="N48" s="101"/>
      <c r="T48" s="68"/>
      <c r="U48" s="68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2"/>
      <c r="AJ48" s="66"/>
      <c r="AK48" s="59"/>
      <c r="AL48" s="1" t="str">
        <f t="shared" si="2"/>
        <v/>
      </c>
      <c r="AM48" s="1" t="str">
        <f t="shared" si="3"/>
        <v/>
      </c>
    </row>
    <row r="49" spans="9:39" ht="20.100000000000001" customHeight="1" x14ac:dyDescent="0.25">
      <c r="I49" s="13" t="s">
        <v>26</v>
      </c>
      <c r="J49" s="9">
        <f>(J47-J46)/2</f>
        <v>5.9999999999999984E-4</v>
      </c>
      <c r="K49" s="47" t="s">
        <v>28</v>
      </c>
      <c r="L49" s="99"/>
      <c r="M49" s="100"/>
      <c r="N49" s="101"/>
      <c r="T49" s="68"/>
      <c r="U49" s="68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2"/>
      <c r="AJ49" s="66"/>
      <c r="AK49" s="59"/>
      <c r="AL49" s="1" t="str">
        <f t="shared" si="2"/>
        <v/>
      </c>
      <c r="AM49" s="1" t="str">
        <f t="shared" si="3"/>
        <v/>
      </c>
    </row>
    <row r="50" spans="9:39" ht="20.100000000000001" customHeight="1" x14ac:dyDescent="0.25">
      <c r="I50" s="13" t="s">
        <v>29</v>
      </c>
      <c r="J50" s="9">
        <f>GK_vast*0.001</f>
        <v>0.01</v>
      </c>
      <c r="K50" s="47" t="s">
        <v>30</v>
      </c>
      <c r="L50" s="99"/>
      <c r="M50" s="100"/>
      <c r="N50" s="101"/>
      <c r="T50" s="68"/>
      <c r="U50" s="68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2"/>
      <c r="AJ50" s="66"/>
      <c r="AK50" s="59"/>
      <c r="AL50" s="1" t="str">
        <f t="shared" si="2"/>
        <v/>
      </c>
      <c r="AM50" s="1" t="str">
        <f t="shared" si="3"/>
        <v/>
      </c>
    </row>
    <row r="51" spans="9:39" ht="20.100000000000001" customHeight="1" x14ac:dyDescent="0.25">
      <c r="I51" s="13" t="s">
        <v>31</v>
      </c>
      <c r="J51" s="10">
        <f>J45*PI()*Hossz*0.001</f>
        <v>2.3247785636564475E-2</v>
      </c>
      <c r="K51" s="47" t="s">
        <v>107</v>
      </c>
      <c r="L51" s="99"/>
      <c r="M51" s="100"/>
      <c r="N51" s="101"/>
      <c r="T51" s="68"/>
      <c r="U51" s="68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2"/>
      <c r="AJ51" s="66"/>
      <c r="AK51" s="59"/>
      <c r="AL51" s="1" t="str">
        <f t="shared" si="2"/>
        <v/>
      </c>
      <c r="AM51" s="1" t="str">
        <f t="shared" si="3"/>
        <v/>
      </c>
    </row>
    <row r="52" spans="9:39" ht="20.100000000000001" customHeight="1" x14ac:dyDescent="0.25">
      <c r="I52" s="13" t="s">
        <v>32</v>
      </c>
      <c r="J52" s="10">
        <f>J46*PI()*Hossz/1000</f>
        <v>3.1415926535897934E-2</v>
      </c>
      <c r="K52" s="47" t="s">
        <v>108</v>
      </c>
      <c r="L52" s="99"/>
      <c r="M52" s="100"/>
      <c r="N52" s="101"/>
      <c r="T52" s="68"/>
      <c r="U52" s="68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2"/>
      <c r="AJ52" s="66"/>
      <c r="AK52" s="59"/>
      <c r="AL52" s="1" t="str">
        <f t="shared" si="2"/>
        <v/>
      </c>
      <c r="AM52" s="1" t="str">
        <f t="shared" si="3"/>
        <v/>
      </c>
    </row>
    <row r="53" spans="9:39" ht="20.100000000000001" customHeight="1" x14ac:dyDescent="0.25">
      <c r="I53" s="13" t="s">
        <v>33</v>
      </c>
      <c r="J53" s="10">
        <f>J47*PI()*Hossz/1000</f>
        <v>3.5185837720205684E-2</v>
      </c>
      <c r="K53" s="47" t="s">
        <v>109</v>
      </c>
      <c r="L53" s="99"/>
      <c r="M53" s="100"/>
      <c r="N53" s="101"/>
      <c r="T53" s="68"/>
      <c r="U53" s="68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2"/>
      <c r="AJ53" s="66"/>
      <c r="AK53" s="59"/>
      <c r="AL53" s="1" t="str">
        <f t="shared" si="2"/>
        <v/>
      </c>
      <c r="AM53" s="1" t="str">
        <f t="shared" si="3"/>
        <v/>
      </c>
    </row>
    <row r="54" spans="9:39" ht="20.100000000000001" customHeight="1" x14ac:dyDescent="0.25">
      <c r="I54" s="13" t="s">
        <v>34</v>
      </c>
      <c r="J54" s="10">
        <f>(Csőköz*Csőszám*Hossz)/1000000</f>
        <v>0.29599999999999999</v>
      </c>
      <c r="K54" s="47" t="s">
        <v>36</v>
      </c>
      <c r="L54" s="99"/>
      <c r="M54" s="100"/>
      <c r="N54" s="101"/>
      <c r="T54" s="68"/>
      <c r="U54" s="68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2"/>
      <c r="AJ54" s="66"/>
      <c r="AK54" s="59"/>
      <c r="AL54" s="1" t="str">
        <f t="shared" si="2"/>
        <v/>
      </c>
      <c r="AM54" s="1" t="str">
        <f t="shared" si="3"/>
        <v/>
      </c>
    </row>
    <row r="55" spans="9:39" ht="20.100000000000001" customHeight="1" thickBot="1" x14ac:dyDescent="0.3">
      <c r="I55" s="14" t="s">
        <v>35</v>
      </c>
      <c r="J55" s="15">
        <f>Hossz*Szélesség/1000000</f>
        <v>0.4</v>
      </c>
      <c r="K55" s="52" t="s">
        <v>37</v>
      </c>
      <c r="L55" s="102"/>
      <c r="M55" s="103"/>
      <c r="N55" s="104"/>
      <c r="T55" s="68"/>
      <c r="U55" s="68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2"/>
      <c r="AJ55" s="66"/>
      <c r="AK55" s="59"/>
      <c r="AL55" s="1" t="str">
        <f t="shared" si="2"/>
        <v/>
      </c>
      <c r="AM55" s="1" t="str">
        <f t="shared" si="3"/>
        <v/>
      </c>
    </row>
    <row r="56" spans="9:39" ht="20.100000000000001" customHeight="1" x14ac:dyDescent="0.25">
      <c r="T56" s="68"/>
      <c r="U56" s="68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2"/>
      <c r="AJ56" s="66"/>
      <c r="AK56" s="59"/>
      <c r="AL56" s="1" t="str">
        <f t="shared" si="2"/>
        <v/>
      </c>
      <c r="AM56" s="1" t="str">
        <f t="shared" si="3"/>
        <v/>
      </c>
    </row>
    <row r="57" spans="9:39" ht="20.100000000000001" customHeight="1" x14ac:dyDescent="0.25">
      <c r="T57" s="68"/>
      <c r="U57" s="68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2"/>
      <c r="AJ57" s="66"/>
      <c r="AK57" s="59"/>
      <c r="AL57" s="1" t="str">
        <f t="shared" si="2"/>
        <v/>
      </c>
      <c r="AM57" s="1" t="str">
        <f t="shared" si="3"/>
        <v/>
      </c>
    </row>
    <row r="58" spans="9:39" ht="20.100000000000001" customHeight="1" x14ac:dyDescent="0.25">
      <c r="T58" s="68"/>
      <c r="U58" s="68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2"/>
      <c r="AJ58" s="66"/>
      <c r="AK58" s="59"/>
      <c r="AL58" s="1" t="str">
        <f t="shared" si="2"/>
        <v/>
      </c>
      <c r="AM58" s="1" t="str">
        <f t="shared" si="3"/>
        <v/>
      </c>
    </row>
    <row r="59" spans="9:39" ht="20.100000000000001" customHeight="1" x14ac:dyDescent="0.25">
      <c r="T59" s="68"/>
      <c r="U59" s="68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2"/>
      <c r="AJ59" s="66"/>
      <c r="AK59" s="59"/>
      <c r="AL59" s="1" t="str">
        <f t="shared" si="2"/>
        <v/>
      </c>
      <c r="AM59" s="1" t="str">
        <f t="shared" si="3"/>
        <v/>
      </c>
    </row>
    <row r="60" spans="9:39" ht="20.100000000000001" customHeight="1" x14ac:dyDescent="0.25">
      <c r="T60" s="68"/>
      <c r="U60" s="68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2"/>
      <c r="AJ60" s="66"/>
      <c r="AK60" s="59"/>
      <c r="AL60" s="1" t="str">
        <f t="shared" si="2"/>
        <v/>
      </c>
      <c r="AM60" s="1" t="str">
        <f t="shared" si="3"/>
        <v/>
      </c>
    </row>
    <row r="61" spans="9:39" ht="20.100000000000001" customHeight="1" x14ac:dyDescent="0.25">
      <c r="T61" s="68"/>
      <c r="U61" s="68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2"/>
      <c r="AJ61" s="66"/>
      <c r="AK61" s="59"/>
      <c r="AL61" s="1" t="str">
        <f t="shared" ref="AL61:AL64" si="4">IF(OR(T61&lt;&gt;"",T60&lt;&gt;""),IF(OR(MOD(ROW(AL61),4)=1,MOD(ROW(AL61),4)=2),"SÖTÉT","VILÁGOS"),"")</f>
        <v/>
      </c>
      <c r="AM61" s="1" t="str">
        <f t="shared" ref="AM61:AM64" si="5">IF(AK61&lt;&gt;"",AL61&amp;IF(AK61,"KÉK","PIROS"),"")</f>
        <v/>
      </c>
    </row>
    <row r="62" spans="9:39" ht="20.100000000000001" customHeight="1" x14ac:dyDescent="0.25">
      <c r="T62" s="68"/>
      <c r="U62" s="68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2"/>
      <c r="AJ62" s="66"/>
      <c r="AK62" s="59"/>
      <c r="AL62" s="1" t="str">
        <f t="shared" si="4"/>
        <v/>
      </c>
      <c r="AM62" s="1" t="str">
        <f t="shared" si="5"/>
        <v/>
      </c>
    </row>
    <row r="63" spans="9:39" ht="20.100000000000001" customHeight="1" x14ac:dyDescent="0.25">
      <c r="T63" s="68"/>
      <c r="U63" s="68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2"/>
      <c r="AJ63" s="66"/>
      <c r="AK63" s="59"/>
      <c r="AL63" s="1" t="str">
        <f t="shared" si="4"/>
        <v/>
      </c>
      <c r="AM63" s="1" t="str">
        <f t="shared" si="5"/>
        <v/>
      </c>
    </row>
    <row r="64" spans="9:39" ht="20.100000000000001" customHeight="1" x14ac:dyDescent="0.25">
      <c r="T64" s="68"/>
      <c r="U64" s="68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2"/>
      <c r="AJ64" s="66"/>
      <c r="AK64" s="59"/>
      <c r="AL64" s="1" t="str">
        <f t="shared" si="4"/>
        <v/>
      </c>
      <c r="AM64" s="1" t="str">
        <f t="shared" si="5"/>
        <v/>
      </c>
    </row>
    <row r="65" spans="20:37" ht="20.100000000000001" customHeight="1" x14ac:dyDescent="0.25">
      <c r="T65" s="68"/>
      <c r="U65" s="68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2"/>
      <c r="AJ65" s="66"/>
      <c r="AK65" s="59"/>
    </row>
    <row r="66" spans="20:37" ht="20.100000000000001" customHeight="1" x14ac:dyDescent="0.25">
      <c r="T66" s="68"/>
      <c r="U66" s="68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2"/>
      <c r="AJ66" s="66"/>
      <c r="AK66" s="59"/>
    </row>
    <row r="67" spans="20:37" ht="20.100000000000001" customHeight="1" x14ac:dyDescent="0.25">
      <c r="T67" s="68"/>
      <c r="U67" s="68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2"/>
      <c r="AJ67" s="66"/>
      <c r="AK67" s="59"/>
    </row>
    <row r="68" spans="20:37" ht="20.100000000000001" customHeight="1" x14ac:dyDescent="0.25">
      <c r="T68" s="68"/>
      <c r="U68" s="68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2"/>
      <c r="AJ68" s="66"/>
      <c r="AK68" s="59"/>
    </row>
    <row r="69" spans="20:37" ht="20.100000000000001" customHeight="1" x14ac:dyDescent="0.25">
      <c r="T69" s="68"/>
      <c r="U69" s="68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2"/>
      <c r="AJ69" s="66"/>
      <c r="AK69" s="59"/>
    </row>
    <row r="70" spans="20:37" ht="20.100000000000001" customHeight="1" x14ac:dyDescent="0.25">
      <c r="T70" s="68"/>
      <c r="U70" s="68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2"/>
      <c r="AJ70" s="66"/>
      <c r="AK70" s="59"/>
    </row>
    <row r="71" spans="20:37" ht="20.100000000000001" customHeight="1" x14ac:dyDescent="0.25"/>
    <row r="72" spans="20:37" ht="20.100000000000001" customHeight="1" x14ac:dyDescent="0.25"/>
    <row r="73" spans="20:37" ht="20.100000000000001" customHeight="1" x14ac:dyDescent="0.25"/>
    <row r="74" spans="20:37" ht="20.100000000000001" customHeight="1" x14ac:dyDescent="0.25"/>
  </sheetData>
  <sheetProtection selectLockedCells="1"/>
  <mergeCells count="14">
    <mergeCell ref="I44:K44"/>
    <mergeCell ref="I15:K15"/>
    <mergeCell ref="L45:N55"/>
    <mergeCell ref="L16:N26"/>
    <mergeCell ref="K29:K36"/>
    <mergeCell ref="L29:N36"/>
    <mergeCell ref="I38:K38"/>
    <mergeCell ref="I28:K28"/>
    <mergeCell ref="B17:B18"/>
    <mergeCell ref="C17:C18"/>
    <mergeCell ref="L4:N13"/>
    <mergeCell ref="F14:G22"/>
    <mergeCell ref="P3:R3"/>
    <mergeCell ref="I3:K3"/>
  </mergeCells>
  <conditionalFormatting sqref="B19:C32">
    <cfRule type="expression" dxfId="20" priority="24">
      <formula>OR(AND(ROW(B19)=$J$32,COLUMN(B19)=3),AND(ROW(B19)=$J$36,COLUMN(B19)=2))</formula>
    </cfRule>
  </conditionalFormatting>
  <conditionalFormatting sqref="Q5">
    <cfRule type="expression" dxfId="19" priority="23">
      <formula>Q5</formula>
    </cfRule>
  </conditionalFormatting>
  <conditionalFormatting sqref="Q6">
    <cfRule type="expression" dxfId="18" priority="22">
      <formula>Q6</formula>
    </cfRule>
  </conditionalFormatting>
  <conditionalFormatting sqref="Q4">
    <cfRule type="expression" dxfId="17" priority="21">
      <formula>Q4</formula>
    </cfRule>
  </conditionalFormatting>
  <conditionalFormatting sqref="T3:AJ70">
    <cfRule type="expression" dxfId="16" priority="5">
      <formula>OR(T3="Belépő",T3="Kilépő")</formula>
    </cfRule>
    <cfRule type="expression" dxfId="15" priority="6">
      <formula>NOT(ISERROR(SEARCH("közeg",S3)))</formula>
    </cfRule>
    <cfRule type="expression" dxfId="14" priority="9">
      <formula>AND($AM3="VILÁGOSPIROS",T$4&lt;&gt;"")</formula>
    </cfRule>
    <cfRule type="expression" dxfId="13" priority="10">
      <formula>AND($AM3="SÖTÉTPIROS",T$4&lt;&gt;"")</formula>
    </cfRule>
    <cfRule type="expression" dxfId="12" priority="11">
      <formula>AND($AM3="VILÁGOSKÉK",T$4&lt;&gt;"")</formula>
    </cfRule>
    <cfRule type="expression" dxfId="11" priority="12">
      <formula>AND($AM3="SÖTÉTKÉK",T$4&lt;&gt;"")</formula>
    </cfRule>
    <cfRule type="expression" dxfId="10" priority="13">
      <formula>AND(MOD(ROW(T3),2)=0,$T2&lt;&gt;"",T$4&lt;&gt;"")</formula>
    </cfRule>
    <cfRule type="expression" dxfId="9" priority="14">
      <formula>AND(MOD(ROW(T3),2)=1,$T3&lt;&gt;"",T$4&lt;&gt;"")</formula>
    </cfRule>
    <cfRule type="expression" dxfId="8" priority="20">
      <formula>NOT(ISERROR(SEARCH("közeg",T3)))</formula>
    </cfRule>
  </conditionalFormatting>
  <conditionalFormatting sqref="U2">
    <cfRule type="expression" dxfId="7" priority="19">
      <formula>U4&lt;&gt;""</formula>
    </cfRule>
  </conditionalFormatting>
  <conditionalFormatting sqref="V3">
    <cfRule type="expression" dxfId="6" priority="17">
      <formula>V3&lt;&gt;""</formula>
    </cfRule>
  </conditionalFormatting>
  <conditionalFormatting sqref="V4:AI4">
    <cfRule type="expression" dxfId="5" priority="16">
      <formula>V4&lt;&gt;""</formula>
    </cfRule>
  </conditionalFormatting>
  <conditionalFormatting sqref="V2:AI2">
    <cfRule type="expression" dxfId="4" priority="15">
      <formula>V4&lt;&gt;""</formula>
    </cfRule>
  </conditionalFormatting>
  <conditionalFormatting sqref="V3:AJ70">
    <cfRule type="expression" dxfId="3" priority="3">
      <formula>AND(OR(ROW(V3)=4,ROW(V3)=$R$12+1),V3&lt;&gt;"")</formula>
    </cfRule>
    <cfRule type="expression" dxfId="2" priority="4">
      <formula>AND(OR(ROW(V3)=3,ROW(V3)=$R$12),V4&lt;&gt;"")</formula>
    </cfRule>
  </conditionalFormatting>
  <conditionalFormatting sqref="F14:G22">
    <cfRule type="expression" dxfId="1" priority="2">
      <formula>F14&lt;&gt;""</formula>
    </cfRule>
  </conditionalFormatting>
  <conditionalFormatting sqref="T3:AK60">
    <cfRule type="expression" dxfId="0" priority="1">
      <formula>AND($T$3&lt;&gt;"",OR(AND(ROW(T3)=3,COLUMN(T3)=$R$13),AND(ROW(T3)=$R$12,COLUMN(T3)=$R$13)))</formula>
    </cfRule>
  </conditionalFormatting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Csomagoló felületobjektum" shapeId="1030" r:id="rId4">
          <objectPr defaultSize="0" autoPict="0" r:id="rId5">
            <anchor moveWithCells="1">
              <from>
                <xdr:col>5</xdr:col>
                <xdr:colOff>114300</xdr:colOff>
                <xdr:row>2</xdr:row>
                <xdr:rowOff>171450</xdr:rowOff>
              </from>
              <to>
                <xdr:col>5</xdr:col>
                <xdr:colOff>152400</xdr:colOff>
                <xdr:row>2</xdr:row>
                <xdr:rowOff>209550</xdr:rowOff>
              </to>
            </anchor>
          </objectPr>
        </oleObject>
      </mc:Choice>
      <mc:Fallback>
        <oleObject progId="Csomagoló felületobjektum" shapeId="1030" r:id="rId4"/>
      </mc:Fallback>
    </mc:AlternateContent>
    <mc:AlternateContent xmlns:mc="http://schemas.openxmlformats.org/markup-compatibility/2006">
      <mc:Choice Requires="x14">
        <oleObject progId="Csomagoló felületobjektum" shapeId="1031" r:id="rId6">
          <objectPr defaultSize="0" autoPict="0" r:id="rId7">
            <anchor moveWithCells="1">
              <from>
                <xdr:col>5</xdr:col>
                <xdr:colOff>285750</xdr:colOff>
                <xdr:row>1</xdr:row>
                <xdr:rowOff>228600</xdr:rowOff>
              </from>
              <to>
                <xdr:col>5</xdr:col>
                <xdr:colOff>657225</xdr:colOff>
                <xdr:row>2</xdr:row>
                <xdr:rowOff>133350</xdr:rowOff>
              </to>
            </anchor>
          </objectPr>
        </oleObject>
      </mc:Choice>
      <mc:Fallback>
        <oleObject progId="Csomagoló felületobjektum" shapeId="1031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calc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reset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0" name="Button 4">
              <controlPr defaultSize="0" print="0" autoFill="0" autoPict="0" macro="[0]!HideShowCalc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calcm2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</vt:i4>
      </vt:variant>
      <vt:variant>
        <vt:lpstr>Névvel ellátott tartományok</vt:lpstr>
      </vt:variant>
      <vt:variant>
        <vt:i4>19</vt:i4>
      </vt:variant>
    </vt:vector>
  </HeadingPairs>
  <TitlesOfParts>
    <vt:vector size="20" baseType="lpstr">
      <vt:lpstr>Munka1</vt:lpstr>
      <vt:lpstr>alfa_belső</vt:lpstr>
      <vt:lpstr>alfa_külső</vt:lpstr>
      <vt:lpstr>Csőköz</vt:lpstr>
      <vt:lpstr>Csőszám</vt:lpstr>
      <vt:lpstr>D_cső_belső</vt:lpstr>
      <vt:lpstr>D_cső_külső</vt:lpstr>
      <vt:lpstr>delta_T</vt:lpstr>
      <vt:lpstr>GK_vast</vt:lpstr>
      <vt:lpstr>Hossz</vt:lpstr>
      <vt:lpstr>Hűtés</vt:lpstr>
      <vt:lpstr>lambda_acél</vt:lpstr>
      <vt:lpstr>lambda_GK</vt:lpstr>
      <vt:lpstr>lambda_PE</vt:lpstr>
      <vt:lpstr>Lemezvastagság</vt:lpstr>
      <vt:lpstr>Levegő_hőmérséklet</vt:lpstr>
      <vt:lpstr>Szélesség</vt:lpstr>
      <vt:lpstr>Víz_átlagos_hőmérséklet</vt:lpstr>
      <vt:lpstr>Víz_bemenő_hőmérséklet</vt:lpstr>
      <vt:lpstr>Víz_kimenő_hőmérséklet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hármas</dc:creator>
  <cp:lastModifiedBy>Szalai István</cp:lastModifiedBy>
  <dcterms:created xsi:type="dcterms:W3CDTF">2021-06-09T08:40:49Z</dcterms:created>
  <dcterms:modified xsi:type="dcterms:W3CDTF">2022-03-19T10:03:58Z</dcterms:modified>
</cp:coreProperties>
</file>