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ala\Desktop\apparat-heating-planner\xlsx\"/>
    </mc:Choice>
  </mc:AlternateContent>
  <bookViews>
    <workbookView xWindow="0" yWindow="0" windowWidth="16380" windowHeight="8196" tabRatio="500" activeTab="1"/>
  </bookViews>
  <sheets>
    <sheet name="Alap" sheetId="1" r:id="rId1"/>
    <sheet name="Ajánlat részletek" sheetId="2" r:id="rId2"/>
    <sheet name="Tervrajz" sheetId="3" r:id="rId3"/>
    <sheet name="Harmatpont segédlet" sheetId="4" r:id="rId4"/>
    <sheet name="Részletes hőtani segédlet" sheetId="5" r:id="rId5"/>
  </sheets>
  <definedNames>
    <definedName name="alfa_belső">'Részletes hőtani segédlet'!$C$5</definedName>
    <definedName name="alfa_külső">'Részletes hőtani segédlet'!$C$6</definedName>
    <definedName name="Csőköz">'Részletes hőtani segédlet'!$C$9</definedName>
    <definedName name="Csőszám">'Részletes hőtani segédlet'!$C$10</definedName>
    <definedName name="D_cső_belső">'Részletes hőtani segédlet'!$C$7</definedName>
    <definedName name="D_cső_külső">'Részletes hőtani segédlet'!$C$8</definedName>
    <definedName name="GK_vast">'Részletes hőtani segédlet'!$C$14</definedName>
    <definedName name="Hossz">'Részletes hőtani segédlet'!$C$11</definedName>
    <definedName name="lambda_GK">'Részletes hőtani segédlet'!$C$4</definedName>
    <definedName name="Lemezvastagság">'Részletes hőtani segédlet'!$C$13</definedName>
    <definedName name="Szélesség">'Részletes hőtani segédlet'!$C$12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3" i="4" l="1"/>
  <c r="AE1" i="4" s="1"/>
  <c r="W7" i="4"/>
  <c r="V9" i="4" s="1"/>
  <c r="AA4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" i="4"/>
  <c r="A3" i="4"/>
  <c r="W8" i="4"/>
  <c r="AA2" i="4"/>
  <c r="AD39" i="5"/>
  <c r="AE38" i="5"/>
  <c r="AD38" i="5"/>
  <c r="AE37" i="5"/>
  <c r="AD37" i="5"/>
  <c r="AE36" i="5"/>
  <c r="AD36" i="5"/>
  <c r="AD42" i="5" s="1"/>
  <c r="AA15" i="5"/>
  <c r="X15" i="5"/>
  <c r="AA14" i="5"/>
  <c r="J3" i="5"/>
  <c r="X7" i="4" l="1"/>
  <c r="AK1" i="4"/>
  <c r="AL1" i="4"/>
  <c r="AJ1" i="4"/>
  <c r="AI1" i="4"/>
  <c r="X8" i="4"/>
  <c r="AH1" i="4"/>
  <c r="AO1" i="4"/>
  <c r="AG1" i="4"/>
  <c r="AN1" i="4"/>
  <c r="AF1" i="4"/>
  <c r="AM1" i="4"/>
  <c r="AD40" i="5"/>
  <c r="AE39" i="5"/>
  <c r="AE41" i="5" s="1"/>
  <c r="AE42" i="5" s="1"/>
  <c r="AE43" i="5" s="1"/>
  <c r="AE44" i="5" s="1"/>
  <c r="AD41" i="5"/>
  <c r="AD43" i="5" s="1"/>
  <c r="AD44" i="5" s="1"/>
  <c r="AD45" i="5"/>
  <c r="X9" i="4" l="1"/>
  <c r="X10" i="4"/>
  <c r="AA5" i="4" s="1"/>
  <c r="AD46" i="5"/>
  <c r="E16" i="2" s="1"/>
  <c r="AE45" i="5"/>
  <c r="AE40" i="5"/>
  <c r="AA6" i="4" l="1"/>
  <c r="AA7" i="4"/>
  <c r="AE46" i="5"/>
  <c r="E15" i="2" s="1"/>
  <c r="Z8" i="4" l="1"/>
  <c r="A20" i="2" s="1"/>
  <c r="AC5" i="5" l="1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4" i="5"/>
  <c r="U3" i="5" l="1"/>
  <c r="AU3" i="5" s="1"/>
  <c r="T3" i="5"/>
  <c r="AT3" i="5" s="1"/>
  <c r="S3" i="5"/>
  <c r="AS3" i="5" s="1"/>
  <c r="R3" i="5"/>
  <c r="AR3" i="5" s="1"/>
  <c r="Q3" i="5"/>
  <c r="AQ3" i="5" s="1"/>
  <c r="P3" i="5"/>
  <c r="AP3" i="5" s="1"/>
  <c r="O3" i="5"/>
  <c r="AO3" i="5" s="1"/>
  <c r="N3" i="5"/>
  <c r="AN3" i="5" s="1"/>
  <c r="M3" i="5"/>
  <c r="AM3" i="5" s="1"/>
  <c r="L3" i="5"/>
  <c r="AL3" i="5" s="1"/>
  <c r="K3" i="5"/>
  <c r="AK3" i="5" s="1"/>
  <c r="AJ3" i="5"/>
  <c r="I3" i="5"/>
  <c r="AI3" i="5" s="1"/>
  <c r="H3" i="5"/>
  <c r="AH3" i="5" s="1"/>
  <c r="F5" i="5"/>
  <c r="G5" i="5" s="1"/>
  <c r="F6" i="5"/>
  <c r="AD6" i="5" s="1"/>
  <c r="AD7" i="5" s="1"/>
  <c r="F7" i="5"/>
  <c r="G7" i="5" s="1"/>
  <c r="F8" i="5"/>
  <c r="AD8" i="5" s="1"/>
  <c r="AD9" i="5" s="1"/>
  <c r="F9" i="5"/>
  <c r="G9" i="5" s="1"/>
  <c r="F10" i="5"/>
  <c r="AD10" i="5" s="1"/>
  <c r="AD11" i="5" s="1"/>
  <c r="F11" i="5"/>
  <c r="G11" i="5" s="1"/>
  <c r="F12" i="5"/>
  <c r="AD12" i="5" s="1"/>
  <c r="AD13" i="5" s="1"/>
  <c r="F13" i="5"/>
  <c r="G13" i="5" s="1"/>
  <c r="F14" i="5"/>
  <c r="AD14" i="5" s="1"/>
  <c r="AD15" i="5" s="1"/>
  <c r="F15" i="5"/>
  <c r="G15" i="5" s="1"/>
  <c r="F16" i="5"/>
  <c r="AD16" i="5" s="1"/>
  <c r="AD17" i="5" s="1"/>
  <c r="F17" i="5"/>
  <c r="G17" i="5" s="1"/>
  <c r="F18" i="5"/>
  <c r="AD18" i="5" s="1"/>
  <c r="AD19" i="5" s="1"/>
  <c r="F19" i="5"/>
  <c r="G19" i="5" s="1"/>
  <c r="F20" i="5"/>
  <c r="AD20" i="5" s="1"/>
  <c r="AD21" i="5" s="1"/>
  <c r="F21" i="5"/>
  <c r="G21" i="5" s="1"/>
  <c r="F22" i="5"/>
  <c r="AD22" i="5" s="1"/>
  <c r="AD23" i="5" s="1"/>
  <c r="F23" i="5"/>
  <c r="G23" i="5" s="1"/>
  <c r="F24" i="5"/>
  <c r="AD24" i="5" s="1"/>
  <c r="AD25" i="5" s="1"/>
  <c r="F25" i="5"/>
  <c r="G25" i="5" s="1"/>
  <c r="F26" i="5"/>
  <c r="AD26" i="5" s="1"/>
  <c r="AD27" i="5" s="1"/>
  <c r="F27" i="5"/>
  <c r="G27" i="5" s="1"/>
  <c r="F28" i="5"/>
  <c r="AD28" i="5" s="1"/>
  <c r="AD29" i="5" s="1"/>
  <c r="F29" i="5"/>
  <c r="G29" i="5" s="1"/>
  <c r="F30" i="5"/>
  <c r="AD30" i="5" s="1"/>
  <c r="AD31" i="5" s="1"/>
  <c r="F31" i="5"/>
  <c r="G31" i="5" s="1"/>
  <c r="F4" i="5"/>
  <c r="X27" i="5"/>
  <c r="X14" i="5"/>
  <c r="X11" i="5"/>
  <c r="X7" i="5"/>
  <c r="X12" i="5"/>
  <c r="AA17" i="5" s="1"/>
  <c r="X3" i="5"/>
  <c r="X2" i="5"/>
  <c r="X8" i="5" s="1"/>
  <c r="AA16" i="5" s="1"/>
  <c r="X9" i="5" l="1"/>
  <c r="AA19" i="5"/>
  <c r="AA21" i="5"/>
  <c r="X16" i="5"/>
  <c r="AD4" i="5"/>
  <c r="AE24" i="5"/>
  <c r="AE4" i="5"/>
  <c r="AE8" i="5"/>
  <c r="AE25" i="5"/>
  <c r="AE30" i="5"/>
  <c r="AE16" i="5"/>
  <c r="X21" i="5"/>
  <c r="AE17" i="5"/>
  <c r="AE9" i="5"/>
  <c r="AE31" i="5"/>
  <c r="AE23" i="5"/>
  <c r="AE15" i="5"/>
  <c r="AE7" i="5"/>
  <c r="AE22" i="5"/>
  <c r="AE14" i="5"/>
  <c r="AE6" i="5"/>
  <c r="AE29" i="5"/>
  <c r="AE21" i="5"/>
  <c r="AE13" i="5"/>
  <c r="AE28" i="5"/>
  <c r="AE20" i="5"/>
  <c r="AE12" i="5"/>
  <c r="AE27" i="5"/>
  <c r="AE19" i="5"/>
  <c r="AE11" i="5"/>
  <c r="AE26" i="5"/>
  <c r="AE18" i="5"/>
  <c r="AE10" i="5"/>
  <c r="X19" i="5"/>
  <c r="X17" i="5"/>
  <c r="AE5" i="5"/>
  <c r="G28" i="5"/>
  <c r="G20" i="5"/>
  <c r="G12" i="5"/>
  <c r="G26" i="5"/>
  <c r="G18" i="5"/>
  <c r="G10" i="5"/>
  <c r="G24" i="5"/>
  <c r="G16" i="5"/>
  <c r="G8" i="5"/>
  <c r="G30" i="5"/>
  <c r="G22" i="5"/>
  <c r="G14" i="5"/>
  <c r="G6" i="5"/>
  <c r="X4" i="5"/>
  <c r="X5" i="5"/>
  <c r="X20" i="5" l="1"/>
  <c r="AA20" i="5"/>
  <c r="AD5" i="5"/>
  <c r="G4" i="5"/>
  <c r="AF4" i="5" s="1"/>
  <c r="AR4" i="5" s="1"/>
  <c r="X23" i="5"/>
  <c r="X22" i="5"/>
  <c r="AF22" i="5"/>
  <c r="AG22" i="5" s="1"/>
  <c r="AF23" i="5"/>
  <c r="AG23" i="5" s="1"/>
  <c r="AF14" i="5"/>
  <c r="AG14" i="5" s="1"/>
  <c r="AF15" i="5"/>
  <c r="AG15" i="5" s="1"/>
  <c r="AF18" i="5"/>
  <c r="AG18" i="5" s="1"/>
  <c r="AF19" i="5"/>
  <c r="AG19" i="5" s="1"/>
  <c r="AF26" i="5"/>
  <c r="AG26" i="5" s="1"/>
  <c r="AF27" i="5"/>
  <c r="AG27" i="5" s="1"/>
  <c r="AF30" i="5"/>
  <c r="AG30" i="5" s="1"/>
  <c r="AF31" i="5"/>
  <c r="AG31" i="5" s="1"/>
  <c r="AF8" i="5"/>
  <c r="AG8" i="5" s="1"/>
  <c r="AF9" i="5"/>
  <c r="AG9" i="5" s="1"/>
  <c r="AF12" i="5"/>
  <c r="AG12" i="5" s="1"/>
  <c r="AF13" i="5"/>
  <c r="AG13" i="5" s="1"/>
  <c r="AF24" i="5"/>
  <c r="AG24" i="5" s="1"/>
  <c r="AF25" i="5"/>
  <c r="AG25" i="5" s="1"/>
  <c r="AF28" i="5"/>
  <c r="AG28" i="5" s="1"/>
  <c r="AF29" i="5"/>
  <c r="AG29" i="5" s="1"/>
  <c r="AF16" i="5"/>
  <c r="AG16" i="5" s="1"/>
  <c r="AF17" i="5"/>
  <c r="AG17" i="5" s="1"/>
  <c r="AF20" i="5"/>
  <c r="AG20" i="5" s="1"/>
  <c r="AF21" i="5"/>
  <c r="AG21" i="5" s="1"/>
  <c r="AF6" i="5"/>
  <c r="AG6" i="5" s="1"/>
  <c r="AF7" i="5"/>
  <c r="AG7" i="5" s="1"/>
  <c r="AF10" i="5"/>
  <c r="AG10" i="5" s="1"/>
  <c r="AF11" i="5"/>
  <c r="AG11" i="5" s="1"/>
  <c r="X10" i="5"/>
  <c r="X6" i="5"/>
  <c r="X26" i="5" s="1"/>
  <c r="X28" i="5" s="1"/>
  <c r="AH4" i="5" l="1"/>
  <c r="X18" i="5"/>
  <c r="X24" i="5" s="1"/>
  <c r="AA18" i="5"/>
  <c r="AA24" i="5" s="1"/>
  <c r="AA23" i="5"/>
  <c r="AA22" i="5"/>
  <c r="CZ4" i="5"/>
  <c r="ED4" i="5" s="1"/>
  <c r="DO4" i="5" s="1"/>
  <c r="AF5" i="5"/>
  <c r="AK5" i="5" s="1"/>
  <c r="AU4" i="5"/>
  <c r="AK4" i="5"/>
  <c r="AO4" i="5"/>
  <c r="AG4" i="5"/>
  <c r="AJ4" i="5"/>
  <c r="AP28" i="5"/>
  <c r="AI28" i="5"/>
  <c r="AQ28" i="5"/>
  <c r="AJ28" i="5"/>
  <c r="AR28" i="5"/>
  <c r="AK28" i="5"/>
  <c r="AS28" i="5"/>
  <c r="AN28" i="5"/>
  <c r="AO28" i="5"/>
  <c r="AL28" i="5"/>
  <c r="AT28" i="5"/>
  <c r="AM28" i="5"/>
  <c r="AU28" i="5"/>
  <c r="AH28" i="5"/>
  <c r="AO31" i="5"/>
  <c r="AI31" i="5"/>
  <c r="AQ31" i="5"/>
  <c r="AJ31" i="5"/>
  <c r="AR31" i="5"/>
  <c r="AK31" i="5"/>
  <c r="AS31" i="5"/>
  <c r="AL31" i="5"/>
  <c r="AT31" i="5"/>
  <c r="AP31" i="5"/>
  <c r="AM31" i="5"/>
  <c r="AU31" i="5"/>
  <c r="AN31" i="5"/>
  <c r="AH31" i="5"/>
  <c r="AL6" i="5"/>
  <c r="AN6" i="5"/>
  <c r="AO6" i="5"/>
  <c r="AP6" i="5"/>
  <c r="AI6" i="5"/>
  <c r="AQ6" i="5"/>
  <c r="AU6" i="5"/>
  <c r="AJ6" i="5"/>
  <c r="AR6" i="5"/>
  <c r="AT6" i="5"/>
  <c r="AM6" i="5"/>
  <c r="AK6" i="5"/>
  <c r="AS6" i="5"/>
  <c r="AH6" i="5"/>
  <c r="AN30" i="5"/>
  <c r="AO30" i="5"/>
  <c r="AP30" i="5"/>
  <c r="AI30" i="5"/>
  <c r="AQ30" i="5"/>
  <c r="AT30" i="5"/>
  <c r="AJ30" i="5"/>
  <c r="AR30" i="5"/>
  <c r="AL30" i="5"/>
  <c r="AU30" i="5"/>
  <c r="AK30" i="5"/>
  <c r="AS30" i="5"/>
  <c r="AM30" i="5"/>
  <c r="AH30" i="5"/>
  <c r="AL22" i="5"/>
  <c r="AM22" i="5"/>
  <c r="AN22" i="5"/>
  <c r="AO22" i="5"/>
  <c r="AP22" i="5"/>
  <c r="AI22" i="5"/>
  <c r="AQ22" i="5"/>
  <c r="AJ22" i="5"/>
  <c r="AR22" i="5"/>
  <c r="AT22" i="5"/>
  <c r="AK22" i="5"/>
  <c r="AS22" i="5"/>
  <c r="AU22" i="5"/>
  <c r="AH22" i="5"/>
  <c r="AM4" i="5"/>
  <c r="AQ4" i="5"/>
  <c r="AQ29" i="5"/>
  <c r="AR29" i="5"/>
  <c r="AK29" i="5"/>
  <c r="AS29" i="5"/>
  <c r="AL29" i="5"/>
  <c r="AT29" i="5"/>
  <c r="AM29" i="5"/>
  <c r="AU29" i="5"/>
  <c r="AN29" i="5"/>
  <c r="AO29" i="5"/>
  <c r="AJ29" i="5"/>
  <c r="AP29" i="5"/>
  <c r="AI29" i="5"/>
  <c r="AH29" i="5"/>
  <c r="AI15" i="5"/>
  <c r="AQ15" i="5"/>
  <c r="AJ15" i="5"/>
  <c r="AR15" i="5"/>
  <c r="AK15" i="5"/>
  <c r="AS15" i="5"/>
  <c r="AL15" i="5"/>
  <c r="AT15" i="5"/>
  <c r="AM15" i="5"/>
  <c r="AU15" i="5"/>
  <c r="AO15" i="5"/>
  <c r="AN15" i="5"/>
  <c r="AP15" i="5"/>
  <c r="AH15" i="5"/>
  <c r="AN14" i="5"/>
  <c r="AO14" i="5"/>
  <c r="AP14" i="5"/>
  <c r="AI14" i="5"/>
  <c r="AQ14" i="5"/>
  <c r="AU14" i="5"/>
  <c r="AJ14" i="5"/>
  <c r="AR14" i="5"/>
  <c r="AL14" i="5"/>
  <c r="AM14" i="5"/>
  <c r="AK14" i="5"/>
  <c r="AS14" i="5"/>
  <c r="AT14" i="5"/>
  <c r="AH14" i="5"/>
  <c r="AK27" i="5"/>
  <c r="AL27" i="5"/>
  <c r="AM27" i="5"/>
  <c r="AU27" i="5"/>
  <c r="AN27" i="5"/>
  <c r="AO27" i="5"/>
  <c r="AP27" i="5"/>
  <c r="AI27" i="5"/>
  <c r="AQ27" i="5"/>
  <c r="AS27" i="5"/>
  <c r="AJ27" i="5"/>
  <c r="AR27" i="5"/>
  <c r="AT27" i="5"/>
  <c r="AH27" i="5"/>
  <c r="AN4" i="5"/>
  <c r="AI4" i="5"/>
  <c r="AI23" i="5"/>
  <c r="AQ23" i="5"/>
  <c r="AJ23" i="5"/>
  <c r="AR23" i="5"/>
  <c r="AK23" i="5"/>
  <c r="AS23" i="5"/>
  <c r="AL23" i="5"/>
  <c r="AT23" i="5"/>
  <c r="AO23" i="5"/>
  <c r="AP23" i="5"/>
  <c r="AM23" i="5"/>
  <c r="AU23" i="5"/>
  <c r="AN23" i="5"/>
  <c r="AH23" i="5"/>
  <c r="AM25" i="5"/>
  <c r="AO25" i="5"/>
  <c r="AP25" i="5"/>
  <c r="AI25" i="5"/>
  <c r="AQ25" i="5"/>
  <c r="AN25" i="5"/>
  <c r="AJ25" i="5"/>
  <c r="AR25" i="5"/>
  <c r="AK25" i="5"/>
  <c r="AS25" i="5"/>
  <c r="AU25" i="5"/>
  <c r="AL25" i="5"/>
  <c r="AT25" i="5"/>
  <c r="AH25" i="5"/>
  <c r="AN20" i="5"/>
  <c r="AO20" i="5"/>
  <c r="AP20" i="5"/>
  <c r="AI20" i="5"/>
  <c r="AQ20" i="5"/>
  <c r="AJ20" i="5"/>
  <c r="AR20" i="5"/>
  <c r="AK20" i="5"/>
  <c r="AS20" i="5"/>
  <c r="AL20" i="5"/>
  <c r="AT20" i="5"/>
  <c r="AM20" i="5"/>
  <c r="AU20" i="5"/>
  <c r="AH20" i="5"/>
  <c r="AS24" i="5"/>
  <c r="AL24" i="5"/>
  <c r="AT24" i="5"/>
  <c r="AM24" i="5"/>
  <c r="AU24" i="5"/>
  <c r="AN24" i="5"/>
  <c r="AO24" i="5"/>
  <c r="AP24" i="5"/>
  <c r="AR24" i="5"/>
  <c r="AK24" i="5"/>
  <c r="AI24" i="5"/>
  <c r="AQ24" i="5"/>
  <c r="AJ24" i="5"/>
  <c r="AH24" i="5"/>
  <c r="AJ26" i="5"/>
  <c r="AR26" i="5"/>
  <c r="AK26" i="5"/>
  <c r="AS26" i="5"/>
  <c r="AL26" i="5"/>
  <c r="AT26" i="5"/>
  <c r="AM26" i="5"/>
  <c r="AU26" i="5"/>
  <c r="AI26" i="5"/>
  <c r="AN26" i="5"/>
  <c r="AQ26" i="5"/>
  <c r="AO26" i="5"/>
  <c r="AP26" i="5"/>
  <c r="AH26" i="5"/>
  <c r="AT4" i="5"/>
  <c r="AL11" i="5"/>
  <c r="AM11" i="5"/>
  <c r="AU11" i="5"/>
  <c r="AN11" i="5"/>
  <c r="AO11" i="5"/>
  <c r="AP11" i="5"/>
  <c r="AI11" i="5"/>
  <c r="AQ11" i="5"/>
  <c r="AK11" i="5"/>
  <c r="AJ11" i="5"/>
  <c r="AR11" i="5"/>
  <c r="AS11" i="5"/>
  <c r="AT11" i="5"/>
  <c r="AH11" i="5"/>
  <c r="AM9" i="5"/>
  <c r="AN9" i="5"/>
  <c r="AO9" i="5"/>
  <c r="AP9" i="5"/>
  <c r="AI9" i="5"/>
  <c r="AQ9" i="5"/>
  <c r="AJ9" i="5"/>
  <c r="AR9" i="5"/>
  <c r="AK9" i="5"/>
  <c r="AS9" i="5"/>
  <c r="AU9" i="5"/>
  <c r="AL9" i="5"/>
  <c r="AT9" i="5"/>
  <c r="AH9" i="5"/>
  <c r="AL8" i="5"/>
  <c r="AT8" i="5"/>
  <c r="AM8" i="5"/>
  <c r="AU8" i="5"/>
  <c r="AN8" i="5"/>
  <c r="AO8" i="5"/>
  <c r="AK8" i="5"/>
  <c r="AP8" i="5"/>
  <c r="AJ8" i="5"/>
  <c r="AS8" i="5"/>
  <c r="AI8" i="5"/>
  <c r="AQ8" i="5"/>
  <c r="AR8" i="5"/>
  <c r="AH8" i="5"/>
  <c r="AK21" i="5"/>
  <c r="AS21" i="5"/>
  <c r="AL21" i="5"/>
  <c r="AT21" i="5"/>
  <c r="AM21" i="5"/>
  <c r="AU21" i="5"/>
  <c r="AN21" i="5"/>
  <c r="AR21" i="5"/>
  <c r="AO21" i="5"/>
  <c r="AI21" i="5"/>
  <c r="AJ21" i="5"/>
  <c r="AP21" i="5"/>
  <c r="AQ21" i="5"/>
  <c r="AH21" i="5"/>
  <c r="AU17" i="5"/>
  <c r="AO17" i="5"/>
  <c r="AP17" i="5"/>
  <c r="AI17" i="5"/>
  <c r="AQ17" i="5"/>
  <c r="AJ17" i="5"/>
  <c r="AR17" i="5"/>
  <c r="AN17" i="5"/>
  <c r="AK17" i="5"/>
  <c r="AS17" i="5"/>
  <c r="AM17" i="5"/>
  <c r="AL17" i="5"/>
  <c r="AT17" i="5"/>
  <c r="AH17" i="5"/>
  <c r="AQ13" i="5"/>
  <c r="AR13" i="5"/>
  <c r="AK13" i="5"/>
  <c r="AS13" i="5"/>
  <c r="AL13" i="5"/>
  <c r="AT13" i="5"/>
  <c r="AM13" i="5"/>
  <c r="AU13" i="5"/>
  <c r="AN13" i="5"/>
  <c r="AJ13" i="5"/>
  <c r="AO13" i="5"/>
  <c r="AI13" i="5"/>
  <c r="AP13" i="5"/>
  <c r="AH13" i="5"/>
  <c r="AM19" i="5"/>
  <c r="AU19" i="5"/>
  <c r="AN19" i="5"/>
  <c r="AO19" i="5"/>
  <c r="AP19" i="5"/>
  <c r="AT19" i="5"/>
  <c r="AI19" i="5"/>
  <c r="AQ19" i="5"/>
  <c r="AK19" i="5"/>
  <c r="AL19" i="5"/>
  <c r="AJ19" i="5"/>
  <c r="AR19" i="5"/>
  <c r="AS19" i="5"/>
  <c r="AH19" i="5"/>
  <c r="AL4" i="5"/>
  <c r="AP4" i="5"/>
  <c r="AP10" i="5"/>
  <c r="AJ10" i="5"/>
  <c r="AR10" i="5"/>
  <c r="AK10" i="5"/>
  <c r="AS10" i="5"/>
  <c r="AL10" i="5"/>
  <c r="AT10" i="5"/>
  <c r="AM10" i="5"/>
  <c r="AU10" i="5"/>
  <c r="AI10" i="5"/>
  <c r="AN10" i="5"/>
  <c r="AQ10" i="5"/>
  <c r="AO10" i="5"/>
  <c r="AH10" i="5"/>
  <c r="AI7" i="5"/>
  <c r="AQ7" i="5"/>
  <c r="AJ7" i="5"/>
  <c r="AR7" i="5"/>
  <c r="AK7" i="5"/>
  <c r="AS7" i="5"/>
  <c r="AL7" i="5"/>
  <c r="AT7" i="5"/>
  <c r="AM7" i="5"/>
  <c r="AU7" i="5"/>
  <c r="AO7" i="5"/>
  <c r="AP7" i="5"/>
  <c r="AN7" i="5"/>
  <c r="AH7" i="5"/>
  <c r="AJ16" i="5"/>
  <c r="AK16" i="5"/>
  <c r="AL16" i="5"/>
  <c r="AT16" i="5"/>
  <c r="AM16" i="5"/>
  <c r="AU16" i="5"/>
  <c r="AN16" i="5"/>
  <c r="AO16" i="5"/>
  <c r="AP16" i="5"/>
  <c r="AS16" i="5"/>
  <c r="AI16" i="5"/>
  <c r="AQ16" i="5"/>
  <c r="AR16" i="5"/>
  <c r="AH16" i="5"/>
  <c r="AN12" i="5"/>
  <c r="AP12" i="5"/>
  <c r="AI12" i="5"/>
  <c r="AQ12" i="5"/>
  <c r="AJ12" i="5"/>
  <c r="AR12" i="5"/>
  <c r="AK12" i="5"/>
  <c r="AS12" i="5"/>
  <c r="AL12" i="5"/>
  <c r="AT12" i="5"/>
  <c r="AO12" i="5"/>
  <c r="AM12" i="5"/>
  <c r="AU12" i="5"/>
  <c r="AH12" i="5"/>
  <c r="AI18" i="5"/>
  <c r="AJ18" i="5"/>
  <c r="AR18" i="5"/>
  <c r="AK18" i="5"/>
  <c r="AS18" i="5"/>
  <c r="AL18" i="5"/>
  <c r="AT18" i="5"/>
  <c r="AM18" i="5"/>
  <c r="AU18" i="5"/>
  <c r="AN18" i="5"/>
  <c r="AO18" i="5"/>
  <c r="AP18" i="5"/>
  <c r="AQ18" i="5"/>
  <c r="AH18" i="5"/>
  <c r="AS4" i="5"/>
  <c r="DT4" i="5" l="1"/>
  <c r="CA4" i="5"/>
  <c r="BJ18" i="5"/>
  <c r="BY18" i="5" s="1"/>
  <c r="AX18" i="5"/>
  <c r="BM18" i="5" s="1"/>
  <c r="AZ12" i="5"/>
  <c r="BO12" i="5"/>
  <c r="BG16" i="5"/>
  <c r="BV16" i="5" s="1"/>
  <c r="BB16" i="5"/>
  <c r="BQ16" i="5" s="1"/>
  <c r="BD7" i="5"/>
  <c r="BS7" i="5" s="1"/>
  <c r="BN7" i="5"/>
  <c r="AY7" i="5"/>
  <c r="BJ10" i="5"/>
  <c r="BY10" i="5" s="1"/>
  <c r="BE10" i="5"/>
  <c r="BT10" i="5" s="1"/>
  <c r="AZ19" i="5"/>
  <c r="BO19" i="5" s="1"/>
  <c r="BB19" i="5"/>
  <c r="BQ19" i="5" s="1"/>
  <c r="BQ13" i="5"/>
  <c r="BB13" i="5"/>
  <c r="BI17" i="5"/>
  <c r="BX17" i="5" s="1"/>
  <c r="BF17" i="5"/>
  <c r="BU17" i="5" s="1"/>
  <c r="AY21" i="5"/>
  <c r="BN21" i="5" s="1"/>
  <c r="BA21" i="5"/>
  <c r="BP21" i="5" s="1"/>
  <c r="BN8" i="5"/>
  <c r="AY8" i="5"/>
  <c r="BA8" i="5"/>
  <c r="BP8" i="5"/>
  <c r="BN9" i="5"/>
  <c r="AY9" i="5"/>
  <c r="BI11" i="5"/>
  <c r="BX11" i="5" s="1"/>
  <c r="BD11" i="5"/>
  <c r="BS11" i="5" s="1"/>
  <c r="CH11" i="5" s="1"/>
  <c r="O11" i="5" s="1"/>
  <c r="BT26" i="5"/>
  <c r="BE26" i="5"/>
  <c r="BP26" i="5"/>
  <c r="BA26" i="5"/>
  <c r="AX24" i="5"/>
  <c r="BM24" i="5"/>
  <c r="BI24" i="5"/>
  <c r="BX24" i="5"/>
  <c r="BH20" i="5"/>
  <c r="BW20" i="5" s="1"/>
  <c r="BC20" i="5"/>
  <c r="BR20" i="5" s="1"/>
  <c r="BN25" i="5"/>
  <c r="AY25" i="5"/>
  <c r="BR23" i="5"/>
  <c r="BC23" i="5"/>
  <c r="AZ23" i="5"/>
  <c r="BO23" i="5" s="1"/>
  <c r="BX27" i="5"/>
  <c r="BI27" i="5"/>
  <c r="BR27" i="5"/>
  <c r="BC27" i="5"/>
  <c r="AZ14" i="5"/>
  <c r="BO14" i="5" s="1"/>
  <c r="BE14" i="5"/>
  <c r="BT14" i="5" s="1"/>
  <c r="BB15" i="5"/>
  <c r="BQ15" i="5" s="1"/>
  <c r="AX15" i="5"/>
  <c r="BM15" i="5" s="1"/>
  <c r="CB15" i="5" s="1"/>
  <c r="I15" i="5" s="1"/>
  <c r="BQ29" i="5"/>
  <c r="BB29" i="5"/>
  <c r="BB4" i="5"/>
  <c r="BQ4" i="5" s="1"/>
  <c r="CF4" i="5" s="1"/>
  <c r="BF22" i="5"/>
  <c r="BU22" i="5"/>
  <c r="BQ30" i="5"/>
  <c r="BB30" i="5"/>
  <c r="BF30" i="5"/>
  <c r="BU30" i="5"/>
  <c r="BB6" i="5"/>
  <c r="BQ6" i="5" s="1"/>
  <c r="BD6" i="5"/>
  <c r="BS6" i="5" s="1"/>
  <c r="BI31" i="5"/>
  <c r="BX31" i="5"/>
  <c r="BS31" i="5"/>
  <c r="BD31" i="5"/>
  <c r="BW28" i="5"/>
  <c r="BH28" i="5"/>
  <c r="BB18" i="5"/>
  <c r="BQ18" i="5" s="1"/>
  <c r="AW12" i="5"/>
  <c r="BL12" i="5" s="1"/>
  <c r="BG12" i="5"/>
  <c r="BV12" i="5" s="1"/>
  <c r="BF16" i="5"/>
  <c r="BU16" i="5" s="1"/>
  <c r="BI16" i="5"/>
  <c r="BX16" i="5"/>
  <c r="BJ7" i="5"/>
  <c r="BY7" i="5" s="1"/>
  <c r="CN7" i="5" s="1"/>
  <c r="U7" i="5" s="1"/>
  <c r="BF7" i="5"/>
  <c r="BU7" i="5" s="1"/>
  <c r="BB10" i="5"/>
  <c r="BQ10" i="5"/>
  <c r="BE4" i="5"/>
  <c r="BT4" i="5" s="1"/>
  <c r="CI4" i="5" s="1"/>
  <c r="BF19" i="5"/>
  <c r="BU19" i="5" s="1"/>
  <c r="AW13" i="5"/>
  <c r="BL13" i="5"/>
  <c r="BI13" i="5"/>
  <c r="BX13" i="5" s="1"/>
  <c r="BA17" i="5"/>
  <c r="BP17" i="5" s="1"/>
  <c r="CE17" i="5" s="1"/>
  <c r="L17" i="5" s="1"/>
  <c r="AX17" i="5"/>
  <c r="BM17" i="5" s="1"/>
  <c r="AX21" i="5"/>
  <c r="BM21" i="5" s="1"/>
  <c r="BH21" i="5"/>
  <c r="BW21" i="5" s="1"/>
  <c r="BE8" i="5"/>
  <c r="BT8" i="5" s="1"/>
  <c r="BL9" i="5"/>
  <c r="AW9" i="5"/>
  <c r="BF9" i="5"/>
  <c r="BU9" i="5" s="1"/>
  <c r="BH11" i="5"/>
  <c r="BW11" i="5" s="1"/>
  <c r="CL11" i="5" s="1"/>
  <c r="S11" i="5" s="1"/>
  <c r="BR11" i="5"/>
  <c r="BC11" i="5"/>
  <c r="BS26" i="5"/>
  <c r="BD26" i="5"/>
  <c r="BW26" i="5"/>
  <c r="BH26" i="5"/>
  <c r="AZ24" i="5"/>
  <c r="BO24" i="5"/>
  <c r="BA24" i="5"/>
  <c r="BP24" i="5"/>
  <c r="AZ20" i="5"/>
  <c r="BO20" i="5" s="1"/>
  <c r="BL25" i="5"/>
  <c r="AW25" i="5"/>
  <c r="BR25" i="5"/>
  <c r="BC25" i="5"/>
  <c r="BJ23" i="5"/>
  <c r="BY23" i="5" s="1"/>
  <c r="BG23" i="5"/>
  <c r="BV23" i="5" s="1"/>
  <c r="BG27" i="5"/>
  <c r="BV27" i="5"/>
  <c r="BY27" i="5"/>
  <c r="BJ27" i="5"/>
  <c r="BB14" i="5"/>
  <c r="BQ14" i="5" s="1"/>
  <c r="BD14" i="5"/>
  <c r="BS14" i="5" s="1"/>
  <c r="BX15" i="5"/>
  <c r="BI15" i="5"/>
  <c r="BL29" i="5"/>
  <c r="AW29" i="5"/>
  <c r="BX29" i="5"/>
  <c r="BI29" i="5"/>
  <c r="AW22" i="5"/>
  <c r="BL22" i="5" s="1"/>
  <c r="AX22" i="5"/>
  <c r="BM22" i="5" s="1"/>
  <c r="BW30" i="5"/>
  <c r="BH30" i="5"/>
  <c r="AX30" i="5"/>
  <c r="BM30" i="5"/>
  <c r="BI6" i="5"/>
  <c r="BX6" i="5" s="1"/>
  <c r="BC6" i="5"/>
  <c r="BR6" i="5" s="1"/>
  <c r="CG6" i="5" s="1"/>
  <c r="BP31" i="5"/>
  <c r="BA31" i="5"/>
  <c r="BL28" i="5"/>
  <c r="AW28" i="5"/>
  <c r="BO28" i="5"/>
  <c r="AZ28" i="5"/>
  <c r="BD4" i="5"/>
  <c r="BS4" i="5" s="1"/>
  <c r="BH4" i="5"/>
  <c r="BW4" i="5" s="1"/>
  <c r="BI18" i="5"/>
  <c r="BX18" i="5" s="1"/>
  <c r="BJ12" i="5"/>
  <c r="BY12" i="5" s="1"/>
  <c r="AY12" i="5"/>
  <c r="BN12" i="5" s="1"/>
  <c r="AX16" i="5"/>
  <c r="BM16" i="5" s="1"/>
  <c r="BA16" i="5"/>
  <c r="BP16" i="5" s="1"/>
  <c r="BB7" i="5"/>
  <c r="BQ7" i="5" s="1"/>
  <c r="AX7" i="5"/>
  <c r="BM7" i="5"/>
  <c r="BI10" i="5"/>
  <c r="BX10" i="5" s="1"/>
  <c r="BA4" i="5"/>
  <c r="BP4" i="5" s="1"/>
  <c r="AX19" i="5"/>
  <c r="BM19" i="5" s="1"/>
  <c r="BT13" i="5"/>
  <c r="BE13" i="5"/>
  <c r="BP13" i="5"/>
  <c r="BA13" i="5"/>
  <c r="BB17" i="5"/>
  <c r="BQ17" i="5" s="1"/>
  <c r="BE17" i="5"/>
  <c r="BT17" i="5" s="1"/>
  <c r="BD21" i="5"/>
  <c r="BS21" i="5" s="1"/>
  <c r="AZ21" i="5"/>
  <c r="BO21" i="5" s="1"/>
  <c r="BO8" i="5"/>
  <c r="AZ8" i="5"/>
  <c r="BI9" i="5"/>
  <c r="BX9" i="5" s="1"/>
  <c r="CM9" i="5" s="1"/>
  <c r="T9" i="5" s="1"/>
  <c r="BM9" i="5"/>
  <c r="AX9" i="5"/>
  <c r="BG11" i="5"/>
  <c r="BV11" i="5" s="1"/>
  <c r="BJ11" i="5"/>
  <c r="BY11" i="5" s="1"/>
  <c r="BU26" i="5"/>
  <c r="BF26" i="5"/>
  <c r="BO26" i="5"/>
  <c r="AZ26" i="5"/>
  <c r="BV24" i="5"/>
  <c r="BG24" i="5"/>
  <c r="BW24" i="5"/>
  <c r="BH24" i="5"/>
  <c r="BG20" i="5"/>
  <c r="BV20" i="5" s="1"/>
  <c r="BX25" i="5"/>
  <c r="BI25" i="5"/>
  <c r="BU25" i="5"/>
  <c r="BF25" i="5"/>
  <c r="BB23" i="5"/>
  <c r="BQ23" i="5" s="1"/>
  <c r="AY23" i="5"/>
  <c r="BN23" i="5" s="1"/>
  <c r="CC23" i="5" s="1"/>
  <c r="J23" i="5" s="1"/>
  <c r="BN27" i="5"/>
  <c r="AY27" i="5"/>
  <c r="BB27" i="5"/>
  <c r="BQ27" i="5"/>
  <c r="BA14" i="5"/>
  <c r="BP14" i="5" s="1"/>
  <c r="BC14" i="5"/>
  <c r="BR14" i="5" s="1"/>
  <c r="BA15" i="5"/>
  <c r="BP15" i="5"/>
  <c r="CE15" i="5" s="1"/>
  <c r="L15" i="5" s="1"/>
  <c r="AX29" i="5"/>
  <c r="BM29" i="5"/>
  <c r="BP29" i="5"/>
  <c r="BA29" i="5"/>
  <c r="BJ22" i="5"/>
  <c r="BY22" i="5" s="1"/>
  <c r="BE22" i="5"/>
  <c r="BT22" i="5" s="1"/>
  <c r="AZ30" i="5"/>
  <c r="BO30" i="5"/>
  <c r="BT30" i="5"/>
  <c r="BE30" i="5"/>
  <c r="BG6" i="5"/>
  <c r="BV6" i="5" s="1"/>
  <c r="BA6" i="5"/>
  <c r="BP6" i="5" s="1"/>
  <c r="BW31" i="5"/>
  <c r="BH31" i="5"/>
  <c r="BJ28" i="5"/>
  <c r="BY28" i="5"/>
  <c r="BV28" i="5"/>
  <c r="BG28" i="5"/>
  <c r="AZ4" i="5"/>
  <c r="BO4" i="5" s="1"/>
  <c r="CD4" i="5" s="1"/>
  <c r="AW18" i="5"/>
  <c r="BL18" i="5" s="1"/>
  <c r="BA18" i="5"/>
  <c r="BP18" i="5" s="1"/>
  <c r="BQ12" i="5"/>
  <c r="BB12" i="5"/>
  <c r="BF12" i="5"/>
  <c r="BU12" i="5" s="1"/>
  <c r="CJ12" i="5" s="1"/>
  <c r="BH16" i="5"/>
  <c r="BW16" i="5" s="1"/>
  <c r="AZ16" i="5"/>
  <c r="BO16" i="5" s="1"/>
  <c r="BI7" i="5"/>
  <c r="BX7" i="5" s="1"/>
  <c r="BL10" i="5"/>
  <c r="AW10" i="5"/>
  <c r="BP10" i="5"/>
  <c r="BA10" i="5"/>
  <c r="AW19" i="5"/>
  <c r="BL19" i="5" s="1"/>
  <c r="BI19" i="5"/>
  <c r="BX19" i="5" s="1"/>
  <c r="AX13" i="5"/>
  <c r="BM13" i="5" s="1"/>
  <c r="BH13" i="5"/>
  <c r="BW13" i="5" s="1"/>
  <c r="BH17" i="5"/>
  <c r="BW17" i="5" s="1"/>
  <c r="BD17" i="5"/>
  <c r="BS17" i="5" s="1"/>
  <c r="CH17" i="5" s="1"/>
  <c r="O17" i="5" s="1"/>
  <c r="BG21" i="5"/>
  <c r="BV21" i="5" s="1"/>
  <c r="BL8" i="5"/>
  <c r="AW8" i="5"/>
  <c r="BD8" i="5"/>
  <c r="BS8" i="5" s="1"/>
  <c r="CH8" i="5" s="1"/>
  <c r="BA9" i="5"/>
  <c r="BP9" i="5"/>
  <c r="BE9" i="5"/>
  <c r="BT9" i="5" s="1"/>
  <c r="AY11" i="5"/>
  <c r="BN11" i="5"/>
  <c r="BB11" i="5"/>
  <c r="BQ11" i="5"/>
  <c r="BC26" i="5"/>
  <c r="BR26" i="5"/>
  <c r="BV26" i="5"/>
  <c r="BG26" i="5"/>
  <c r="BT24" i="5"/>
  <c r="BE24" i="5"/>
  <c r="AW20" i="5"/>
  <c r="BL20" i="5" s="1"/>
  <c r="AY20" i="5"/>
  <c r="BN20" i="5" s="1"/>
  <c r="CC20" i="5" s="1"/>
  <c r="BP25" i="5"/>
  <c r="BA25" i="5"/>
  <c r="BM25" i="5"/>
  <c r="AX25" i="5"/>
  <c r="BE23" i="5"/>
  <c r="BT23" i="5" s="1"/>
  <c r="BU23" i="5"/>
  <c r="BF23" i="5"/>
  <c r="BH27" i="5"/>
  <c r="BW27" i="5"/>
  <c r="BA27" i="5"/>
  <c r="BP27" i="5"/>
  <c r="BV14" i="5"/>
  <c r="BG14" i="5"/>
  <c r="AW15" i="5"/>
  <c r="BL15" i="5" s="1"/>
  <c r="BW15" i="5"/>
  <c r="BH15" i="5"/>
  <c r="BT29" i="5"/>
  <c r="BE29" i="5"/>
  <c r="BH29" i="5"/>
  <c r="BW29" i="5"/>
  <c r="BH22" i="5"/>
  <c r="BW22" i="5"/>
  <c r="BS22" i="5"/>
  <c r="BD22" i="5"/>
  <c r="BY30" i="5"/>
  <c r="BJ30" i="5"/>
  <c r="BS30" i="5"/>
  <c r="BD30" i="5"/>
  <c r="AY6" i="5"/>
  <c r="BN6" i="5"/>
  <c r="BL31" i="5"/>
  <c r="AW31" i="5"/>
  <c r="BO31" i="5"/>
  <c r="AZ31" i="5"/>
  <c r="BQ28" i="5"/>
  <c r="BB28" i="5"/>
  <c r="BN28" i="5"/>
  <c r="AY28" i="5"/>
  <c r="BJ4" i="5"/>
  <c r="BY4" i="5" s="1"/>
  <c r="BF18" i="5"/>
  <c r="BU18" i="5" s="1"/>
  <c r="BH18" i="5"/>
  <c r="BW18" i="5" s="1"/>
  <c r="CL18" i="5" s="1"/>
  <c r="BS12" i="5"/>
  <c r="BD12" i="5"/>
  <c r="AX12" i="5"/>
  <c r="BM12" i="5" s="1"/>
  <c r="BE16" i="5"/>
  <c r="BT16" i="5" s="1"/>
  <c r="AY16" i="5"/>
  <c r="BN16" i="5" s="1"/>
  <c r="BA7" i="5"/>
  <c r="BP7" i="5" s="1"/>
  <c r="BD10" i="5"/>
  <c r="BS10" i="5" s="1"/>
  <c r="BH10" i="5"/>
  <c r="BW10" i="5" s="1"/>
  <c r="BH19" i="5"/>
  <c r="BW19" i="5" s="1"/>
  <c r="BE19" i="5"/>
  <c r="BT19" i="5" s="1"/>
  <c r="CI19" i="5" s="1"/>
  <c r="P19" i="5" s="1"/>
  <c r="BS13" i="5"/>
  <c r="BD13" i="5"/>
  <c r="AZ13" i="5"/>
  <c r="BO13" i="5"/>
  <c r="AZ17" i="5"/>
  <c r="BO17" i="5" s="1"/>
  <c r="BJ17" i="5"/>
  <c r="BY17" i="5" s="1"/>
  <c r="BR21" i="5"/>
  <c r="BC21" i="5"/>
  <c r="BG8" i="5"/>
  <c r="BV8" i="5" s="1"/>
  <c r="BC8" i="5"/>
  <c r="BR8" i="5" s="1"/>
  <c r="BJ9" i="5"/>
  <c r="BY9" i="5" s="1"/>
  <c r="BD9" i="5"/>
  <c r="BS9" i="5" s="1"/>
  <c r="BO11" i="5"/>
  <c r="AZ11" i="5"/>
  <c r="BA11" i="5"/>
  <c r="BP11" i="5"/>
  <c r="AX26" i="5"/>
  <c r="BM26" i="5"/>
  <c r="BN26" i="5"/>
  <c r="AY26" i="5"/>
  <c r="BD24" i="5"/>
  <c r="BS24" i="5"/>
  <c r="BY20" i="5"/>
  <c r="BJ20" i="5"/>
  <c r="BF20" i="5"/>
  <c r="BU20" i="5" s="1"/>
  <c r="CJ20" i="5" s="1"/>
  <c r="BJ25" i="5"/>
  <c r="BY25" i="5"/>
  <c r="BT25" i="5"/>
  <c r="BE25" i="5"/>
  <c r="BD23" i="5"/>
  <c r="BS23" i="5" s="1"/>
  <c r="CH23" i="5" s="1"/>
  <c r="O23" i="5" s="1"/>
  <c r="AX23" i="5"/>
  <c r="BM23" i="5" s="1"/>
  <c r="CB23" i="5" s="1"/>
  <c r="I23" i="5" s="1"/>
  <c r="BU27" i="5"/>
  <c r="BF27" i="5"/>
  <c r="AZ27" i="5"/>
  <c r="BO27" i="5"/>
  <c r="AY14" i="5"/>
  <c r="BN14" i="5" s="1"/>
  <c r="BE15" i="5"/>
  <c r="BT15" i="5" s="1"/>
  <c r="AZ15" i="5"/>
  <c r="BO15" i="5" s="1"/>
  <c r="AY29" i="5"/>
  <c r="BN29" i="5"/>
  <c r="AZ29" i="5"/>
  <c r="BO29" i="5"/>
  <c r="AZ22" i="5"/>
  <c r="BO22" i="5" s="1"/>
  <c r="BC22" i="5"/>
  <c r="BR22" i="5" s="1"/>
  <c r="BP30" i="5"/>
  <c r="BA30" i="5"/>
  <c r="BR30" i="5"/>
  <c r="BC30" i="5"/>
  <c r="BJ6" i="5"/>
  <c r="BY6" i="5" s="1"/>
  <c r="BR31" i="5"/>
  <c r="BC31" i="5"/>
  <c r="BV31" i="5"/>
  <c r="BG31" i="5"/>
  <c r="BI28" i="5"/>
  <c r="BX28" i="5"/>
  <c r="BU28" i="5"/>
  <c r="BF28" i="5"/>
  <c r="BE18" i="5"/>
  <c r="BT18" i="5" s="1"/>
  <c r="CI18" i="5" s="1"/>
  <c r="AZ18" i="5"/>
  <c r="BO18" i="5" s="1"/>
  <c r="BI12" i="5"/>
  <c r="BX12" i="5" s="1"/>
  <c r="BE12" i="5"/>
  <c r="BT12" i="5"/>
  <c r="BD16" i="5"/>
  <c r="BS16" i="5" s="1"/>
  <c r="BL7" i="5"/>
  <c r="AW7" i="5"/>
  <c r="BH7" i="5"/>
  <c r="BW7" i="5" s="1"/>
  <c r="BF10" i="5"/>
  <c r="BU10" i="5" s="1"/>
  <c r="BO10" i="5"/>
  <c r="AZ10" i="5"/>
  <c r="BG19" i="5"/>
  <c r="BV19" i="5" s="1"/>
  <c r="BD19" i="5"/>
  <c r="BS19" i="5" s="1"/>
  <c r="CH19" i="5" s="1"/>
  <c r="O19" i="5" s="1"/>
  <c r="AY13" i="5"/>
  <c r="BN13" i="5" s="1"/>
  <c r="BG13" i="5"/>
  <c r="BV13" i="5" s="1"/>
  <c r="BC17" i="5"/>
  <c r="BR17" i="5" s="1"/>
  <c r="CG17" i="5" s="1"/>
  <c r="N17" i="5" s="1"/>
  <c r="AW21" i="5"/>
  <c r="BL21" i="5" s="1"/>
  <c r="BJ21" i="5"/>
  <c r="BY21" i="5" s="1"/>
  <c r="CN21" i="5" s="1"/>
  <c r="U21" i="5" s="1"/>
  <c r="BF8" i="5"/>
  <c r="BU8" i="5" s="1"/>
  <c r="CJ8" i="5" s="1"/>
  <c r="BJ8" i="5"/>
  <c r="BY8" i="5" s="1"/>
  <c r="BH9" i="5"/>
  <c r="BW9" i="5" s="1"/>
  <c r="CL9" i="5" s="1"/>
  <c r="S9" i="5" s="1"/>
  <c r="BC9" i="5"/>
  <c r="BR9" i="5" s="1"/>
  <c r="BF11" i="5"/>
  <c r="BU11" i="5" s="1"/>
  <c r="AW4" i="5"/>
  <c r="BL4" i="5"/>
  <c r="BJ26" i="5"/>
  <c r="BY26" i="5"/>
  <c r="AW24" i="5"/>
  <c r="BL24" i="5"/>
  <c r="BR24" i="5"/>
  <c r="BC24" i="5"/>
  <c r="BB20" i="5"/>
  <c r="BQ20" i="5" s="1"/>
  <c r="BM20" i="5"/>
  <c r="AX20" i="5"/>
  <c r="BW25" i="5"/>
  <c r="BH25" i="5"/>
  <c r="BD25" i="5"/>
  <c r="BS25" i="5"/>
  <c r="BX23" i="5"/>
  <c r="BI23" i="5"/>
  <c r="AX4" i="5"/>
  <c r="BM4" i="5" s="1"/>
  <c r="AX27" i="5"/>
  <c r="BM27" i="5"/>
  <c r="AW14" i="5"/>
  <c r="BL14" i="5" s="1"/>
  <c r="BY14" i="5"/>
  <c r="BJ14" i="5"/>
  <c r="BC15" i="5"/>
  <c r="BR15" i="5" s="1"/>
  <c r="CG15" i="5" s="1"/>
  <c r="N15" i="5" s="1"/>
  <c r="BV15" i="5"/>
  <c r="BG15" i="5"/>
  <c r="BS29" i="5"/>
  <c r="BD29" i="5"/>
  <c r="BV29" i="5"/>
  <c r="BG29" i="5"/>
  <c r="BX22" i="5"/>
  <c r="BI22" i="5"/>
  <c r="BB22" i="5"/>
  <c r="BQ22" i="5"/>
  <c r="BG30" i="5"/>
  <c r="BV30" i="5"/>
  <c r="BL6" i="5"/>
  <c r="AW6" i="5"/>
  <c r="BF6" i="5"/>
  <c r="BU6" i="5" s="1"/>
  <c r="BJ31" i="5"/>
  <c r="BY31" i="5"/>
  <c r="BN31" i="5"/>
  <c r="AY31" i="5"/>
  <c r="BP28" i="5"/>
  <c r="BA28" i="5"/>
  <c r="BM28" i="5"/>
  <c r="AX28" i="5"/>
  <c r="BD18" i="5"/>
  <c r="BS18" i="5" s="1"/>
  <c r="BG18" i="5"/>
  <c r="BV18" i="5" s="1"/>
  <c r="BA12" i="5"/>
  <c r="BP12" i="5"/>
  <c r="BC12" i="5"/>
  <c r="BR12" i="5"/>
  <c r="BC16" i="5"/>
  <c r="BR16" i="5" s="1"/>
  <c r="BC7" i="5"/>
  <c r="BR7" i="5" s="1"/>
  <c r="AZ7" i="5"/>
  <c r="BO7" i="5" s="1"/>
  <c r="BC10" i="5"/>
  <c r="BR10" i="5"/>
  <c r="BG10" i="5"/>
  <c r="BV10" i="5"/>
  <c r="CK10" i="5" s="1"/>
  <c r="AY19" i="5"/>
  <c r="BN19" i="5" s="1"/>
  <c r="CC19" i="5" s="1"/>
  <c r="J19" i="5" s="1"/>
  <c r="BC19" i="5"/>
  <c r="BR19" i="5" s="1"/>
  <c r="BC13" i="5"/>
  <c r="BR13" i="5"/>
  <c r="BF13" i="5"/>
  <c r="BU13" i="5" s="1"/>
  <c r="BG17" i="5"/>
  <c r="BV17" i="5" s="1"/>
  <c r="BF21" i="5"/>
  <c r="BU21" i="5" s="1"/>
  <c r="BB21" i="5"/>
  <c r="BQ21" i="5" s="1"/>
  <c r="BM8" i="5"/>
  <c r="AX8" i="5"/>
  <c r="BB8" i="5"/>
  <c r="BQ8" i="5" s="1"/>
  <c r="AZ9" i="5"/>
  <c r="BO9" i="5"/>
  <c r="BB9" i="5"/>
  <c r="BQ9" i="5" s="1"/>
  <c r="AX11" i="5"/>
  <c r="BM11" i="5"/>
  <c r="BI4" i="5"/>
  <c r="BX4" i="5" s="1"/>
  <c r="BQ26" i="5"/>
  <c r="BB26" i="5"/>
  <c r="AY24" i="5"/>
  <c r="BN24" i="5"/>
  <c r="BY24" i="5"/>
  <c r="BJ24" i="5"/>
  <c r="BI20" i="5"/>
  <c r="BX20" i="5"/>
  <c r="BE20" i="5"/>
  <c r="BT20" i="5" s="1"/>
  <c r="BO25" i="5"/>
  <c r="AZ25" i="5"/>
  <c r="BQ25" i="5"/>
  <c r="BB25" i="5"/>
  <c r="BA23" i="5"/>
  <c r="BP23" i="5"/>
  <c r="CE23" i="5" s="1"/>
  <c r="L23" i="5" s="1"/>
  <c r="BC4" i="5"/>
  <c r="BR4" i="5" s="1"/>
  <c r="BT27" i="5"/>
  <c r="BE27" i="5"/>
  <c r="BI14" i="5"/>
  <c r="BX14" i="5"/>
  <c r="BF14" i="5"/>
  <c r="BU14" i="5" s="1"/>
  <c r="BD15" i="5"/>
  <c r="BS15" i="5" s="1"/>
  <c r="AY15" i="5"/>
  <c r="BN15" i="5" s="1"/>
  <c r="BR29" i="5"/>
  <c r="BC29" i="5"/>
  <c r="BU29" i="5"/>
  <c r="BF29" i="5"/>
  <c r="BG22" i="5"/>
  <c r="BV22" i="5"/>
  <c r="BA22" i="5"/>
  <c r="BP22" i="5" s="1"/>
  <c r="AY30" i="5"/>
  <c r="BN30" i="5"/>
  <c r="BH6" i="5"/>
  <c r="BW6" i="5" s="1"/>
  <c r="AX6" i="5"/>
  <c r="BM6" i="5"/>
  <c r="BQ31" i="5"/>
  <c r="BB31" i="5"/>
  <c r="BF31" i="5"/>
  <c r="BU31" i="5"/>
  <c r="BS28" i="5"/>
  <c r="BD28" i="5"/>
  <c r="BT28" i="5"/>
  <c r="BE28" i="5"/>
  <c r="BG4" i="5"/>
  <c r="BV4" i="5" s="1"/>
  <c r="BC18" i="5"/>
  <c r="BR18" i="5" s="1"/>
  <c r="AY18" i="5"/>
  <c r="BN18" i="5" s="1"/>
  <c r="BH12" i="5"/>
  <c r="BW12" i="5" s="1"/>
  <c r="AW16" i="5"/>
  <c r="BL16" i="5" s="1"/>
  <c r="BJ16" i="5"/>
  <c r="BY16" i="5" s="1"/>
  <c r="BE7" i="5"/>
  <c r="BT7" i="5" s="1"/>
  <c r="BG7" i="5"/>
  <c r="BV7" i="5" s="1"/>
  <c r="BM10" i="5"/>
  <c r="AX10" i="5"/>
  <c r="AY10" i="5"/>
  <c r="BN10" i="5"/>
  <c r="BA19" i="5"/>
  <c r="BP19" i="5" s="1"/>
  <c r="BJ19" i="5"/>
  <c r="BY19" i="5" s="1"/>
  <c r="CN19" i="5" s="1"/>
  <c r="U19" i="5" s="1"/>
  <c r="BJ13" i="5"/>
  <c r="BY13" i="5" s="1"/>
  <c r="AW17" i="5"/>
  <c r="BL17" i="5" s="1"/>
  <c r="AY17" i="5"/>
  <c r="BN17" i="5" s="1"/>
  <c r="BE21" i="5"/>
  <c r="BT21" i="5" s="1"/>
  <c r="CI21" i="5" s="1"/>
  <c r="P21" i="5" s="1"/>
  <c r="BI21" i="5"/>
  <c r="BX21" i="5" s="1"/>
  <c r="BH8" i="5"/>
  <c r="BW8" i="5" s="1"/>
  <c r="BI8" i="5"/>
  <c r="BX8" i="5" s="1"/>
  <c r="BG9" i="5"/>
  <c r="BV9" i="5" s="1"/>
  <c r="BL11" i="5"/>
  <c r="AW11" i="5"/>
  <c r="BE11" i="5"/>
  <c r="BT11" i="5" s="1"/>
  <c r="BL26" i="5"/>
  <c r="AW26" i="5"/>
  <c r="BX26" i="5"/>
  <c r="BI26" i="5"/>
  <c r="BU24" i="5"/>
  <c r="BF24" i="5"/>
  <c r="BQ24" i="5"/>
  <c r="BB24" i="5"/>
  <c r="BA20" i="5"/>
  <c r="BP20" i="5" s="1"/>
  <c r="BD20" i="5"/>
  <c r="BS20" i="5" s="1"/>
  <c r="BV25" i="5"/>
  <c r="BG25" i="5"/>
  <c r="AW23" i="5"/>
  <c r="BL23" i="5"/>
  <c r="BH23" i="5"/>
  <c r="BW23" i="5" s="1"/>
  <c r="BL27" i="5"/>
  <c r="AW27" i="5"/>
  <c r="BS27" i="5"/>
  <c r="BD27" i="5"/>
  <c r="BW14" i="5"/>
  <c r="BH14" i="5"/>
  <c r="AX14" i="5"/>
  <c r="BM14" i="5" s="1"/>
  <c r="BY15" i="5"/>
  <c r="BJ15" i="5"/>
  <c r="BF15" i="5"/>
  <c r="BU15" i="5" s="1"/>
  <c r="CJ15" i="5" s="1"/>
  <c r="Q15" i="5" s="1"/>
  <c r="BY29" i="5"/>
  <c r="BJ29" i="5"/>
  <c r="BF4" i="5"/>
  <c r="BU4" i="5" s="1"/>
  <c r="AY22" i="5"/>
  <c r="BN22" i="5"/>
  <c r="BL30" i="5"/>
  <c r="AW30" i="5"/>
  <c r="BX30" i="5"/>
  <c r="BI30" i="5"/>
  <c r="AZ6" i="5"/>
  <c r="BO6" i="5" s="1"/>
  <c r="CD6" i="5" s="1"/>
  <c r="BE6" i="5"/>
  <c r="BT6" i="5" s="1"/>
  <c r="CI6" i="5" s="1"/>
  <c r="BE31" i="5"/>
  <c r="BT31" i="5"/>
  <c r="BM31" i="5"/>
  <c r="AX31" i="5"/>
  <c r="BR28" i="5"/>
  <c r="BC28" i="5"/>
  <c r="AY4" i="5"/>
  <c r="BN4" i="5" s="1"/>
  <c r="AN5" i="5"/>
  <c r="AJ5" i="5"/>
  <c r="AM5" i="5"/>
  <c r="AH5" i="5"/>
  <c r="CP5" i="5" s="1"/>
  <c r="DT5" i="5" s="1"/>
  <c r="DE5" i="5" s="1"/>
  <c r="AT5" i="5"/>
  <c r="AU5" i="5"/>
  <c r="AO5" i="5"/>
  <c r="AP5" i="5"/>
  <c r="AR5" i="5"/>
  <c r="CS12" i="5"/>
  <c r="DW12" i="5" s="1"/>
  <c r="DH12" i="5" s="1"/>
  <c r="CZ7" i="5"/>
  <c r="ED7" i="5" s="1"/>
  <c r="DO7" i="5" s="1"/>
  <c r="CW19" i="5"/>
  <c r="EA19" i="5" s="1"/>
  <c r="DL19" i="5" s="1"/>
  <c r="DC21" i="5"/>
  <c r="EG21" i="5" s="1"/>
  <c r="DR21" i="5" s="1"/>
  <c r="CV9" i="5"/>
  <c r="DZ9" i="5" s="1"/>
  <c r="DK9" i="5" s="1"/>
  <c r="ED26" i="5"/>
  <c r="CZ26" i="5"/>
  <c r="DO26" i="5"/>
  <c r="CR20" i="5"/>
  <c r="DV20" i="5" s="1"/>
  <c r="DG20" i="5" s="1"/>
  <c r="EC23" i="5"/>
  <c r="DN23" i="5"/>
  <c r="CY23" i="5"/>
  <c r="CW14" i="5"/>
  <c r="EA14" i="5" s="1"/>
  <c r="DL14" i="5" s="1"/>
  <c r="DY30" i="5"/>
  <c r="DJ30" i="5"/>
  <c r="CU30" i="5"/>
  <c r="CW6" i="5"/>
  <c r="EA6" i="5" s="1"/>
  <c r="DL6" i="5" s="1"/>
  <c r="CZ12" i="5"/>
  <c r="ED12" i="5" s="1"/>
  <c r="DO12" i="5" s="1"/>
  <c r="CR7" i="5"/>
  <c r="DV7" i="5" s="1"/>
  <c r="DG7" i="5" s="1"/>
  <c r="CV19" i="5"/>
  <c r="DZ19" i="5" s="1"/>
  <c r="DK19" i="5" s="1"/>
  <c r="CY21" i="5"/>
  <c r="EC21" i="5" s="1"/>
  <c r="DN21" i="5" s="1"/>
  <c r="CU8" i="5"/>
  <c r="DY8" i="5" s="1"/>
  <c r="DJ8" i="5" s="1"/>
  <c r="DB4" i="5"/>
  <c r="EF4" i="5" s="1"/>
  <c r="DQ4" i="5" s="1"/>
  <c r="DC20" i="5"/>
  <c r="EG20" i="5" s="1"/>
  <c r="DR20" i="5" s="1"/>
  <c r="EA23" i="5"/>
  <c r="DL23" i="5" s="1"/>
  <c r="CW23" i="5"/>
  <c r="CT14" i="5"/>
  <c r="DX14" i="5" s="1"/>
  <c r="DI14" i="5" s="1"/>
  <c r="CP22" i="5"/>
  <c r="DT22" i="5" s="1"/>
  <c r="DE22" i="5" s="1"/>
  <c r="DB6" i="5"/>
  <c r="EF6" i="5" s="1"/>
  <c r="DQ6" i="5" s="1"/>
  <c r="DW28" i="5"/>
  <c r="DH28" i="5"/>
  <c r="CS28" i="5"/>
  <c r="DC12" i="5"/>
  <c r="EG12" i="5" s="1"/>
  <c r="DR12" i="5" s="1"/>
  <c r="CQ16" i="5"/>
  <c r="DU16" i="5" s="1"/>
  <c r="DF16" i="5" s="1"/>
  <c r="DC7" i="5"/>
  <c r="EG7" i="5" s="1"/>
  <c r="DR7" i="5" s="1"/>
  <c r="DY10" i="5"/>
  <c r="DJ10" i="5"/>
  <c r="CU10" i="5"/>
  <c r="CT19" i="5"/>
  <c r="DX19" i="5" s="1"/>
  <c r="DI19" i="5" s="1"/>
  <c r="DC13" i="5"/>
  <c r="EG13" i="5" s="1"/>
  <c r="DR13" i="5" s="1"/>
  <c r="CR17" i="5"/>
  <c r="DV17" i="5" s="1"/>
  <c r="DG17" i="5" s="1"/>
  <c r="DB21" i="5"/>
  <c r="EF21" i="5" s="1"/>
  <c r="DQ21" i="5" s="1"/>
  <c r="CZ9" i="5"/>
  <c r="ED9" i="5" s="1"/>
  <c r="DO9" i="5" s="1"/>
  <c r="CX11" i="5"/>
  <c r="EB11" i="5" s="1"/>
  <c r="DM11" i="5" s="1"/>
  <c r="EG26" i="5"/>
  <c r="DR26" i="5"/>
  <c r="DC26" i="5"/>
  <c r="DZ24" i="5"/>
  <c r="DK24" i="5"/>
  <c r="CV24" i="5"/>
  <c r="CQ20" i="5"/>
  <c r="DU20" i="5"/>
  <c r="DF20" i="5" s="1"/>
  <c r="EA25" i="5"/>
  <c r="DL25" i="5"/>
  <c r="CW25" i="5"/>
  <c r="CQ4" i="5"/>
  <c r="DU4" i="5" s="1"/>
  <c r="DF4" i="5" s="1"/>
  <c r="DX27" i="5"/>
  <c r="DI27" i="5"/>
  <c r="CT27" i="5"/>
  <c r="CP15" i="5"/>
  <c r="DT15" i="5" s="1"/>
  <c r="DE15" i="5" s="1"/>
  <c r="EB29" i="5"/>
  <c r="DM29" i="5"/>
  <c r="CX29" i="5"/>
  <c r="DC22" i="5"/>
  <c r="EG22" i="5" s="1"/>
  <c r="DR22" i="5" s="1"/>
  <c r="EB30" i="5"/>
  <c r="CX30" i="5"/>
  <c r="DM30" i="5"/>
  <c r="CT6" i="5"/>
  <c r="DX6" i="5" s="1"/>
  <c r="DI6" i="5" s="1"/>
  <c r="EG28" i="5"/>
  <c r="DR28" i="5"/>
  <c r="DC28" i="5"/>
  <c r="CS4" i="5"/>
  <c r="DW4" i="5" s="1"/>
  <c r="DH4" i="5" s="1"/>
  <c r="CT18" i="5"/>
  <c r="DX18" i="5" s="1"/>
  <c r="DI18" i="5" s="1"/>
  <c r="CY12" i="5"/>
  <c r="EC12" i="5" s="1"/>
  <c r="DN12" i="5" s="1"/>
  <c r="CS16" i="5"/>
  <c r="DW16" i="5" s="1"/>
  <c r="DH16" i="5" s="1"/>
  <c r="DU7" i="5"/>
  <c r="DF7" i="5"/>
  <c r="CQ7" i="5"/>
  <c r="DB10" i="5"/>
  <c r="EF10" i="5" s="1"/>
  <c r="DQ10" i="5" s="1"/>
  <c r="CT4" i="5"/>
  <c r="DX4" i="5" s="1"/>
  <c r="DI4" i="5" s="1"/>
  <c r="CS19" i="5"/>
  <c r="DW19" i="5" s="1"/>
  <c r="DH19" i="5" s="1"/>
  <c r="CU19" i="5"/>
  <c r="DY19" i="5" s="1"/>
  <c r="DJ19" i="5" s="1"/>
  <c r="DJ13" i="5"/>
  <c r="DY13" i="5"/>
  <c r="CU13" i="5"/>
  <c r="DB17" i="5"/>
  <c r="EF17" i="5" s="1"/>
  <c r="DQ17" i="5" s="1"/>
  <c r="CY17" i="5"/>
  <c r="EC17" i="5" s="1"/>
  <c r="DN17" i="5" s="1"/>
  <c r="CR21" i="5"/>
  <c r="DV21" i="5" s="1"/>
  <c r="DG21" i="5" s="1"/>
  <c r="CT21" i="5"/>
  <c r="DX21" i="5" s="1"/>
  <c r="DI21" i="5" s="1"/>
  <c r="DG8" i="5"/>
  <c r="DV8" i="5"/>
  <c r="CR8" i="5"/>
  <c r="DI8" i="5"/>
  <c r="DX8" i="5"/>
  <c r="CT8" i="5"/>
  <c r="DV9" i="5"/>
  <c r="CR9" i="5"/>
  <c r="DG9" i="5"/>
  <c r="DB11" i="5"/>
  <c r="EF11" i="5" s="1"/>
  <c r="DQ11" i="5" s="1"/>
  <c r="CW11" i="5"/>
  <c r="EA11" i="5" s="1"/>
  <c r="DL11" i="5" s="1"/>
  <c r="DY26" i="5"/>
  <c r="DJ26" i="5"/>
  <c r="CU26" i="5"/>
  <c r="DV24" i="5"/>
  <c r="DG24" i="5"/>
  <c r="CR24" i="5"/>
  <c r="EG24" i="5"/>
  <c r="DC24" i="5"/>
  <c r="DR24" i="5"/>
  <c r="DB20" i="5"/>
  <c r="EF20" i="5" s="1"/>
  <c r="DQ20" i="5" s="1"/>
  <c r="CX20" i="5"/>
  <c r="EB20" i="5" s="1"/>
  <c r="DW25" i="5"/>
  <c r="DH25" i="5"/>
  <c r="CS25" i="5"/>
  <c r="DY25" i="5"/>
  <c r="DJ25" i="5"/>
  <c r="CU25" i="5"/>
  <c r="CT23" i="5"/>
  <c r="DX23" i="5" s="1"/>
  <c r="DI23" i="5" s="1"/>
  <c r="CV4" i="5"/>
  <c r="DZ4" i="5" s="1"/>
  <c r="DK4" i="5" s="1"/>
  <c r="EC27" i="5"/>
  <c r="DN27" i="5"/>
  <c r="CY27" i="5"/>
  <c r="DW27" i="5"/>
  <c r="DH27" i="5"/>
  <c r="CS27" i="5"/>
  <c r="CR14" i="5"/>
  <c r="DV14" i="5" s="1"/>
  <c r="DG14" i="5" s="1"/>
  <c r="CX15" i="5"/>
  <c r="EB15" i="5" s="1"/>
  <c r="DM15" i="5" s="1"/>
  <c r="CS15" i="5"/>
  <c r="DW15" i="5" s="1"/>
  <c r="DH15" i="5" s="1"/>
  <c r="DV29" i="5"/>
  <c r="DG29" i="5"/>
  <c r="CR29" i="5"/>
  <c r="DW29" i="5"/>
  <c r="CS29" i="5"/>
  <c r="DH29" i="5"/>
  <c r="DA22" i="5"/>
  <c r="EE22" i="5" s="1"/>
  <c r="DP22" i="5" s="1"/>
  <c r="CW22" i="5"/>
  <c r="EA22" i="5" s="1"/>
  <c r="DL22" i="5" s="1"/>
  <c r="EG30" i="5"/>
  <c r="DR30" i="5"/>
  <c r="DC30" i="5"/>
  <c r="EA30" i="5"/>
  <c r="DL30" i="5"/>
  <c r="CW30" i="5"/>
  <c r="CR6" i="5"/>
  <c r="DV6" i="5" s="1"/>
  <c r="DG6" i="5" s="1"/>
  <c r="DT31" i="5"/>
  <c r="DE31" i="5"/>
  <c r="CP31" i="5"/>
  <c r="DH31" i="5"/>
  <c r="DW31" i="5"/>
  <c r="CS31" i="5"/>
  <c r="DY28" i="5"/>
  <c r="DJ28" i="5"/>
  <c r="CU28" i="5"/>
  <c r="CR28" i="5"/>
  <c r="DV28" i="5"/>
  <c r="DG28" i="5"/>
  <c r="DC4" i="5"/>
  <c r="EG4" i="5" s="1"/>
  <c r="DR4" i="5" s="1"/>
  <c r="DC18" i="5"/>
  <c r="EG18" i="5" s="1"/>
  <c r="DR18" i="5" s="1"/>
  <c r="CZ16" i="5"/>
  <c r="ED16" i="5" s="1"/>
  <c r="DO16" i="5" s="1"/>
  <c r="DF10" i="5"/>
  <c r="DU10" i="5"/>
  <c r="CQ10" i="5"/>
  <c r="CR13" i="5"/>
  <c r="DV13" i="5" s="1"/>
  <c r="DG13" i="5" s="1"/>
  <c r="DT21" i="5"/>
  <c r="DE21" i="5" s="1"/>
  <c r="CP21" i="5"/>
  <c r="DA9" i="5"/>
  <c r="EE9" i="5" s="1"/>
  <c r="DP9" i="5" s="1"/>
  <c r="DZ26" i="5"/>
  <c r="DK26" i="5"/>
  <c r="CV26" i="5"/>
  <c r="EB24" i="5"/>
  <c r="DM24" i="5"/>
  <c r="CX24" i="5"/>
  <c r="DU25" i="5"/>
  <c r="DF25" i="5"/>
  <c r="CQ25" i="5"/>
  <c r="EG27" i="5"/>
  <c r="DR27" i="5"/>
  <c r="DC27" i="5"/>
  <c r="EF29" i="5"/>
  <c r="DB29" i="5"/>
  <c r="DQ29" i="5"/>
  <c r="EC30" i="5"/>
  <c r="DN30" i="5"/>
  <c r="CY30" i="5"/>
  <c r="EF31" i="5"/>
  <c r="DQ31" i="5"/>
  <c r="DB31" i="5"/>
  <c r="CU18" i="5"/>
  <c r="DY18" i="5" s="1"/>
  <c r="DJ18" i="5" s="1"/>
  <c r="DB16" i="5"/>
  <c r="EF16" i="5" s="1"/>
  <c r="DQ16" i="5" s="1"/>
  <c r="DC10" i="5"/>
  <c r="EG10" i="5" s="1"/>
  <c r="DR10" i="5" s="1"/>
  <c r="DZ13" i="5"/>
  <c r="CV13" i="5"/>
  <c r="DK13" i="5"/>
  <c r="DF8" i="5"/>
  <c r="DU8" i="5"/>
  <c r="CQ8" i="5"/>
  <c r="CU9" i="5"/>
  <c r="DY9" i="5" s="1"/>
  <c r="DJ9" i="5" s="1"/>
  <c r="DV26" i="5"/>
  <c r="DG26" i="5"/>
  <c r="CR26" i="5"/>
  <c r="EG25" i="5"/>
  <c r="DR25" i="5"/>
  <c r="DC25" i="5"/>
  <c r="DU23" i="5"/>
  <c r="DF23" i="5" s="1"/>
  <c r="CQ23" i="5"/>
  <c r="CV14" i="5"/>
  <c r="DZ14" i="5" s="1"/>
  <c r="DK14" i="5" s="1"/>
  <c r="DI29" i="5"/>
  <c r="CT29" i="5"/>
  <c r="DX29" i="5"/>
  <c r="DU30" i="5"/>
  <c r="DF30" i="5"/>
  <c r="CQ30" i="5"/>
  <c r="CV6" i="5"/>
  <c r="DZ6" i="5" s="1"/>
  <c r="DK6" i="5" s="1"/>
  <c r="CW4" i="5"/>
  <c r="EA4" i="5" s="1"/>
  <c r="DL4" i="5" s="1"/>
  <c r="DB18" i="5"/>
  <c r="EF18" i="5" s="1"/>
  <c r="DQ18" i="5" s="1"/>
  <c r="CR12" i="5"/>
  <c r="DV12" i="5" s="1"/>
  <c r="DG12" i="5" s="1"/>
  <c r="CT16" i="5"/>
  <c r="DX16" i="5" s="1"/>
  <c r="DI16" i="5" s="1"/>
  <c r="CY7" i="5"/>
  <c r="EC7" i="5" s="1"/>
  <c r="DN7" i="5" s="1"/>
  <c r="CX4" i="5"/>
  <c r="EB4" i="5" s="1"/>
  <c r="DM4" i="5" s="1"/>
  <c r="DC19" i="5"/>
  <c r="EG19" i="5" s="1"/>
  <c r="DR19" i="5" s="1"/>
  <c r="CP17" i="5"/>
  <c r="DT17" i="5" s="1"/>
  <c r="DE17" i="5" s="1"/>
  <c r="CX21" i="5"/>
  <c r="EB21" i="5" s="1"/>
  <c r="DM21" i="5" s="1"/>
  <c r="DA8" i="5"/>
  <c r="EE8" i="5" s="1"/>
  <c r="DP8" i="5" s="1"/>
  <c r="DB8" i="5"/>
  <c r="EF8" i="5" s="1"/>
  <c r="DQ8" i="5" s="1"/>
  <c r="H11" i="5"/>
  <c r="CP11" i="5"/>
  <c r="DE11" i="5"/>
  <c r="DT11" i="5"/>
  <c r="DT24" i="5"/>
  <c r="CP24" i="5"/>
  <c r="DE24" i="5"/>
  <c r="CU20" i="5"/>
  <c r="DY20" i="5" s="1"/>
  <c r="DJ20" i="5" s="1"/>
  <c r="EE25" i="5"/>
  <c r="DP25" i="5"/>
  <c r="DA25" i="5"/>
  <c r="DB23" i="5"/>
  <c r="EF23" i="5" s="1"/>
  <c r="DQ23" i="5" s="1"/>
  <c r="EE27" i="5"/>
  <c r="DA27" i="5"/>
  <c r="DP27" i="5"/>
  <c r="ED14" i="5"/>
  <c r="CZ14" i="5"/>
  <c r="DO14" i="5"/>
  <c r="S15" i="5"/>
  <c r="EE15" i="5"/>
  <c r="DP15" i="5"/>
  <c r="DA15" i="5"/>
  <c r="EE29" i="5"/>
  <c r="DA29" i="5"/>
  <c r="DP29" i="5"/>
  <c r="CX22" i="5"/>
  <c r="EB22" i="5"/>
  <c r="DM22" i="5" s="1"/>
  <c r="DW30" i="5"/>
  <c r="DH30" i="5"/>
  <c r="CS30" i="5"/>
  <c r="CZ6" i="5"/>
  <c r="ED6" i="5" s="1"/>
  <c r="DO6" i="5" s="1"/>
  <c r="EE31" i="5"/>
  <c r="DA31" i="5"/>
  <c r="DP31" i="5"/>
  <c r="ED28" i="5"/>
  <c r="CZ28" i="5"/>
  <c r="DO28" i="5"/>
  <c r="CP18" i="5"/>
  <c r="DT18" i="5" s="1"/>
  <c r="DE18" i="5" s="1"/>
  <c r="DJ12" i="5"/>
  <c r="DY12" i="5"/>
  <c r="CU12" i="5"/>
  <c r="DA16" i="5"/>
  <c r="EE16" i="5" s="1"/>
  <c r="DP16" i="5" s="1"/>
  <c r="CU7" i="5"/>
  <c r="DY7" i="5" s="1"/>
  <c r="DJ7" i="5" s="1"/>
  <c r="CY18" i="5"/>
  <c r="EC18" i="5" s="1"/>
  <c r="DN18" i="5" s="1"/>
  <c r="DA18" i="5"/>
  <c r="EE18" i="5" s="1"/>
  <c r="DP18" i="5" s="1"/>
  <c r="DL12" i="5"/>
  <c r="EA12" i="5"/>
  <c r="CW12" i="5"/>
  <c r="CQ12" i="5"/>
  <c r="DU12" i="5" s="1"/>
  <c r="DF12" i="5" s="1"/>
  <c r="CX16" i="5"/>
  <c r="EB16" i="5" s="1"/>
  <c r="DM16" i="5" s="1"/>
  <c r="CR16" i="5"/>
  <c r="DV16" i="5" s="1"/>
  <c r="DG16" i="5" s="1"/>
  <c r="DB7" i="5"/>
  <c r="EF7" i="5" s="1"/>
  <c r="DQ7" i="5" s="1"/>
  <c r="CP10" i="5"/>
  <c r="DE10" i="5"/>
  <c r="DT10" i="5"/>
  <c r="DX10" i="5"/>
  <c r="DI10" i="5"/>
  <c r="CT10" i="5"/>
  <c r="CY19" i="5"/>
  <c r="EC19" i="5" s="1"/>
  <c r="DN19" i="5" s="1"/>
  <c r="CP13" i="5"/>
  <c r="DT13" i="5" s="1"/>
  <c r="DE13" i="5" s="1"/>
  <c r="EF13" i="5"/>
  <c r="DQ13" i="5" s="1"/>
  <c r="DB13" i="5"/>
  <c r="CT17" i="5"/>
  <c r="DX17" i="5" s="1"/>
  <c r="DI17" i="5" s="1"/>
  <c r="CQ17" i="5"/>
  <c r="DU17" i="5" s="1"/>
  <c r="DF17" i="5" s="1"/>
  <c r="CQ21" i="5"/>
  <c r="DU21" i="5" s="1"/>
  <c r="DF21" i="5" s="1"/>
  <c r="DA21" i="5"/>
  <c r="EE21" i="5" s="1"/>
  <c r="DP21" i="5" s="1"/>
  <c r="CX8" i="5"/>
  <c r="EB8" i="5" s="1"/>
  <c r="DM8" i="5" s="1"/>
  <c r="H9" i="5"/>
  <c r="DT9" i="5"/>
  <c r="DE9" i="5"/>
  <c r="CP9" i="5"/>
  <c r="CY9" i="5"/>
  <c r="EC9" i="5" s="1"/>
  <c r="DN9" i="5" s="1"/>
  <c r="DA11" i="5"/>
  <c r="EE11" i="5" s="1"/>
  <c r="DP11" i="5" s="1"/>
  <c r="DK11" i="5"/>
  <c r="CV11" i="5"/>
  <c r="DZ11" i="5"/>
  <c r="DT26" i="5"/>
  <c r="DE26" i="5"/>
  <c r="CP26" i="5"/>
  <c r="EF26" i="5"/>
  <c r="DB26" i="5"/>
  <c r="DQ26" i="5"/>
  <c r="DN24" i="5"/>
  <c r="EC24" i="5"/>
  <c r="CY24" i="5"/>
  <c r="DJ24" i="5"/>
  <c r="CU24" i="5"/>
  <c r="DY24" i="5"/>
  <c r="CT20" i="5"/>
  <c r="DX20" i="5" s="1"/>
  <c r="DI20" i="5" s="1"/>
  <c r="CW20" i="5"/>
  <c r="EA20" i="5" s="1"/>
  <c r="DL20" i="5" s="1"/>
  <c r="DO25" i="5"/>
  <c r="ED25" i="5"/>
  <c r="CZ25" i="5"/>
  <c r="CP23" i="5"/>
  <c r="DT23" i="5" s="1"/>
  <c r="DE23" i="5" s="1"/>
  <c r="EE23" i="5"/>
  <c r="DP23" i="5" s="1"/>
  <c r="DA23" i="5"/>
  <c r="DU27" i="5"/>
  <c r="DF27" i="5"/>
  <c r="CQ27" i="5"/>
  <c r="CP14" i="5"/>
  <c r="DT14" i="5" s="1"/>
  <c r="DE14" i="5" s="1"/>
  <c r="DR14" i="5"/>
  <c r="EG14" i="5"/>
  <c r="DC14" i="5"/>
  <c r="CV15" i="5"/>
  <c r="DZ15" i="5" s="1"/>
  <c r="DK15" i="5" s="1"/>
  <c r="R15" i="5"/>
  <c r="ED15" i="5"/>
  <c r="DO15" i="5"/>
  <c r="CZ15" i="5"/>
  <c r="EA29" i="5"/>
  <c r="DL29" i="5"/>
  <c r="CW29" i="5"/>
  <c r="ED29" i="5"/>
  <c r="DO29" i="5"/>
  <c r="CZ29" i="5"/>
  <c r="CS22" i="5"/>
  <c r="DW22" i="5" s="1"/>
  <c r="DH22" i="5" s="1"/>
  <c r="DZ22" i="5"/>
  <c r="DK22" i="5"/>
  <c r="CV22" i="5"/>
  <c r="DX30" i="5"/>
  <c r="DI30" i="5"/>
  <c r="CT30" i="5"/>
  <c r="DZ30" i="5"/>
  <c r="DK30" i="5"/>
  <c r="CV30" i="5"/>
  <c r="DC6" i="5"/>
  <c r="EG6" i="5" s="1"/>
  <c r="DR6" i="5" s="1"/>
  <c r="DZ31" i="5"/>
  <c r="DK31" i="5"/>
  <c r="CV31" i="5"/>
  <c r="ED31" i="5"/>
  <c r="CZ31" i="5"/>
  <c r="DO31" i="5"/>
  <c r="EF28" i="5"/>
  <c r="DQ28" i="5"/>
  <c r="DB28" i="5"/>
  <c r="EC28" i="5"/>
  <c r="CY28" i="5"/>
  <c r="DN28" i="5"/>
  <c r="CS5" i="5"/>
  <c r="DW5" i="5" s="1"/>
  <c r="DH5" i="5" s="1"/>
  <c r="CU16" i="5"/>
  <c r="DY16" i="5" s="1"/>
  <c r="DJ16" i="5" s="1"/>
  <c r="DG10" i="5"/>
  <c r="DV10" i="5"/>
  <c r="CR10" i="5"/>
  <c r="CZ13" i="5"/>
  <c r="ED13" i="5" s="1"/>
  <c r="DO13" i="5" s="1"/>
  <c r="CY8" i="5"/>
  <c r="EC8" i="5" s="1"/>
  <c r="DN8" i="5" s="1"/>
  <c r="CY11" i="5"/>
  <c r="EC11" i="5" s="1"/>
  <c r="DN11" i="5" s="1"/>
  <c r="DX25" i="5"/>
  <c r="DI25" i="5"/>
  <c r="CT25" i="5"/>
  <c r="ED27" i="5"/>
  <c r="DO27" i="5"/>
  <c r="CZ27" i="5"/>
  <c r="T15" i="5"/>
  <c r="DB15" i="5"/>
  <c r="DQ15" i="5"/>
  <c r="EF15" i="5"/>
  <c r="CY22" i="5"/>
  <c r="EC22" i="5"/>
  <c r="DN22" i="5" s="1"/>
  <c r="EA31" i="5"/>
  <c r="DL31" i="5"/>
  <c r="CW31" i="5"/>
  <c r="CP12" i="5"/>
  <c r="DT12" i="5" s="1"/>
  <c r="DE12" i="5" s="1"/>
  <c r="CW7" i="5"/>
  <c r="EA7" i="5" s="1"/>
  <c r="DL7" i="5" s="1"/>
  <c r="CR19" i="5"/>
  <c r="DV19" i="5" s="1"/>
  <c r="DG19" i="5" s="1"/>
  <c r="CZ17" i="5"/>
  <c r="ED17" i="5" s="1"/>
  <c r="DO17" i="5" s="1"/>
  <c r="DW9" i="5"/>
  <c r="CS9" i="5"/>
  <c r="DH9" i="5"/>
  <c r="DU26" i="5"/>
  <c r="DF26" i="5"/>
  <c r="CQ26" i="5"/>
  <c r="EC20" i="5"/>
  <c r="DN20" i="5" s="1"/>
  <c r="CY20" i="5"/>
  <c r="DY27" i="5"/>
  <c r="DJ27" i="5"/>
  <c r="CU27" i="5"/>
  <c r="DU29" i="5"/>
  <c r="DF29" i="5"/>
  <c r="CQ29" i="5"/>
  <c r="EE30" i="5"/>
  <c r="DP30" i="5"/>
  <c r="DA30" i="5"/>
  <c r="DT28" i="5"/>
  <c r="DE28" i="5"/>
  <c r="CP28" i="5"/>
  <c r="DB12" i="5"/>
  <c r="EF12" i="5" s="1"/>
  <c r="DQ12" i="5" s="1"/>
  <c r="CW16" i="5"/>
  <c r="EA16" i="5" s="1"/>
  <c r="DL16" i="5" s="1"/>
  <c r="CT7" i="5"/>
  <c r="DX7" i="5" s="1"/>
  <c r="DI7" i="5" s="1"/>
  <c r="DA10" i="5"/>
  <c r="EE10" i="5" s="1"/>
  <c r="DP10" i="5" s="1"/>
  <c r="CQ19" i="5"/>
  <c r="DU19" i="5" s="1"/>
  <c r="DF19" i="5" s="1"/>
  <c r="DI13" i="5"/>
  <c r="CT13" i="5"/>
  <c r="DX13" i="5"/>
  <c r="CX17" i="5"/>
  <c r="EB17" i="5" s="1"/>
  <c r="DM17" i="5" s="1"/>
  <c r="DH8" i="5"/>
  <c r="DW8" i="5"/>
  <c r="CS8" i="5"/>
  <c r="I9" i="5"/>
  <c r="CQ9" i="5"/>
  <c r="DU9" i="5"/>
  <c r="DF9" i="5"/>
  <c r="EB26" i="5"/>
  <c r="DM26" i="5"/>
  <c r="CX26" i="5"/>
  <c r="DF24" i="5"/>
  <c r="DU24" i="5"/>
  <c r="CQ24" i="5"/>
  <c r="DA20" i="5"/>
  <c r="EE20" i="5" s="1"/>
  <c r="DP20" i="5" s="1"/>
  <c r="DV25" i="5"/>
  <c r="CR25" i="5"/>
  <c r="DG25" i="5"/>
  <c r="CZ5" i="5"/>
  <c r="ED5" i="5" s="1"/>
  <c r="DO5" i="5" s="1"/>
  <c r="DQ14" i="5"/>
  <c r="EF14" i="5"/>
  <c r="DB14" i="5"/>
  <c r="CW15" i="5"/>
  <c r="EA15" i="5" s="1"/>
  <c r="DL15" i="5" s="1"/>
  <c r="DK29" i="5"/>
  <c r="DZ29" i="5"/>
  <c r="CV29" i="5"/>
  <c r="DB22" i="5"/>
  <c r="EF22" i="5" s="1"/>
  <c r="DQ22" i="5" s="1"/>
  <c r="DT6" i="5"/>
  <c r="DE6" i="5"/>
  <c r="CP6" i="5"/>
  <c r="EG31" i="5"/>
  <c r="DR31" i="5"/>
  <c r="DC31" i="5"/>
  <c r="DX28" i="5"/>
  <c r="DI28" i="5"/>
  <c r="CT28" i="5"/>
  <c r="CZ18" i="5"/>
  <c r="ED18" i="5" s="1"/>
  <c r="DO18" i="5" s="1"/>
  <c r="DK12" i="5"/>
  <c r="DZ12" i="5"/>
  <c r="CV12" i="5"/>
  <c r="DA7" i="5"/>
  <c r="EE7" i="5" s="1"/>
  <c r="DP7" i="5" s="1"/>
  <c r="DH10" i="5"/>
  <c r="CS10" i="5"/>
  <c r="DW10" i="5"/>
  <c r="CP19" i="5"/>
  <c r="DT19" i="5" s="1"/>
  <c r="DE19" i="5" s="1"/>
  <c r="DB19" i="5"/>
  <c r="EF19" i="5" s="1"/>
  <c r="DQ19" i="5" s="1"/>
  <c r="CQ13" i="5"/>
  <c r="DU13" i="5" s="1"/>
  <c r="DF13" i="5" s="1"/>
  <c r="DA13" i="5"/>
  <c r="EE13" i="5" s="1"/>
  <c r="DP13" i="5" s="1"/>
  <c r="DA17" i="5"/>
  <c r="EE17" i="5" s="1"/>
  <c r="DP17" i="5" s="1"/>
  <c r="CW17" i="5"/>
  <c r="EA17" i="5" s="1"/>
  <c r="DL17" i="5" s="1"/>
  <c r="CZ21" i="5"/>
  <c r="ED21" i="5" s="1"/>
  <c r="DO21" i="5" s="1"/>
  <c r="DT8" i="5"/>
  <c r="DE8" i="5"/>
  <c r="CP8" i="5"/>
  <c r="CW8" i="5"/>
  <c r="EA8" i="5" s="1"/>
  <c r="DL8" i="5" s="1"/>
  <c r="DI9" i="5"/>
  <c r="DX9" i="5"/>
  <c r="CT9" i="5"/>
  <c r="CX9" i="5"/>
  <c r="EB9" i="5"/>
  <c r="DM9" i="5" s="1"/>
  <c r="DG11" i="5"/>
  <c r="DV11" i="5"/>
  <c r="CR11" i="5"/>
  <c r="DJ11" i="5"/>
  <c r="DY11" i="5"/>
  <c r="CU11" i="5"/>
  <c r="EA26" i="5"/>
  <c r="DL26" i="5"/>
  <c r="CW26" i="5"/>
  <c r="EE26" i="5"/>
  <c r="DA26" i="5"/>
  <c r="DP26" i="5"/>
  <c r="DW24" i="5"/>
  <c r="DH24" i="5"/>
  <c r="CS24" i="5"/>
  <c r="DX24" i="5"/>
  <c r="DI24" i="5"/>
  <c r="CT24" i="5"/>
  <c r="CS20" i="5"/>
  <c r="DW20" i="5" s="1"/>
  <c r="DH20" i="5" s="1"/>
  <c r="DT25" i="5"/>
  <c r="CP25" i="5"/>
  <c r="DE25" i="5"/>
  <c r="DZ25" i="5"/>
  <c r="DK25" i="5"/>
  <c r="CV25" i="5"/>
  <c r="DC23" i="5"/>
  <c r="EG23" i="5" s="1"/>
  <c r="DR23" i="5" s="1"/>
  <c r="CZ23" i="5"/>
  <c r="ED23" i="5" s="1"/>
  <c r="DO23" i="5" s="1"/>
  <c r="DT27" i="5"/>
  <c r="DE27" i="5"/>
  <c r="CP27" i="5"/>
  <c r="DL27" i="5"/>
  <c r="CW27" i="5"/>
  <c r="EA27" i="5"/>
  <c r="DP14" i="5"/>
  <c r="EE14" i="5"/>
  <c r="DA14" i="5"/>
  <c r="CQ14" i="5"/>
  <c r="DU14" i="5" s="1"/>
  <c r="DF14" i="5" s="1"/>
  <c r="U15" i="5"/>
  <c r="EG15" i="5"/>
  <c r="DC15" i="5"/>
  <c r="DR15" i="5"/>
  <c r="CY15" i="5"/>
  <c r="EC15" i="5" s="1"/>
  <c r="DN15" i="5" s="1"/>
  <c r="EG29" i="5"/>
  <c r="DR29" i="5"/>
  <c r="DC29" i="5"/>
  <c r="CY4" i="5"/>
  <c r="EC4" i="5" s="1"/>
  <c r="DN4" i="5" s="1"/>
  <c r="ED22" i="5"/>
  <c r="DO22" i="5" s="1"/>
  <c r="CZ22" i="5"/>
  <c r="CT22" i="5"/>
  <c r="DX22" i="5" s="1"/>
  <c r="DV30" i="5"/>
  <c r="DG30" i="5"/>
  <c r="CR30" i="5"/>
  <c r="DA6" i="5"/>
  <c r="EE6" i="5" s="1"/>
  <c r="DP6" i="5" s="1"/>
  <c r="CQ6" i="5"/>
  <c r="DF6" i="5"/>
  <c r="DU6" i="5"/>
  <c r="DY31" i="5"/>
  <c r="DJ31" i="5"/>
  <c r="CU31" i="5"/>
  <c r="EC31" i="5"/>
  <c r="CY31" i="5"/>
  <c r="DN31" i="5"/>
  <c r="EA28" i="5"/>
  <c r="DL28" i="5"/>
  <c r="CW28" i="5"/>
  <c r="EB28" i="5"/>
  <c r="DM28" i="5"/>
  <c r="CX28" i="5"/>
  <c r="CQ18" i="5"/>
  <c r="DU18" i="5" s="1"/>
  <c r="DF18" i="5" s="1"/>
  <c r="CX7" i="5"/>
  <c r="EB7" i="5" s="1"/>
  <c r="DM7" i="5" s="1"/>
  <c r="CZ19" i="5"/>
  <c r="ED19" i="5" s="1"/>
  <c r="DO19" i="5" s="1"/>
  <c r="CV17" i="5"/>
  <c r="DZ17" i="5" s="1"/>
  <c r="DK17" i="5" s="1"/>
  <c r="DC8" i="5"/>
  <c r="EG8" i="5" s="1"/>
  <c r="DR8" i="5" s="1"/>
  <c r="CP4" i="5"/>
  <c r="DE4" i="5" s="1"/>
  <c r="CP20" i="5"/>
  <c r="DT20" i="5" s="1"/>
  <c r="DE20" i="5" s="1"/>
  <c r="EB23" i="5"/>
  <c r="DM23" i="5" s="1"/>
  <c r="CX23" i="5"/>
  <c r="CU14" i="5"/>
  <c r="DY14" i="5" s="1"/>
  <c r="DJ14" i="5" s="1"/>
  <c r="DT29" i="5"/>
  <c r="DE29" i="5"/>
  <c r="CP29" i="5"/>
  <c r="CU6" i="5"/>
  <c r="DY6" i="5" s="1"/>
  <c r="DJ6" i="5" s="1"/>
  <c r="EE28" i="5"/>
  <c r="DA28" i="5"/>
  <c r="DP28" i="5"/>
  <c r="DA4" i="5"/>
  <c r="EE4" i="5" s="1"/>
  <c r="DP4" i="5" s="1"/>
  <c r="CY16" i="5"/>
  <c r="EC16" i="5" s="1"/>
  <c r="DN16" i="5" s="1"/>
  <c r="CX10" i="5"/>
  <c r="EB10" i="5" s="1"/>
  <c r="DM10" i="5" s="1"/>
  <c r="CY13" i="5"/>
  <c r="EC13" i="5" s="1"/>
  <c r="DN13" i="5" s="1"/>
  <c r="CU21" i="5"/>
  <c r="DY21" i="5" s="1"/>
  <c r="DJ21" i="5" s="1"/>
  <c r="I11" i="5"/>
  <c r="DU11" i="5"/>
  <c r="CQ11" i="5"/>
  <c r="DF11" i="5"/>
  <c r="DL24" i="5"/>
  <c r="EA24" i="5"/>
  <c r="CW24" i="5"/>
  <c r="EB25" i="5"/>
  <c r="DM25" i="5"/>
  <c r="CX25" i="5"/>
  <c r="DV27" i="5"/>
  <c r="DG27" i="5"/>
  <c r="CR27" i="5"/>
  <c r="CT15" i="5"/>
  <c r="DX15" i="5" s="1"/>
  <c r="DI15" i="5" s="1"/>
  <c r="DU22" i="5"/>
  <c r="DF22" i="5"/>
  <c r="CQ22" i="5"/>
  <c r="CT31" i="5"/>
  <c r="DX31" i="5"/>
  <c r="DI31" i="5"/>
  <c r="CX18" i="5"/>
  <c r="EB18" i="5" s="1"/>
  <c r="DM18" i="5" s="1"/>
  <c r="CS18" i="5"/>
  <c r="DW18" i="5" s="1"/>
  <c r="DH18" i="5" s="1"/>
  <c r="DM12" i="5"/>
  <c r="EB12" i="5"/>
  <c r="CX12" i="5"/>
  <c r="CW10" i="5"/>
  <c r="EA10" i="5" s="1"/>
  <c r="DL10" i="5" s="1"/>
  <c r="DM13" i="5"/>
  <c r="EB13" i="5"/>
  <c r="CX13" i="5"/>
  <c r="CU17" i="5"/>
  <c r="DY17" i="5" s="1"/>
  <c r="DJ17" i="5" s="1"/>
  <c r="CW21" i="5"/>
  <c r="EA21" i="5" s="1"/>
  <c r="DL21" i="5" s="1"/>
  <c r="CS21" i="5"/>
  <c r="DW21" i="5" s="1"/>
  <c r="DH21" i="5" s="1"/>
  <c r="DB9" i="5"/>
  <c r="EF9" i="5" s="1"/>
  <c r="DQ9" i="5" s="1"/>
  <c r="CZ11" i="5"/>
  <c r="ED11" i="5" s="1"/>
  <c r="DO11" i="5" s="1"/>
  <c r="DC11" i="5"/>
  <c r="EG11" i="5" s="1"/>
  <c r="DR11" i="5" s="1"/>
  <c r="DI26" i="5"/>
  <c r="CT26" i="5"/>
  <c r="DX26" i="5"/>
  <c r="EF24" i="5"/>
  <c r="DB24" i="5"/>
  <c r="DQ24" i="5"/>
  <c r="CV20" i="5"/>
  <c r="DZ20" i="5" s="1"/>
  <c r="DK20" i="5" s="1"/>
  <c r="CV23" i="5"/>
  <c r="DZ23" i="5" s="1"/>
  <c r="DK23" i="5" s="1"/>
  <c r="CS23" i="5"/>
  <c r="DW23" i="5" s="1"/>
  <c r="DH23" i="5" s="1"/>
  <c r="EB27" i="5"/>
  <c r="CX27" i="5"/>
  <c r="DM27" i="5"/>
  <c r="CY14" i="5"/>
  <c r="EC14" i="5" s="1"/>
  <c r="DN14" i="5" s="1"/>
  <c r="CR15" i="5"/>
  <c r="DV15" i="5" s="1"/>
  <c r="DG15" i="5" s="1"/>
  <c r="EC29" i="5"/>
  <c r="CY29" i="5"/>
  <c r="DN29" i="5"/>
  <c r="CU22" i="5"/>
  <c r="DY22" i="5" s="1"/>
  <c r="DJ22" i="5" s="1"/>
  <c r="ED30" i="5"/>
  <c r="DO30" i="5"/>
  <c r="CZ30" i="5"/>
  <c r="CY6" i="5"/>
  <c r="EC6" i="5" s="1"/>
  <c r="DN6" i="5" s="1"/>
  <c r="CR31" i="5"/>
  <c r="DV31" i="5"/>
  <c r="DG31" i="5"/>
  <c r="DF28" i="5"/>
  <c r="DU28" i="5"/>
  <c r="CQ28" i="5"/>
  <c r="CW18" i="5"/>
  <c r="EA18" i="5" s="1"/>
  <c r="DL18" i="5" s="1"/>
  <c r="DX12" i="5"/>
  <c r="CT12" i="5"/>
  <c r="DI12" i="5"/>
  <c r="CV16" i="5"/>
  <c r="DZ16" i="5" s="1"/>
  <c r="DK16" i="5" s="1"/>
  <c r="H7" i="5"/>
  <c r="DT7" i="5"/>
  <c r="DE7" i="5"/>
  <c r="CP7" i="5"/>
  <c r="CY10" i="5"/>
  <c r="EC10" i="5" s="1"/>
  <c r="DN10" i="5" s="1"/>
  <c r="CV18" i="5"/>
  <c r="DZ18" i="5" s="1"/>
  <c r="DK18" i="5" s="1"/>
  <c r="CR18" i="5"/>
  <c r="DV18" i="5" s="1"/>
  <c r="DG18" i="5" s="1"/>
  <c r="DA12" i="5"/>
  <c r="EE12" i="5" s="1"/>
  <c r="DP12" i="5" s="1"/>
  <c r="CP16" i="5"/>
  <c r="DT16" i="5" s="1"/>
  <c r="DE16" i="5" s="1"/>
  <c r="DC16" i="5"/>
  <c r="EG16" i="5" s="1"/>
  <c r="DR16" i="5" s="1"/>
  <c r="CV7" i="5"/>
  <c r="DZ7" i="5" s="1"/>
  <c r="DK7" i="5" s="1"/>
  <c r="CS7" i="5"/>
  <c r="DW7" i="5" s="1"/>
  <c r="DH7" i="5" s="1"/>
  <c r="DZ10" i="5"/>
  <c r="CV10" i="5"/>
  <c r="DK10" i="5"/>
  <c r="CZ10" i="5"/>
  <c r="ED10" i="5" s="1"/>
  <c r="DO10" i="5" s="1"/>
  <c r="DA19" i="5"/>
  <c r="EE19" i="5" s="1"/>
  <c r="DP19" i="5" s="1"/>
  <c r="CX19" i="5"/>
  <c r="EB19" i="5" s="1"/>
  <c r="DM19" i="5" s="1"/>
  <c r="EA13" i="5"/>
  <c r="DL13" i="5"/>
  <c r="CW13" i="5"/>
  <c r="CS13" i="5"/>
  <c r="DW13" i="5" s="1"/>
  <c r="DH13" i="5" s="1"/>
  <c r="CS17" i="5"/>
  <c r="DW17" i="5" s="1"/>
  <c r="DH17" i="5" s="1"/>
  <c r="DC17" i="5"/>
  <c r="EG17" i="5" s="1"/>
  <c r="DR17" i="5" s="1"/>
  <c r="CV21" i="5"/>
  <c r="DZ21" i="5" s="1"/>
  <c r="DK21" i="5" s="1"/>
  <c r="CZ8" i="5"/>
  <c r="ED8" i="5" s="1"/>
  <c r="DO8" i="5" s="1"/>
  <c r="CV8" i="5"/>
  <c r="DZ8" i="5" s="1"/>
  <c r="DK8" i="5" s="1"/>
  <c r="DC9" i="5"/>
  <c r="EG9" i="5" s="1"/>
  <c r="DR9" i="5" s="1"/>
  <c r="CW9" i="5"/>
  <c r="EA9" i="5" s="1"/>
  <c r="DL9" i="5" s="1"/>
  <c r="DH11" i="5"/>
  <c r="DW11" i="5"/>
  <c r="CS11" i="5"/>
  <c r="DI11" i="5"/>
  <c r="DX11" i="5"/>
  <c r="CT11" i="5"/>
  <c r="EC26" i="5"/>
  <c r="DN26" i="5"/>
  <c r="CY26" i="5"/>
  <c r="DH26" i="5"/>
  <c r="CS26" i="5"/>
  <c r="DW26" i="5"/>
  <c r="ED24" i="5"/>
  <c r="DO24" i="5"/>
  <c r="CZ24" i="5"/>
  <c r="EE24" i="5"/>
  <c r="DP24" i="5"/>
  <c r="DA24" i="5"/>
  <c r="CZ20" i="5"/>
  <c r="ED20" i="5" s="1"/>
  <c r="DO20" i="5" s="1"/>
  <c r="EF25" i="5"/>
  <c r="DQ25" i="5"/>
  <c r="DB25" i="5"/>
  <c r="EC25" i="5"/>
  <c r="DN25" i="5"/>
  <c r="CY25" i="5"/>
  <c r="DY23" i="5"/>
  <c r="DJ23" i="5"/>
  <c r="CU23" i="5"/>
  <c r="DV23" i="5"/>
  <c r="DG23" i="5" s="1"/>
  <c r="CR23" i="5"/>
  <c r="EF27" i="5"/>
  <c r="DQ27" i="5"/>
  <c r="DB27" i="5"/>
  <c r="DZ27" i="5"/>
  <c r="DK27" i="5"/>
  <c r="CV27" i="5"/>
  <c r="CS14" i="5"/>
  <c r="DW14" i="5" s="1"/>
  <c r="DH14" i="5" s="1"/>
  <c r="CX14" i="5"/>
  <c r="EB14" i="5" s="1"/>
  <c r="DM14" i="5" s="1"/>
  <c r="CU15" i="5"/>
  <c r="DY15" i="5" s="1"/>
  <c r="DJ15" i="5" s="1"/>
  <c r="CQ15" i="5"/>
  <c r="DU15" i="5" s="1"/>
  <c r="DF15" i="5" s="1"/>
  <c r="DJ29" i="5"/>
  <c r="CU29" i="5"/>
  <c r="DY29" i="5"/>
  <c r="CU4" i="5"/>
  <c r="DY4" i="5" s="1"/>
  <c r="DJ4" i="5" s="1"/>
  <c r="DV22" i="5"/>
  <c r="DG22" i="5" s="1"/>
  <c r="CR22" i="5"/>
  <c r="DT30" i="5"/>
  <c r="DE30" i="5"/>
  <c r="CP30" i="5"/>
  <c r="EF30" i="5"/>
  <c r="DQ30" i="5"/>
  <c r="DB30" i="5"/>
  <c r="CS6" i="5"/>
  <c r="DW6" i="5" s="1"/>
  <c r="DH6" i="5" s="1"/>
  <c r="CX6" i="5"/>
  <c r="EB6" i="5" s="1"/>
  <c r="DM6" i="5" s="1"/>
  <c r="EB31" i="5"/>
  <c r="DM31" i="5"/>
  <c r="CX31" i="5"/>
  <c r="DU31" i="5"/>
  <c r="DF31" i="5"/>
  <c r="CQ31" i="5"/>
  <c r="DZ28" i="5"/>
  <c r="DK28" i="5"/>
  <c r="CV28" i="5"/>
  <c r="CR4" i="5"/>
  <c r="DV4" i="5" s="1"/>
  <c r="DG4" i="5" s="1"/>
  <c r="AG5" i="5"/>
  <c r="AZ5" i="5" s="1"/>
  <c r="AL5" i="5"/>
  <c r="AS5" i="5"/>
  <c r="AI5" i="5"/>
  <c r="AQ5" i="5"/>
  <c r="CN24" i="5"/>
  <c r="CJ28" i="5"/>
  <c r="CB9" i="5"/>
  <c r="CM24" i="5"/>
  <c r="CG23" i="5"/>
  <c r="N23" i="5" s="1"/>
  <c r="T14" i="5"/>
  <c r="CM14" i="5"/>
  <c r="H6" i="5"/>
  <c r="CA6" i="5"/>
  <c r="CE28" i="5"/>
  <c r="CF25" i="5"/>
  <c r="M25" i="5" s="1"/>
  <c r="CA9" i="5"/>
  <c r="CK15" i="5"/>
  <c r="CE30" i="5"/>
  <c r="P26" i="5"/>
  <c r="L12" i="5"/>
  <c r="CG12" i="5"/>
  <c r="CA7" i="5"/>
  <c r="H8" i="5"/>
  <c r="CA8" i="5"/>
  <c r="CE9" i="5"/>
  <c r="L9" i="5" s="1"/>
  <c r="CC11" i="5"/>
  <c r="J11" i="5" s="1"/>
  <c r="S26" i="5"/>
  <c r="CE24" i="5"/>
  <c r="S14" i="5"/>
  <c r="CL14" i="5"/>
  <c r="CN15" i="5"/>
  <c r="CN29" i="5"/>
  <c r="U29" i="5" s="1"/>
  <c r="CJ31" i="5"/>
  <c r="Q31" i="5" s="1"/>
  <c r="J8" i="5"/>
  <c r="CJ27" i="5"/>
  <c r="Q27" i="5" s="1"/>
  <c r="CH12" i="5"/>
  <c r="H10" i="5"/>
  <c r="CA10" i="5"/>
  <c r="U14" i="5"/>
  <c r="CN14" i="5"/>
  <c r="CG30" i="5"/>
  <c r="CE8" i="5"/>
  <c r="CH29" i="5"/>
  <c r="O29" i="5" s="1"/>
  <c r="CM28" i="5"/>
  <c r="I10" i="5"/>
  <c r="CB10" i="5"/>
  <c r="J10" i="5"/>
  <c r="CM15" i="5"/>
  <c r="U30" i="5"/>
  <c r="T26" i="5"/>
  <c r="I8" i="5"/>
  <c r="CB8" i="5"/>
  <c r="CB11" i="5"/>
  <c r="I26" i="5"/>
  <c r="CC26" i="5"/>
  <c r="CD28" i="5"/>
  <c r="CA11" i="5"/>
  <c r="R14" i="5"/>
  <c r="CK14" i="5"/>
  <c r="CL15" i="5"/>
  <c r="CI29" i="5"/>
  <c r="P29" i="5" s="1"/>
  <c r="CL31" i="5"/>
  <c r="S31" i="5" s="1"/>
  <c r="L22" i="5" l="1"/>
  <c r="DI22" i="5"/>
  <c r="DM20" i="5"/>
  <c r="P20" i="5"/>
  <c r="BH5" i="5"/>
  <c r="BW5" i="5" s="1"/>
  <c r="CL5" i="5" s="1"/>
  <c r="S5" i="5" s="1"/>
  <c r="AY5" i="5"/>
  <c r="BN5" i="5" s="1"/>
  <c r="CC5" i="5" s="1"/>
  <c r="J5" i="5" s="1"/>
  <c r="BA5" i="5"/>
  <c r="BP5" i="5" s="1"/>
  <c r="BG5" i="5"/>
  <c r="BV5" i="5" s="1"/>
  <c r="CK5" i="5" s="1"/>
  <c r="R5" i="5" s="1"/>
  <c r="BC5" i="5"/>
  <c r="BR5" i="5" s="1"/>
  <c r="CG5" i="5" s="1"/>
  <c r="N5" i="5" s="1"/>
  <c r="CR5" i="5"/>
  <c r="DV5" i="5" s="1"/>
  <c r="DG5" i="5" s="1"/>
  <c r="BE5" i="5"/>
  <c r="BT5" i="5" s="1"/>
  <c r="CI5" i="5" s="1"/>
  <c r="P5" i="5" s="1"/>
  <c r="CW5" i="5"/>
  <c r="EA5" i="5" s="1"/>
  <c r="DL5" i="5" s="1"/>
  <c r="BD5" i="5"/>
  <c r="BS5" i="5" s="1"/>
  <c r="CH5" i="5" s="1"/>
  <c r="O5" i="5" s="1"/>
  <c r="BJ5" i="5"/>
  <c r="BY5" i="5" s="1"/>
  <c r="CN5" i="5" s="1"/>
  <c r="U5" i="5" s="1"/>
  <c r="BI5" i="5"/>
  <c r="BX5" i="5" s="1"/>
  <c r="CM5" i="5" s="1"/>
  <c r="T5" i="5" s="1"/>
  <c r="BO5" i="5"/>
  <c r="CD5" i="5" s="1"/>
  <c r="K5" i="5" s="1"/>
  <c r="BF5" i="5"/>
  <c r="BU5" i="5" s="1"/>
  <c r="BL5" i="5"/>
  <c r="CA5" i="5" s="1"/>
  <c r="H5" i="5" s="1"/>
  <c r="AW5" i="5"/>
  <c r="AX5" i="5"/>
  <c r="BM5" i="5" s="1"/>
  <c r="CV5" i="5"/>
  <c r="DZ5" i="5" s="1"/>
  <c r="DK5" i="5" s="1"/>
  <c r="CU5" i="5"/>
  <c r="DY5" i="5" s="1"/>
  <c r="DJ5" i="5" s="1"/>
  <c r="BB5" i="5"/>
  <c r="BQ5" i="5" s="1"/>
  <c r="CF5" i="5" s="1"/>
  <c r="M5" i="5" s="1"/>
  <c r="DC5" i="5"/>
  <c r="EG5" i="5" s="1"/>
  <c r="DR5" i="5" s="1"/>
  <c r="CX5" i="5"/>
  <c r="EB5" i="5" s="1"/>
  <c r="DM5" i="5" s="1"/>
  <c r="DB5" i="5"/>
  <c r="EF5" i="5" s="1"/>
  <c r="DQ5" i="5" s="1"/>
  <c r="CY5" i="5"/>
  <c r="EC5" i="5" s="1"/>
  <c r="DN5" i="5" s="1"/>
  <c r="CQ5" i="5"/>
  <c r="DU5" i="5" s="1"/>
  <c r="DF5" i="5" s="1"/>
  <c r="CT5" i="5"/>
  <c r="DX5" i="5" s="1"/>
  <c r="DI5" i="5" s="1"/>
  <c r="DA5" i="5"/>
  <c r="EE5" i="5" s="1"/>
  <c r="DP5" i="5" s="1"/>
  <c r="H4" i="5"/>
  <c r="CB13" i="5"/>
  <c r="I13" i="5" s="1"/>
  <c r="CA13" i="5"/>
  <c r="H13" i="5" s="1"/>
  <c r="CA12" i="5"/>
  <c r="H12" i="5"/>
  <c r="I12" i="5"/>
  <c r="CB12" i="5"/>
  <c r="CF12" i="5"/>
  <c r="M12" i="5"/>
  <c r="CE13" i="5"/>
  <c r="L13" i="5" s="1"/>
  <c r="N12" i="5"/>
  <c r="CE12" i="5"/>
  <c r="CF13" i="5"/>
  <c r="M13" i="5" s="1"/>
  <c r="CG13" i="5"/>
  <c r="N13" i="5" s="1"/>
  <c r="L10" i="5"/>
  <c r="CE10" i="5"/>
  <c r="CE11" i="5"/>
  <c r="L11" i="5" s="1"/>
  <c r="CD13" i="5"/>
  <c r="K13" i="5" s="1"/>
  <c r="K12" i="5"/>
  <c r="CD12" i="5"/>
  <c r="CD10" i="5"/>
  <c r="K10" i="5"/>
  <c r="CC8" i="5"/>
  <c r="CD11" i="5"/>
  <c r="K11" i="5" s="1"/>
  <c r="CC12" i="5"/>
  <c r="J12" i="5"/>
  <c r="CC9" i="5"/>
  <c r="J9" i="5" s="1"/>
  <c r="CC13" i="5"/>
  <c r="J13" i="5" s="1"/>
  <c r="CC10" i="5"/>
  <c r="CH13" i="5"/>
  <c r="O13" i="5" s="1"/>
  <c r="O12" i="5"/>
  <c r="CF11" i="5"/>
  <c r="M11" i="5" s="1"/>
  <c r="M10" i="5"/>
  <c r="CF10" i="5"/>
  <c r="CD9" i="5"/>
  <c r="K9" i="5" s="1"/>
  <c r="CD8" i="5"/>
  <c r="K8" i="5"/>
  <c r="I6" i="5"/>
  <c r="CB6" i="5"/>
  <c r="CB7" i="5"/>
  <c r="I7" i="5" s="1"/>
  <c r="T16" i="5"/>
  <c r="CM16" i="5"/>
  <c r="CN20" i="5"/>
  <c r="U20" i="5"/>
  <c r="CJ14" i="5"/>
  <c r="U22" i="5"/>
  <c r="CN22" i="5"/>
  <c r="CN25" i="5"/>
  <c r="U25" i="5" s="1"/>
  <c r="U18" i="5"/>
  <c r="CN18" i="5"/>
  <c r="CN26" i="5"/>
  <c r="U26" i="5"/>
  <c r="U28" i="5"/>
  <c r="CN28" i="5"/>
  <c r="CN16" i="5"/>
  <c r="U16" i="5"/>
  <c r="CM23" i="5"/>
  <c r="T23" i="5" s="1"/>
  <c r="CM19" i="5"/>
  <c r="T19" i="5" s="1"/>
  <c r="CN17" i="5"/>
  <c r="U17" i="5" s="1"/>
  <c r="CE31" i="5"/>
  <c r="L31" i="5" s="1"/>
  <c r="CN31" i="5"/>
  <c r="U31" i="5" s="1"/>
  <c r="CN30" i="5"/>
  <c r="CM22" i="5"/>
  <c r="CN27" i="5"/>
  <c r="U27" i="5" s="1"/>
  <c r="U24" i="5"/>
  <c r="N30" i="5"/>
  <c r="CN23" i="5"/>
  <c r="U23" i="5" s="1"/>
  <c r="T20" i="5"/>
  <c r="CM20" i="5"/>
  <c r="CC31" i="5"/>
  <c r="J31" i="5" s="1"/>
  <c r="CM17" i="5"/>
  <c r="T17" i="5" s="1"/>
  <c r="I30" i="5"/>
  <c r="CB30" i="5"/>
  <c r="CM29" i="5"/>
  <c r="T29" i="5" s="1"/>
  <c r="CM31" i="5"/>
  <c r="T31" i="5" s="1"/>
  <c r="CF31" i="5"/>
  <c r="M31" i="5" s="1"/>
  <c r="CM18" i="5"/>
  <c r="T18" i="5"/>
  <c r="T30" i="5"/>
  <c r="CM30" i="5"/>
  <c r="CM25" i="5"/>
  <c r="T25" i="5" s="1"/>
  <c r="T28" i="5"/>
  <c r="L30" i="5"/>
  <c r="CM21" i="5"/>
  <c r="T21" i="5" s="1"/>
  <c r="CJ9" i="5"/>
  <c r="Q9" i="5" s="1"/>
  <c r="CM26" i="5"/>
  <c r="CM27" i="5"/>
  <c r="T27" i="5" s="1"/>
  <c r="CA31" i="5"/>
  <c r="H31" i="5" s="1"/>
  <c r="CI31" i="5"/>
  <c r="P31" i="5" s="1"/>
  <c r="H30" i="5"/>
  <c r="CA30" i="5"/>
  <c r="CH31" i="5"/>
  <c r="O31" i="5" s="1"/>
  <c r="O30" i="5"/>
  <c r="CH30" i="5"/>
  <c r="CI30" i="5"/>
  <c r="P30" i="5"/>
  <c r="Q30" i="5"/>
  <c r="CJ30" i="5"/>
  <c r="CB31" i="5"/>
  <c r="I31" i="5" s="1"/>
  <c r="R30" i="5"/>
  <c r="CK30" i="5"/>
  <c r="CG31" i="5"/>
  <c r="N31" i="5" s="1"/>
  <c r="K30" i="5"/>
  <c r="CD30" i="5"/>
  <c r="CL30" i="5"/>
  <c r="S30" i="5"/>
  <c r="CC30" i="5"/>
  <c r="J30" i="5"/>
  <c r="CK31" i="5"/>
  <c r="R31" i="5" s="1"/>
  <c r="CD31" i="5"/>
  <c r="K31" i="5" s="1"/>
  <c r="CF28" i="5"/>
  <c r="CF30" i="5"/>
  <c r="P18" i="5"/>
  <c r="CB29" i="5"/>
  <c r="I29" i="5" s="1"/>
  <c r="I28" i="5"/>
  <c r="CB28" i="5"/>
  <c r="CJ29" i="5"/>
  <c r="Q29" i="5" s="1"/>
  <c r="CL29" i="5"/>
  <c r="S29" i="5" s="1"/>
  <c r="CD20" i="5"/>
  <c r="K20" i="5"/>
  <c r="CG29" i="5"/>
  <c r="N29" i="5" s="1"/>
  <c r="CF29" i="5"/>
  <c r="M29" i="5" s="1"/>
  <c r="H28" i="5"/>
  <c r="CA28" i="5"/>
  <c r="CF27" i="5"/>
  <c r="M27" i="5" s="1"/>
  <c r="CF6" i="5"/>
  <c r="M6" i="5"/>
  <c r="CI28" i="5"/>
  <c r="P28" i="5"/>
  <c r="CH27" i="5"/>
  <c r="O27" i="5" s="1"/>
  <c r="R28" i="5"/>
  <c r="CK28" i="5"/>
  <c r="CK29" i="5"/>
  <c r="R29" i="5" s="1"/>
  <c r="CA29" i="5"/>
  <c r="H29" i="5" s="1"/>
  <c r="CJ17" i="5"/>
  <c r="Q17" i="5" s="1"/>
  <c r="CE29" i="5"/>
  <c r="L29" i="5" s="1"/>
  <c r="CD29" i="5"/>
  <c r="K29" i="5" s="1"/>
  <c r="CC28" i="5"/>
  <c r="Q28" i="5"/>
  <c r="CL28" i="5"/>
  <c r="CA21" i="5"/>
  <c r="H21" i="5" s="1"/>
  <c r="CG28" i="5"/>
  <c r="CC29" i="5"/>
  <c r="J29" i="5" s="1"/>
  <c r="CH28" i="5"/>
  <c r="L28" i="5"/>
  <c r="CK16" i="5"/>
  <c r="O8" i="5"/>
  <c r="CA19" i="5"/>
  <c r="H19" i="5" s="1"/>
  <c r="K28" i="5"/>
  <c r="L24" i="5"/>
  <c r="CG26" i="5"/>
  <c r="N26" i="5"/>
  <c r="CD15" i="5"/>
  <c r="K15" i="5" s="1"/>
  <c r="CJ23" i="5"/>
  <c r="Q23" i="5" s="1"/>
  <c r="CF15" i="5"/>
  <c r="M15" i="5" s="1"/>
  <c r="CJ26" i="5"/>
  <c r="Q26" i="5"/>
  <c r="CK26" i="5"/>
  <c r="R26" i="5"/>
  <c r="CH9" i="5"/>
  <c r="O9" i="5" s="1"/>
  <c r="CA25" i="5"/>
  <c r="H25" i="5" s="1"/>
  <c r="R18" i="5"/>
  <c r="CK18" i="5"/>
  <c r="U10" i="5"/>
  <c r="CN10" i="5"/>
  <c r="CL19" i="5"/>
  <c r="S19" i="5" s="1"/>
  <c r="L26" i="5"/>
  <c r="CE26" i="5"/>
  <c r="CE27" i="5"/>
  <c r="L27" i="5" s="1"/>
  <c r="CG21" i="5"/>
  <c r="N21" i="5" s="1"/>
  <c r="CE7" i="5"/>
  <c r="L7" i="5" s="1"/>
  <c r="M26" i="5"/>
  <c r="CF26" i="5"/>
  <c r="CG27" i="5"/>
  <c r="N27" i="5" s="1"/>
  <c r="O26" i="5"/>
  <c r="CH26" i="5"/>
  <c r="CH18" i="5"/>
  <c r="O18" i="5"/>
  <c r="CD23" i="5"/>
  <c r="K23" i="5" s="1"/>
  <c r="CA26" i="5"/>
  <c r="H26" i="5"/>
  <c r="CM11" i="5"/>
  <c r="T11" i="5" s="1"/>
  <c r="CC15" i="5"/>
  <c r="J15" i="5" s="1"/>
  <c r="CL27" i="5"/>
  <c r="S27" i="5" s="1"/>
  <c r="S4" i="5"/>
  <c r="CL4" i="5"/>
  <c r="CI22" i="5"/>
  <c r="P22" i="5"/>
  <c r="CF9" i="5"/>
  <c r="M9" i="5" s="1"/>
  <c r="CK17" i="5"/>
  <c r="R17" i="5" s="1"/>
  <c r="CH7" i="5"/>
  <c r="O7" i="5" s="1"/>
  <c r="CB4" i="5"/>
  <c r="I4" i="5"/>
  <c r="CD22" i="5"/>
  <c r="K22" i="5"/>
  <c r="Q24" i="5"/>
  <c r="CJ24" i="5"/>
  <c r="CD27" i="5"/>
  <c r="K27" i="5" s="1"/>
  <c r="CB27" i="5"/>
  <c r="I27" i="5" s="1"/>
  <c r="CG18" i="5"/>
  <c r="N18" i="5"/>
  <c r="CC27" i="5"/>
  <c r="J27" i="5" s="1"/>
  <c r="CH14" i="5"/>
  <c r="O14" i="5"/>
  <c r="CK27" i="5"/>
  <c r="R27" i="5" s="1"/>
  <c r="K26" i="5"/>
  <c r="CD26" i="5"/>
  <c r="CG8" i="5"/>
  <c r="N8" i="5"/>
  <c r="J26" i="5"/>
  <c r="CG19" i="5"/>
  <c r="N19" i="5" s="1"/>
  <c r="CL21" i="5"/>
  <c r="S21" i="5" s="1"/>
  <c r="CI8" i="5"/>
  <c r="M4" i="5"/>
  <c r="CK24" i="5"/>
  <c r="CL26" i="5"/>
  <c r="CI27" i="5"/>
  <c r="P27" i="5" s="1"/>
  <c r="CJ11" i="5"/>
  <c r="Q11" i="5" s="1"/>
  <c r="CI20" i="5"/>
  <c r="CH25" i="5"/>
  <c r="O25" i="5" s="1"/>
  <c r="CL6" i="5"/>
  <c r="CE22" i="5"/>
  <c r="CB26" i="5"/>
  <c r="CA14" i="5"/>
  <c r="S18" i="5"/>
  <c r="CB25" i="5"/>
  <c r="I25" i="5" s="1"/>
  <c r="CF16" i="5"/>
  <c r="CC18" i="5"/>
  <c r="CD18" i="5"/>
  <c r="CG11" i="5"/>
  <c r="N11" i="5" s="1"/>
  <c r="CM13" i="5"/>
  <c r="T13" i="5" s="1"/>
  <c r="CA17" i="5"/>
  <c r="H17" i="5" s="1"/>
  <c r="CA27" i="5"/>
  <c r="H27" i="5" s="1"/>
  <c r="CD24" i="5"/>
  <c r="CI26" i="5"/>
  <c r="CA24" i="5"/>
  <c r="CJ19" i="5"/>
  <c r="Q19" i="5" s="1"/>
  <c r="CG9" i="5"/>
  <c r="N9" i="5" s="1"/>
  <c r="CC22" i="5"/>
  <c r="CA18" i="5"/>
  <c r="CL13" i="5"/>
  <c r="S13" i="5" s="1"/>
  <c r="CJ25" i="5"/>
  <c r="Q25" i="5" s="1"/>
  <c r="CL20" i="5"/>
  <c r="S20" i="5"/>
  <c r="CN13" i="5"/>
  <c r="U13" i="5" s="1"/>
  <c r="P14" i="5"/>
  <c r="CI14" i="5"/>
  <c r="CL12" i="5"/>
  <c r="S12" i="5"/>
  <c r="J14" i="5"/>
  <c r="CC14" i="5"/>
  <c r="T6" i="5"/>
  <c r="CM6" i="5"/>
  <c r="T4" i="5"/>
  <c r="CM4" i="5"/>
  <c r="CF21" i="5"/>
  <c r="M21" i="5" s="1"/>
  <c r="CE21" i="5"/>
  <c r="L21" i="5" s="1"/>
  <c r="CK7" i="5"/>
  <c r="R7" i="5" s="1"/>
  <c r="CD25" i="5"/>
  <c r="K25" i="5" s="1"/>
  <c r="CK23" i="5"/>
  <c r="R23" i="5" s="1"/>
  <c r="CK11" i="5"/>
  <c r="R11" i="5" s="1"/>
  <c r="J4" i="5"/>
  <c r="CC4" i="5"/>
  <c r="M8" i="5"/>
  <c r="CF8" i="5"/>
  <c r="L20" i="5"/>
  <c r="CE20" i="5"/>
  <c r="CK9" i="5"/>
  <c r="R9" i="5" s="1"/>
  <c r="CI13" i="5"/>
  <c r="P13" i="5" s="1"/>
  <c r="CJ7" i="5"/>
  <c r="Q7" i="5" s="1"/>
  <c r="S24" i="5"/>
  <c r="CL24" i="5"/>
  <c r="CM7" i="5"/>
  <c r="T7" i="5" s="1"/>
  <c r="CF14" i="5"/>
  <c r="M14" i="5"/>
  <c r="CA20" i="5"/>
  <c r="H20" i="5"/>
  <c r="N14" i="5"/>
  <c r="CG14" i="5"/>
  <c r="Q16" i="5"/>
  <c r="CJ16" i="5"/>
  <c r="M18" i="5"/>
  <c r="CF18" i="5"/>
  <c r="I16" i="5"/>
  <c r="CB16" i="5"/>
  <c r="P24" i="5"/>
  <c r="CI24" i="5"/>
  <c r="CF20" i="5"/>
  <c r="M20" i="5"/>
  <c r="R20" i="5"/>
  <c r="CK20" i="5"/>
  <c r="P12" i="5"/>
  <c r="CI12" i="5"/>
  <c r="CI15" i="5"/>
  <c r="P15" i="5" s="1"/>
  <c r="U8" i="5"/>
  <c r="CN8" i="5"/>
  <c r="CD7" i="5"/>
  <c r="K7" i="5" s="1"/>
  <c r="CF7" i="5"/>
  <c r="M7" i="5" s="1"/>
  <c r="CH6" i="5"/>
  <c r="O6" i="5"/>
  <c r="N10" i="5"/>
  <c r="CG10" i="5"/>
  <c r="CL7" i="5"/>
  <c r="S7" i="5" s="1"/>
  <c r="CI17" i="5"/>
  <c r="P17" i="5" s="1"/>
  <c r="H22" i="5"/>
  <c r="CA22" i="5"/>
  <c r="CF23" i="5"/>
  <c r="M23" i="5" s="1"/>
  <c r="CJ21" i="5"/>
  <c r="Q21" i="5" s="1"/>
  <c r="CC7" i="5"/>
  <c r="J7" i="5" s="1"/>
  <c r="CB19" i="5"/>
  <c r="I19" i="5" s="1"/>
  <c r="CI23" i="5"/>
  <c r="P23" i="5" s="1"/>
  <c r="L6" i="5"/>
  <c r="CE6" i="5"/>
  <c r="L14" i="5"/>
  <c r="CE14" i="5"/>
  <c r="CH24" i="5"/>
  <c r="O24" i="5"/>
  <c r="CK12" i="5"/>
  <c r="R12" i="5"/>
  <c r="CI11" i="5"/>
  <c r="P11" i="5" s="1"/>
  <c r="R6" i="5"/>
  <c r="CK6" i="5"/>
  <c r="CN12" i="5"/>
  <c r="U12" i="5"/>
  <c r="CI25" i="5"/>
  <c r="P25" i="5" s="1"/>
  <c r="P10" i="5"/>
  <c r="CI10" i="5"/>
  <c r="H16" i="5"/>
  <c r="CA16" i="5"/>
  <c r="U6" i="5"/>
  <c r="CN6" i="5"/>
  <c r="L18" i="5"/>
  <c r="CE18" i="5"/>
  <c r="CG7" i="5"/>
  <c r="N7" i="5" s="1"/>
  <c r="O10" i="5"/>
  <c r="CH10" i="5"/>
  <c r="P16" i="5"/>
  <c r="CI16" i="5"/>
  <c r="CH16" i="5"/>
  <c r="P6" i="5"/>
  <c r="CK22" i="5"/>
  <c r="CB24" i="5"/>
  <c r="I24" i="5"/>
  <c r="CH20" i="5"/>
  <c r="CM8" i="5"/>
  <c r="T8" i="5"/>
  <c r="CF22" i="5"/>
  <c r="CF17" i="5"/>
  <c r="M17" i="5" s="1"/>
  <c r="Q18" i="5"/>
  <c r="CJ18" i="5"/>
  <c r="CA15" i="5"/>
  <c r="H15" i="5" s="1"/>
  <c r="Q20" i="5"/>
  <c r="CF19" i="5"/>
  <c r="M19" i="5" s="1"/>
  <c r="J20" i="5"/>
  <c r="Q8" i="5"/>
  <c r="CI7" i="5"/>
  <c r="P7" i="5" s="1"/>
  <c r="CH22" i="5"/>
  <c r="CD16" i="5"/>
  <c r="R10" i="5"/>
  <c r="K4" i="5"/>
  <c r="CI9" i="5"/>
  <c r="P9" i="5" s="1"/>
  <c r="CC6" i="5"/>
  <c r="CE4" i="5"/>
  <c r="CL10" i="5"/>
  <c r="S10" i="5"/>
  <c r="N6" i="5"/>
  <c r="P4" i="5"/>
  <c r="CN9" i="5"/>
  <c r="U9" i="5" s="1"/>
  <c r="CD17" i="5"/>
  <c r="K17" i="5" s="1"/>
  <c r="CN11" i="5"/>
  <c r="U11" i="5" s="1"/>
  <c r="CH21" i="5"/>
  <c r="O21" i="5" s="1"/>
  <c r="U4" i="5"/>
  <c r="CN4" i="5"/>
  <c r="CJ6" i="5"/>
  <c r="J24" i="5"/>
  <c r="CC24" i="5"/>
  <c r="CD14" i="5"/>
  <c r="S16" i="5"/>
  <c r="CL16" i="5"/>
  <c r="CG25" i="5"/>
  <c r="N25" i="5" s="1"/>
  <c r="CL17" i="5"/>
  <c r="S17" i="5" s="1"/>
  <c r="Q10" i="5"/>
  <c r="CJ10" i="5"/>
  <c r="CC25" i="5"/>
  <c r="J25" i="5" s="1"/>
  <c r="CC17" i="5"/>
  <c r="J17" i="5" s="1"/>
  <c r="CH4" i="5"/>
  <c r="CB22" i="5"/>
  <c r="CJ13" i="5"/>
  <c r="Q13" i="5" s="1"/>
  <c r="CK8" i="5"/>
  <c r="CK25" i="5"/>
  <c r="R25" i="5" s="1"/>
  <c r="CG4" i="5"/>
  <c r="CG24" i="5"/>
  <c r="CE25" i="5"/>
  <c r="L25" i="5" s="1"/>
  <c r="CK13" i="5"/>
  <c r="R13" i="5" s="1"/>
  <c r="CK19" i="5"/>
  <c r="R19" i="5" s="1"/>
  <c r="CM10" i="5"/>
  <c r="K6" i="5"/>
  <c r="CA23" i="5"/>
  <c r="H23" i="5" s="1"/>
  <c r="CE19" i="5"/>
  <c r="L19" i="5" s="1"/>
  <c r="R4" i="5"/>
  <c r="CK4" i="5"/>
  <c r="CB14" i="5"/>
  <c r="Q12" i="5"/>
  <c r="CB20" i="5"/>
  <c r="CL25" i="5"/>
  <c r="S25" i="5" s="1"/>
  <c r="L16" i="5"/>
  <c r="CE16" i="5"/>
  <c r="N22" i="5"/>
  <c r="CG22" i="5"/>
  <c r="Q4" i="5"/>
  <c r="CJ4" i="5"/>
  <c r="CJ22" i="5"/>
  <c r="CB18" i="5"/>
  <c r="L8" i="5"/>
  <c r="N16" i="5"/>
  <c r="CG16" i="5"/>
  <c r="CH15" i="5"/>
  <c r="O15" i="5" s="1"/>
  <c r="N20" i="5"/>
  <c r="CG20" i="5"/>
  <c r="CL8" i="5"/>
  <c r="S8" i="5"/>
  <c r="CK21" i="5"/>
  <c r="R21" i="5" s="1"/>
  <c r="CD21" i="5"/>
  <c r="K21" i="5" s="1"/>
  <c r="CB17" i="5"/>
  <c r="I17" i="5" s="1"/>
  <c r="CF24" i="5"/>
  <c r="M24" i="5"/>
  <c r="S22" i="5"/>
  <c r="CL22" i="5"/>
  <c r="CM12" i="5"/>
  <c r="CB21" i="5"/>
  <c r="I21" i="5" s="1"/>
  <c r="CL23" i="5"/>
  <c r="S23" i="5" s="1"/>
  <c r="CC16" i="5"/>
  <c r="CC21" i="5"/>
  <c r="J21" i="5" s="1"/>
  <c r="CD19" i="5"/>
  <c r="K19" i="5" s="1"/>
  <c r="M30" i="5"/>
  <c r="K24" i="5"/>
  <c r="T22" i="5"/>
  <c r="O22" i="5"/>
  <c r="N4" i="5"/>
  <c r="O28" i="5"/>
  <c r="T24" i="5"/>
  <c r="H18" i="5"/>
  <c r="M28" i="5"/>
  <c r="J18" i="5"/>
  <c r="I20" i="5"/>
  <c r="K14" i="5"/>
  <c r="I22" i="5"/>
  <c r="R8" i="5"/>
  <c r="R24" i="5"/>
  <c r="N24" i="5"/>
  <c r="K18" i="5"/>
  <c r="I14" i="5"/>
  <c r="T12" i="5"/>
  <c r="J16" i="5"/>
  <c r="M16" i="5"/>
  <c r="J6" i="5"/>
  <c r="K16" i="5"/>
  <c r="H24" i="5"/>
  <c r="R16" i="5"/>
  <c r="R22" i="5"/>
  <c r="N28" i="5"/>
  <c r="S6" i="5"/>
  <c r="Q14" i="5"/>
  <c r="J22" i="5"/>
  <c r="Q22" i="5"/>
  <c r="L4" i="5"/>
  <c r="S28" i="5"/>
  <c r="O20" i="5"/>
  <c r="T10" i="5"/>
  <c r="O4" i="5"/>
  <c r="H14" i="5"/>
  <c r="P8" i="5"/>
  <c r="J28" i="5"/>
  <c r="O16" i="5"/>
  <c r="I18" i="5"/>
  <c r="Q6" i="5"/>
  <c r="M22" i="5"/>
  <c r="CB5" i="5" l="1"/>
  <c r="I5" i="5" s="1"/>
  <c r="CJ5" i="5"/>
  <c r="Q5" i="5" s="1"/>
  <c r="CE5" i="5"/>
  <c r="L5" i="5" s="1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V6" i="4"/>
  <c r="A6" i="4"/>
  <c r="V5" i="4"/>
  <c r="A5" i="4"/>
  <c r="A4" i="4"/>
  <c r="M1" i="4"/>
  <c r="L1" i="4"/>
  <c r="K1" i="4"/>
  <c r="J1" i="4"/>
  <c r="I1" i="4"/>
  <c r="H1" i="4"/>
  <c r="G1" i="4"/>
  <c r="F1" i="4"/>
  <c r="E1" i="4"/>
  <c r="D1" i="4"/>
  <c r="C1" i="4"/>
  <c r="W10" i="4" l="1"/>
  <c r="P4" i="4" s="1"/>
  <c r="E9" i="2"/>
  <c r="D9" i="2"/>
  <c r="E8" i="2"/>
  <c r="D8" i="2"/>
  <c r="E7" i="2"/>
  <c r="D7" i="2"/>
  <c r="E6" i="2"/>
  <c r="D6" i="2"/>
  <c r="E5" i="2"/>
  <c r="D5" i="2"/>
  <c r="E4" i="2"/>
  <c r="D4" i="2"/>
  <c r="F3" i="2"/>
  <c r="E3" i="2"/>
  <c r="D3" i="2"/>
  <c r="O4" i="4" l="1"/>
</calcChain>
</file>

<file path=xl/sharedStrings.xml><?xml version="1.0" encoding="utf-8"?>
<sst xmlns="http://schemas.openxmlformats.org/spreadsheetml/2006/main" count="242" uniqueCount="181">
  <si>
    <t>lemez hossz</t>
  </si>
  <si>
    <t>ívtől ívig hossz</t>
  </si>
  <si>
    <t>felület</t>
  </si>
  <si>
    <t>Cső hossza</t>
  </si>
  <si>
    <t>F100</t>
  </si>
  <si>
    <t>F150</t>
  </si>
  <si>
    <t>F200</t>
  </si>
  <si>
    <t>F250</t>
  </si>
  <si>
    <t>F300</t>
  </si>
  <si>
    <t>F350</t>
  </si>
  <si>
    <t>F400</t>
  </si>
  <si>
    <t>hűtés</t>
  </si>
  <si>
    <t>fűtés</t>
  </si>
  <si>
    <t>Termék név</t>
  </si>
  <si>
    <t>darabszám</t>
  </si>
  <si>
    <t>össz hűtő teljesítmény</t>
  </si>
  <si>
    <t>össz fűtő teljesítmény</t>
  </si>
  <si>
    <t>Panelok összesen</t>
  </si>
  <si>
    <t>Csőhossz</t>
  </si>
  <si>
    <t>ÖSSZESEN</t>
  </si>
  <si>
    <t>anyag bruttó:</t>
  </si>
  <si>
    <t>mennyezet</t>
  </si>
  <si>
    <t>panelok összesen:</t>
  </si>
  <si>
    <t>130m/osztókör</t>
  </si>
  <si>
    <t>szerelési díj osztóig (azzal együtt)</t>
  </si>
  <si>
    <t>idomok PPSU</t>
  </si>
  <si>
    <t>Szükséges osztó körök száma:</t>
  </si>
  <si>
    <t>Panel terület:</t>
  </si>
  <si>
    <t>Összesen bruttó:</t>
  </si>
  <si>
    <t xml:space="preserve">osztógyűjtők </t>
  </si>
  <si>
    <t>gerinc cső+héj  16x2</t>
  </si>
  <si>
    <t>eurokónusz</t>
  </si>
  <si>
    <t>osztószekrény</t>
  </si>
  <si>
    <t>szállítás</t>
  </si>
  <si>
    <t>Összesen bruttó anyag és díj</t>
  </si>
  <si>
    <t>CD30/60 profil</t>
  </si>
  <si>
    <t>UD30 profil</t>
  </si>
  <si>
    <t>Bruttó darab</t>
  </si>
  <si>
    <t>F 100</t>
  </si>
  <si>
    <t>F 150</t>
  </si>
  <si>
    <t>F 200</t>
  </si>
  <si>
    <t>F 250</t>
  </si>
  <si>
    <t>F 300</t>
  </si>
  <si>
    <t>F 350</t>
  </si>
  <si>
    <t>F 400</t>
  </si>
  <si>
    <t>16-10-16 PPSU</t>
  </si>
  <si>
    <t>16-10 PPSU</t>
  </si>
  <si>
    <t>10-10 PPSU</t>
  </si>
  <si>
    <t>16x2 szigetelt cső</t>
  </si>
  <si>
    <t>16x2 -3/4" eurokónusz</t>
  </si>
  <si>
    <t>2 körös osztógyűjtő</t>
  </si>
  <si>
    <t>3 körös osztógyűjtő</t>
  </si>
  <si>
    <t>4 körös osztógyűjtő</t>
  </si>
  <si>
    <t>5 körös osztógyűjtő</t>
  </si>
  <si>
    <t>6 körös osztógyűjtő</t>
  </si>
  <si>
    <t>7 körös osztógyűjtő</t>
  </si>
  <si>
    <t>8 körös osztógyűjtő</t>
  </si>
  <si>
    <t>9 körös osztógyűjtő</t>
  </si>
  <si>
    <t>10 körös osztógyűjtő</t>
  </si>
  <si>
    <t>11 körös osztógyűjtő</t>
  </si>
  <si>
    <t>12 körös osztógyűjtő</t>
  </si>
  <si>
    <t>Szállítás alapdíj</t>
  </si>
  <si>
    <t xml:space="preserve">km díj </t>
  </si>
  <si>
    <t>CD 30/60</t>
  </si>
  <si>
    <t>UD 30</t>
  </si>
  <si>
    <t>a</t>
  </si>
  <si>
    <t>b</t>
  </si>
  <si>
    <t>Hőmérséklet:</t>
  </si>
  <si>
    <t>°C</t>
  </si>
  <si>
    <t>fi^2</t>
  </si>
  <si>
    <t>Páratartalom:</t>
  </si>
  <si>
    <t>%</t>
  </si>
  <si>
    <t>fi^1</t>
  </si>
  <si>
    <t>fi^0</t>
  </si>
  <si>
    <t>a=</t>
  </si>
  <si>
    <t>b=</t>
  </si>
  <si>
    <t>th</t>
  </si>
  <si>
    <t>[W/m K]</t>
  </si>
  <si>
    <t>[W/m² K]</t>
  </si>
  <si>
    <t>[mm]</t>
  </si>
  <si>
    <t>Csőköz:</t>
  </si>
  <si>
    <t>Csőszám:</t>
  </si>
  <si>
    <t>[db]</t>
  </si>
  <si>
    <t>Hossz:</t>
  </si>
  <si>
    <t>Tengelytáv:</t>
  </si>
  <si>
    <t>Lemezvast.:</t>
  </si>
  <si>
    <t>Gipszk. vast.:</t>
  </si>
  <si>
    <t>[°C]</t>
  </si>
  <si>
    <t>Belépő víz hőm. [°C]</t>
  </si>
  <si>
    <t>Levegő hőm. [°C]</t>
  </si>
  <si>
    <r>
      <t>λ</t>
    </r>
    <r>
      <rPr>
        <vertAlign val="subscript"/>
        <sz val="11"/>
        <color theme="1"/>
        <rFont val="Calibri"/>
        <family val="2"/>
        <charset val="238"/>
        <scheme val="minor"/>
      </rPr>
      <t>PE</t>
    </r>
    <r>
      <rPr>
        <sz val="11"/>
        <color theme="1"/>
        <rFont val="Calibri"/>
        <charset val="1"/>
      </rPr>
      <t>=</t>
    </r>
  </si>
  <si>
    <r>
      <t>λ</t>
    </r>
    <r>
      <rPr>
        <vertAlign val="subscript"/>
        <sz val="11"/>
        <color theme="1"/>
        <rFont val="Calibri"/>
        <family val="2"/>
        <charset val="238"/>
        <scheme val="minor"/>
      </rPr>
      <t>acél</t>
    </r>
    <r>
      <rPr>
        <sz val="11"/>
        <color theme="1"/>
        <rFont val="Calibri"/>
        <charset val="1"/>
      </rPr>
      <t>=</t>
    </r>
  </si>
  <si>
    <r>
      <t>λ</t>
    </r>
    <r>
      <rPr>
        <vertAlign val="subscript"/>
        <sz val="11"/>
        <color theme="1"/>
        <rFont val="Calibri"/>
        <family val="2"/>
        <charset val="238"/>
        <scheme val="minor"/>
      </rPr>
      <t>gipszkarton</t>
    </r>
    <r>
      <rPr>
        <sz val="11"/>
        <color theme="1"/>
        <rFont val="Calibri"/>
        <charset val="1"/>
      </rPr>
      <t>=</t>
    </r>
  </si>
  <si>
    <r>
      <t>α</t>
    </r>
    <r>
      <rPr>
        <vertAlign val="subscript"/>
        <sz val="11"/>
        <color theme="1"/>
        <rFont val="Calibri"/>
        <family val="2"/>
        <charset val="238"/>
        <scheme val="minor"/>
      </rPr>
      <t>belső</t>
    </r>
    <r>
      <rPr>
        <sz val="11"/>
        <color theme="1"/>
        <rFont val="Calibri"/>
        <charset val="1"/>
      </rPr>
      <t>=</t>
    </r>
  </si>
  <si>
    <r>
      <t>α</t>
    </r>
    <r>
      <rPr>
        <vertAlign val="subscript"/>
        <sz val="11"/>
        <color theme="1"/>
        <rFont val="Calibri"/>
        <family val="2"/>
        <charset val="238"/>
        <scheme val="minor"/>
      </rPr>
      <t>külső</t>
    </r>
    <r>
      <rPr>
        <sz val="11"/>
        <color theme="1"/>
        <rFont val="Calibri"/>
        <charset val="1"/>
      </rPr>
      <t>=</t>
    </r>
  </si>
  <si>
    <r>
      <t xml:space="preserve">D </t>
    </r>
    <r>
      <rPr>
        <vertAlign val="subscript"/>
        <sz val="11"/>
        <color theme="1"/>
        <rFont val="Calibri"/>
        <family val="2"/>
        <charset val="238"/>
        <scheme val="minor"/>
      </rPr>
      <t>cső belső</t>
    </r>
    <r>
      <rPr>
        <sz val="11"/>
        <color theme="1"/>
        <rFont val="Calibri"/>
        <charset val="1"/>
      </rPr>
      <t xml:space="preserve"> =</t>
    </r>
  </si>
  <si>
    <r>
      <t xml:space="preserve">D </t>
    </r>
    <r>
      <rPr>
        <vertAlign val="subscript"/>
        <sz val="11"/>
        <color theme="1"/>
        <rFont val="Calibri"/>
        <family val="2"/>
        <charset val="238"/>
        <scheme val="minor"/>
      </rPr>
      <t>cső külső</t>
    </r>
    <r>
      <rPr>
        <sz val="11"/>
        <color theme="1"/>
        <rFont val="Calibri"/>
        <charset val="1"/>
      </rPr>
      <t xml:space="preserve"> =</t>
    </r>
  </si>
  <si>
    <r>
      <t xml:space="preserve">ΔT </t>
    </r>
    <r>
      <rPr>
        <vertAlign val="subscript"/>
        <sz val="11"/>
        <color theme="1"/>
        <rFont val="Calibri"/>
        <family val="2"/>
        <charset val="238"/>
        <scheme val="minor"/>
      </rPr>
      <t>víz fűtés</t>
    </r>
    <r>
      <rPr>
        <sz val="11"/>
        <color theme="1"/>
        <rFont val="Calibri"/>
        <charset val="1"/>
      </rPr>
      <t xml:space="preserve">= </t>
    </r>
  </si>
  <si>
    <r>
      <t xml:space="preserve">ΔT </t>
    </r>
    <r>
      <rPr>
        <vertAlign val="subscript"/>
        <sz val="11"/>
        <color theme="1"/>
        <rFont val="Calibri"/>
        <family val="2"/>
        <charset val="238"/>
        <scheme val="minor"/>
      </rPr>
      <t>víz hűtés</t>
    </r>
    <r>
      <rPr>
        <sz val="11"/>
        <color theme="1"/>
        <rFont val="Calibri"/>
        <charset val="1"/>
      </rPr>
      <t xml:space="preserve"> = </t>
    </r>
  </si>
  <si>
    <t>Cső belső átmérő</t>
  </si>
  <si>
    <t>Cső külső átmérő</t>
  </si>
  <si>
    <t>Lemez ív külső átmérő</t>
  </si>
  <si>
    <t>Cső falvastagság</t>
  </si>
  <si>
    <t>Lemez falvastagság</t>
  </si>
  <si>
    <t>Gipszkarton falvasagság</t>
  </si>
  <si>
    <t>Egy cső belső felülete</t>
  </si>
  <si>
    <t>Egy cső külső felülete</t>
  </si>
  <si>
    <t>Lemez 1 db ív külső felület</t>
  </si>
  <si>
    <t>Lemez összes sík fűtőfelülete</t>
  </si>
  <si>
    <t>Befoglaló téglalap felülete</t>
  </si>
  <si>
    <t>Hűtő-fűtő közeg hőmérs.</t>
  </si>
  <si>
    <t>Helyiség levegő hőmérséklet</t>
  </si>
  <si>
    <t>Belépő</t>
  </si>
  <si>
    <t>Kilépő</t>
  </si>
  <si>
    <t>hűtés?</t>
  </si>
  <si>
    <t>érvényes?</t>
  </si>
  <si>
    <t>Folyadék és csőfal közti hőátbocsátás</t>
  </si>
  <si>
    <t>Gipszkarton felület és levegő közti hőátbocsátás</t>
  </si>
  <si>
    <t>Folyadék és csőfal közti fázishatár ellenállás</t>
  </si>
  <si>
    <t>Gipszkarton felület és levegő közötti fázishatár ellenállás</t>
  </si>
  <si>
    <t>Lemez ív külső felület és levegő közötti fázishatár ellenállás</t>
  </si>
  <si>
    <t>Csőfalban való hővezetés ellenállása</t>
  </si>
  <si>
    <t>Lemezfalban való hővezetés ellenállása</t>
  </si>
  <si>
    <t>Gipszkarton falban való hőáramlás ellenállása</t>
  </si>
  <si>
    <t>Hőellenállások soros összege folyadéktól lemezív külső felületig</t>
  </si>
  <si>
    <t>Hőellenállások soros összege folyadéktól gipszk. külső felületével érintkező levegőig</t>
  </si>
  <si>
    <t>Hőellenállások soros összege folyadéktól lemezív külső felületével érintkező levegőig</t>
  </si>
  <si>
    <t>m=</t>
  </si>
  <si>
    <t>Bordaparaméter</t>
  </si>
  <si>
    <t>H=</t>
  </si>
  <si>
    <t>Borda magassága</t>
  </si>
  <si>
    <t>η=</t>
  </si>
  <si>
    <t>Borda hatásfoka</t>
  </si>
  <si>
    <t>Q'</t>
  </si>
  <si>
    <t>Q=</t>
  </si>
  <si>
    <t>q=</t>
  </si>
  <si>
    <r>
      <t xml:space="preserve">t </t>
    </r>
    <r>
      <rPr>
        <vertAlign val="subscript"/>
        <sz val="11"/>
        <color theme="0"/>
        <rFont val="Calibri"/>
        <family val="2"/>
        <charset val="238"/>
        <scheme val="minor"/>
      </rPr>
      <t>f</t>
    </r>
    <r>
      <rPr>
        <sz val="11"/>
        <color theme="0"/>
        <rFont val="Calibri"/>
        <family val="2"/>
        <charset val="238"/>
      </rPr>
      <t>=</t>
    </r>
  </si>
  <si>
    <r>
      <t xml:space="preserve">T </t>
    </r>
    <r>
      <rPr>
        <vertAlign val="subscript"/>
        <sz val="11"/>
        <color theme="0"/>
        <rFont val="Calibri"/>
        <family val="2"/>
        <charset val="238"/>
        <scheme val="minor"/>
      </rPr>
      <t>f</t>
    </r>
    <r>
      <rPr>
        <sz val="11"/>
        <color theme="0"/>
        <rFont val="Calibri"/>
        <family val="2"/>
        <charset val="238"/>
      </rPr>
      <t>=</t>
    </r>
  </si>
  <si>
    <t>deltaTlog</t>
  </si>
  <si>
    <t>szobahőm.</t>
  </si>
  <si>
    <t>előremenő</t>
  </si>
  <si>
    <t>Hűtő-fűtő közeg hőmérséklet</t>
  </si>
  <si>
    <t>Változás</t>
  </si>
  <si>
    <t>Fajlagos telj.</t>
  </si>
  <si>
    <t>tbe</t>
  </si>
  <si>
    <t>tki</t>
  </si>
  <si>
    <t>deltat</t>
  </si>
  <si>
    <t>t</t>
  </si>
  <si>
    <t>érvényes</t>
  </si>
  <si>
    <t>q</t>
  </si>
  <si>
    <t>tátlag</t>
  </si>
  <si>
    <t>q'</t>
  </si>
  <si>
    <t>tf</t>
  </si>
  <si>
    <t>Tf</t>
  </si>
  <si>
    <t>Szoba páratartalom:</t>
  </si>
  <si>
    <t>fi</t>
  </si>
  <si>
    <t>thar</t>
  </si>
  <si>
    <t>warning</t>
  </si>
  <si>
    <t>Módosítható kalkulációs paraméterek</t>
  </si>
  <si>
    <r>
      <t>D</t>
    </r>
    <r>
      <rPr>
        <vertAlign val="subscript"/>
        <sz val="11"/>
        <color theme="0"/>
        <rFont val="Calibri"/>
        <family val="2"/>
        <charset val="238"/>
        <scheme val="minor"/>
      </rPr>
      <t>1</t>
    </r>
    <r>
      <rPr>
        <sz val="11"/>
        <color theme="0"/>
        <rFont val="Calibri"/>
        <family val="2"/>
        <charset val="238"/>
      </rPr>
      <t>=</t>
    </r>
  </si>
  <si>
    <r>
      <t>D</t>
    </r>
    <r>
      <rPr>
        <vertAlign val="subscript"/>
        <sz val="11"/>
        <color theme="0"/>
        <rFont val="Calibri"/>
        <family val="2"/>
        <charset val="238"/>
        <scheme val="minor"/>
      </rPr>
      <t>2</t>
    </r>
    <r>
      <rPr>
        <sz val="11"/>
        <color theme="0"/>
        <rFont val="Calibri"/>
        <family val="2"/>
        <charset val="238"/>
      </rPr>
      <t>=</t>
    </r>
  </si>
  <si>
    <r>
      <t>D</t>
    </r>
    <r>
      <rPr>
        <vertAlign val="subscript"/>
        <sz val="11"/>
        <color theme="0"/>
        <rFont val="Calibri"/>
        <family val="2"/>
        <charset val="238"/>
        <scheme val="minor"/>
      </rPr>
      <t>3</t>
    </r>
    <r>
      <rPr>
        <sz val="11"/>
        <color theme="0"/>
        <rFont val="Calibri"/>
        <family val="2"/>
        <charset val="238"/>
      </rPr>
      <t>=</t>
    </r>
  </si>
  <si>
    <r>
      <t>S</t>
    </r>
    <r>
      <rPr>
        <vertAlign val="subscript"/>
        <sz val="11"/>
        <color theme="0"/>
        <rFont val="Calibri"/>
        <family val="2"/>
        <charset val="238"/>
        <scheme val="minor"/>
      </rPr>
      <t>1</t>
    </r>
    <r>
      <rPr>
        <sz val="11"/>
        <color theme="0"/>
        <rFont val="Calibri"/>
        <family val="2"/>
        <charset val="238"/>
      </rPr>
      <t>=</t>
    </r>
  </si>
  <si>
    <r>
      <t>S</t>
    </r>
    <r>
      <rPr>
        <vertAlign val="subscript"/>
        <sz val="11"/>
        <color theme="0"/>
        <rFont val="Calibri"/>
        <family val="2"/>
        <charset val="238"/>
        <scheme val="minor"/>
      </rPr>
      <t>2</t>
    </r>
    <r>
      <rPr>
        <sz val="11"/>
        <color theme="0"/>
        <rFont val="Calibri"/>
        <family val="2"/>
        <charset val="238"/>
      </rPr>
      <t>=</t>
    </r>
  </si>
  <si>
    <r>
      <t>S</t>
    </r>
    <r>
      <rPr>
        <vertAlign val="subscript"/>
        <sz val="11"/>
        <color theme="0"/>
        <rFont val="Calibri"/>
        <family val="2"/>
        <charset val="238"/>
        <scheme val="minor"/>
      </rPr>
      <t>3</t>
    </r>
    <r>
      <rPr>
        <sz val="11"/>
        <color theme="0"/>
        <rFont val="Calibri"/>
        <family val="2"/>
        <charset val="238"/>
      </rPr>
      <t>=</t>
    </r>
  </si>
  <si>
    <r>
      <t>A</t>
    </r>
    <r>
      <rPr>
        <vertAlign val="subscript"/>
        <sz val="11"/>
        <color theme="0"/>
        <rFont val="Calibri"/>
        <family val="2"/>
        <charset val="238"/>
        <scheme val="minor"/>
      </rPr>
      <t>1</t>
    </r>
    <r>
      <rPr>
        <sz val="11"/>
        <color theme="0"/>
        <rFont val="Calibri"/>
        <family val="2"/>
        <charset val="238"/>
      </rPr>
      <t>=</t>
    </r>
  </si>
  <si>
    <r>
      <t>A</t>
    </r>
    <r>
      <rPr>
        <vertAlign val="subscript"/>
        <sz val="11"/>
        <color theme="0"/>
        <rFont val="Calibri"/>
        <family val="2"/>
        <charset val="238"/>
        <scheme val="minor"/>
      </rPr>
      <t>2</t>
    </r>
    <r>
      <rPr>
        <sz val="11"/>
        <color theme="0"/>
        <rFont val="Calibri"/>
        <family val="2"/>
        <charset val="238"/>
      </rPr>
      <t>=</t>
    </r>
  </si>
  <si>
    <r>
      <t>A</t>
    </r>
    <r>
      <rPr>
        <vertAlign val="subscript"/>
        <sz val="11"/>
        <color theme="0"/>
        <rFont val="Calibri"/>
        <family val="2"/>
        <charset val="238"/>
        <scheme val="minor"/>
      </rPr>
      <t>3</t>
    </r>
    <r>
      <rPr>
        <sz val="11"/>
        <color theme="0"/>
        <rFont val="Calibri"/>
        <family val="2"/>
        <charset val="238"/>
      </rPr>
      <t>=</t>
    </r>
  </si>
  <si>
    <r>
      <t>A</t>
    </r>
    <r>
      <rPr>
        <vertAlign val="subscript"/>
        <sz val="11"/>
        <color theme="0"/>
        <rFont val="Calibri"/>
        <family val="2"/>
        <charset val="238"/>
        <scheme val="minor"/>
      </rPr>
      <t>4</t>
    </r>
    <r>
      <rPr>
        <sz val="11"/>
        <color theme="0"/>
        <rFont val="Calibri"/>
        <family val="2"/>
        <charset val="238"/>
      </rPr>
      <t>=</t>
    </r>
  </si>
  <si>
    <r>
      <t>A</t>
    </r>
    <r>
      <rPr>
        <vertAlign val="subscript"/>
        <sz val="11"/>
        <color theme="0"/>
        <rFont val="Calibri"/>
        <family val="2"/>
        <charset val="238"/>
        <scheme val="minor"/>
      </rPr>
      <t>5</t>
    </r>
    <r>
      <rPr>
        <sz val="11"/>
        <color theme="0"/>
        <rFont val="Calibri"/>
        <family val="2"/>
        <charset val="238"/>
      </rPr>
      <t>=</t>
    </r>
  </si>
  <si>
    <r>
      <t>α</t>
    </r>
    <r>
      <rPr>
        <vertAlign val="subscript"/>
        <sz val="11"/>
        <color theme="0"/>
        <rFont val="Calibri"/>
        <family val="2"/>
        <charset val="238"/>
      </rPr>
      <t>b</t>
    </r>
    <r>
      <rPr>
        <sz val="11"/>
        <color theme="0"/>
        <rFont val="Calibri"/>
        <family val="2"/>
        <charset val="238"/>
      </rPr>
      <t>=</t>
    </r>
  </si>
  <si>
    <r>
      <t>α</t>
    </r>
    <r>
      <rPr>
        <vertAlign val="subscript"/>
        <sz val="11"/>
        <color theme="0"/>
        <rFont val="Calibri"/>
        <family val="2"/>
        <charset val="238"/>
      </rPr>
      <t>k</t>
    </r>
    <r>
      <rPr>
        <sz val="11"/>
        <color theme="0"/>
        <rFont val="Calibri"/>
        <family val="2"/>
        <charset val="238"/>
      </rPr>
      <t>=</t>
    </r>
  </si>
  <si>
    <r>
      <t>R</t>
    </r>
    <r>
      <rPr>
        <vertAlign val="subscript"/>
        <sz val="11"/>
        <color theme="0"/>
        <rFont val="Calibri"/>
        <family val="2"/>
        <charset val="238"/>
        <scheme val="minor"/>
      </rPr>
      <t>b</t>
    </r>
    <r>
      <rPr>
        <sz val="11"/>
        <color theme="0"/>
        <rFont val="Calibri"/>
        <family val="2"/>
        <charset val="238"/>
      </rPr>
      <t>=</t>
    </r>
  </si>
  <si>
    <r>
      <t>R</t>
    </r>
    <r>
      <rPr>
        <vertAlign val="subscript"/>
        <sz val="11"/>
        <color theme="0"/>
        <rFont val="Calibri"/>
        <family val="2"/>
        <charset val="238"/>
        <scheme val="minor"/>
      </rPr>
      <t>k</t>
    </r>
    <r>
      <rPr>
        <sz val="11"/>
        <color theme="0"/>
        <rFont val="Calibri"/>
        <family val="2"/>
        <charset val="238"/>
      </rPr>
      <t>=</t>
    </r>
  </si>
  <si>
    <r>
      <t>R</t>
    </r>
    <r>
      <rPr>
        <vertAlign val="subscript"/>
        <sz val="11"/>
        <color theme="0"/>
        <rFont val="Calibri"/>
        <family val="2"/>
        <charset val="238"/>
        <scheme val="minor"/>
      </rPr>
      <t>k</t>
    </r>
    <r>
      <rPr>
        <sz val="11"/>
        <color theme="0"/>
        <rFont val="Calibri"/>
        <family val="2"/>
        <charset val="238"/>
      </rPr>
      <t>'=</t>
    </r>
  </si>
  <si>
    <r>
      <t>R</t>
    </r>
    <r>
      <rPr>
        <vertAlign val="subscript"/>
        <sz val="11"/>
        <color theme="0"/>
        <rFont val="Calibri"/>
        <family val="2"/>
        <charset val="238"/>
        <scheme val="minor"/>
      </rPr>
      <t>1</t>
    </r>
    <r>
      <rPr>
        <sz val="11"/>
        <color theme="0"/>
        <rFont val="Calibri"/>
        <family val="2"/>
        <charset val="238"/>
      </rPr>
      <t>=</t>
    </r>
  </si>
  <si>
    <r>
      <t>R</t>
    </r>
    <r>
      <rPr>
        <vertAlign val="subscript"/>
        <sz val="11"/>
        <color theme="0"/>
        <rFont val="Calibri"/>
        <family val="2"/>
        <charset val="238"/>
        <scheme val="minor"/>
      </rPr>
      <t>2</t>
    </r>
    <r>
      <rPr>
        <sz val="11"/>
        <color theme="0"/>
        <rFont val="Calibri"/>
        <family val="2"/>
        <charset val="238"/>
      </rPr>
      <t>=</t>
    </r>
  </si>
  <si>
    <r>
      <t>R</t>
    </r>
    <r>
      <rPr>
        <vertAlign val="subscript"/>
        <sz val="11"/>
        <color theme="0"/>
        <rFont val="Calibri"/>
        <family val="2"/>
        <charset val="238"/>
        <scheme val="minor"/>
      </rPr>
      <t>3</t>
    </r>
    <r>
      <rPr>
        <sz val="11"/>
        <color theme="0"/>
        <rFont val="Calibri"/>
        <family val="2"/>
        <charset val="238"/>
      </rPr>
      <t>=</t>
    </r>
  </si>
  <si>
    <r>
      <t>R</t>
    </r>
    <r>
      <rPr>
        <vertAlign val="subscript"/>
        <sz val="11"/>
        <color theme="0"/>
        <rFont val="Calibri"/>
        <family val="2"/>
        <charset val="238"/>
        <scheme val="minor"/>
      </rPr>
      <t>b-f</t>
    </r>
    <r>
      <rPr>
        <sz val="11"/>
        <color theme="0"/>
        <rFont val="Calibri"/>
        <family val="2"/>
        <charset val="238"/>
      </rPr>
      <t>=</t>
    </r>
  </si>
  <si>
    <r>
      <t>R</t>
    </r>
    <r>
      <rPr>
        <vertAlign val="subscript"/>
        <sz val="11"/>
        <color theme="0"/>
        <rFont val="Calibri"/>
        <family val="2"/>
        <charset val="238"/>
        <scheme val="minor"/>
      </rPr>
      <t>b-k</t>
    </r>
    <r>
      <rPr>
        <sz val="11"/>
        <color theme="0"/>
        <rFont val="Calibri"/>
        <family val="2"/>
        <charset val="238"/>
      </rPr>
      <t>=</t>
    </r>
  </si>
  <si>
    <r>
      <t>R</t>
    </r>
    <r>
      <rPr>
        <vertAlign val="subscript"/>
        <sz val="11"/>
        <color theme="0"/>
        <rFont val="Calibri"/>
        <family val="2"/>
        <charset val="238"/>
        <scheme val="minor"/>
      </rPr>
      <t>b-k'</t>
    </r>
    <r>
      <rPr>
        <sz val="11"/>
        <color theme="0"/>
        <rFont val="Calibri"/>
        <family val="2"/>
        <charset val="238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</si>
</sst>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164" formatCode="#,##0\ [$ cm]"/>
    <numFmt numFmtId="165" formatCode="_-* #,##0&quot; Ft&quot;_-;\-* #,##0&quot; Ft&quot;_-;_-* \-??&quot; Ft&quot;_-;_-@"/>
    <numFmt numFmtId="166" formatCode="#,##0\ [$ db]"/>
    <numFmt numFmtId="167" formatCode="#,##0.0\ [$ m]"/>
    <numFmt numFmtId="168" formatCode="#,##0\ [$ m]"/>
    <numFmt numFmtId="169" formatCode="#,##0\ [$ Ft/m]"/>
    <numFmt numFmtId="170" formatCode="#,##0.00\ [$ m2]"/>
    <numFmt numFmtId="171" formatCode="#,##0.0\ [$ W]"/>
    <numFmt numFmtId="172" formatCode="#,##0\ [$ W]"/>
    <numFmt numFmtId="175" formatCode="#,##0\ [$ W/helyiség]"/>
    <numFmt numFmtId="176" formatCode="#,##0&quot; Ft&quot;"/>
    <numFmt numFmtId="177" formatCode="#,##0\ [$ db T]"/>
    <numFmt numFmtId="178" formatCode="#,##0\ [$ db szűkítő]"/>
    <numFmt numFmtId="179" formatCode="#,##0\ [$ körök száma]"/>
    <numFmt numFmtId="180" formatCode="_-* #,##0\ [$Ft-40E]_-;\-* #,##0\ [$Ft-40E]_-;_-* \-??\ [$Ft-40E]_-;_-@"/>
    <numFmt numFmtId="181" formatCode="#,##0\ [$ km]"/>
    <numFmt numFmtId="182" formatCode="#\ ###\ ###\ ###\ ###&quot; Ft&quot;"/>
    <numFmt numFmtId="183" formatCode="#.0&quot; °C&quot;"/>
    <numFmt numFmtId="184" formatCode="0.0"/>
    <numFmt numFmtId="185" formatCode="#0.0&quot; °C&quot;"/>
    <numFmt numFmtId="186" formatCode="0.000#&quot; [m]&quot;"/>
    <numFmt numFmtId="187" formatCode="0.000#&quot; [m²]&quot;"/>
    <numFmt numFmtId="188" formatCode="##0.00&quot; [W/m² K]&quot;"/>
    <numFmt numFmtId="189" formatCode="0.0000&quot; [K/W]&quot;"/>
    <numFmt numFmtId="190" formatCode="00.0&quot; [1/m]&quot;"/>
    <numFmt numFmtId="191" formatCode="0.000&quot; [m]&quot;"/>
    <numFmt numFmtId="192" formatCode="0.0000&quot; [-]&quot;"/>
    <numFmt numFmtId="196" formatCode="#,##0\ [$ °C szoba]"/>
    <numFmt numFmtId="197" formatCode="#,##0.0\ [$ W/m²]"/>
    <numFmt numFmtId="198" formatCode="#,##0\ [$ °C]"/>
    <numFmt numFmtId="199" formatCode="#,##0\ [$ %]"/>
  </numFmts>
  <fonts count="14" x14ac:knownFonts="1">
    <font>
      <sz val="11"/>
      <color theme="1"/>
      <name val="Calibri"/>
      <charset val="1"/>
    </font>
    <font>
      <sz val="11"/>
      <color rgb="FFFF0000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2"/>
      <color theme="1"/>
      <name val="Arial"/>
      <family val="2"/>
      <charset val="238"/>
    </font>
    <font>
      <b/>
      <sz val="11"/>
      <color rgb="FFFF0000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0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vertAlign val="subscript"/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vertAlign val="subscript"/>
      <sz val="11"/>
      <color theme="0"/>
      <name val="Calibri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ADB9CA"/>
      </patternFill>
    </fill>
    <fill>
      <patternFill patternType="solid">
        <fgColor theme="0"/>
        <bgColor rgb="FFFFFFCC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8D8D8"/>
      </patternFill>
    </fill>
    <fill>
      <patternFill patternType="solid">
        <fgColor rgb="FFFF0000"/>
        <bgColor rgb="FF993300"/>
      </patternFill>
    </fill>
    <fill>
      <patternFill patternType="solid">
        <fgColor rgb="FFDEEAF6"/>
        <bgColor rgb="FFD8D8D8"/>
      </patternFill>
    </fill>
    <fill>
      <patternFill patternType="solid">
        <fgColor rgb="FFA8D08D"/>
        <bgColor rgb="FF92D05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2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166" fontId="0" fillId="0" borderId="2" xfId="0" applyNumberFormat="1" applyFont="1" applyBorder="1" applyAlignment="1" applyProtection="1"/>
    <xf numFmtId="165" fontId="0" fillId="0" borderId="2" xfId="0" applyNumberFormat="1" applyFont="1" applyBorder="1" applyAlignment="1" applyProtection="1"/>
    <xf numFmtId="165" fontId="0" fillId="0" borderId="0" xfId="0" applyNumberFormat="1" applyFont="1" applyAlignment="1" applyProtection="1"/>
    <xf numFmtId="168" fontId="0" fillId="0" borderId="2" xfId="0" applyNumberFormat="1" applyFont="1" applyBorder="1" applyAlignment="1" applyProtection="1"/>
    <xf numFmtId="165" fontId="1" fillId="0" borderId="0" xfId="0" applyNumberFormat="1" applyFont="1" applyAlignment="1" applyProtection="1"/>
    <xf numFmtId="0" fontId="0" fillId="0" borderId="0" xfId="0" applyFont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</xf>
    <xf numFmtId="0" fontId="0" fillId="3" borderId="8" xfId="0" applyFont="1" applyFill="1" applyBorder="1" applyAlignment="1" applyProtection="1">
      <alignment horizontal="center" vertical="center" wrapText="1"/>
    </xf>
    <xf numFmtId="0" fontId="0" fillId="3" borderId="9" xfId="0" applyFont="1" applyFill="1" applyBorder="1" applyAlignment="1" applyProtection="1">
      <alignment horizontal="center" vertical="center" wrapText="1"/>
    </xf>
    <xf numFmtId="0" fontId="0" fillId="3" borderId="10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3" borderId="1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164" fontId="0" fillId="5" borderId="13" xfId="0" applyNumberFormat="1" applyFont="1" applyFill="1" applyBorder="1" applyAlignment="1" applyProtection="1">
      <alignment horizontal="center" vertical="center"/>
    </xf>
    <xf numFmtId="164" fontId="0" fillId="5" borderId="2" xfId="0" applyNumberFormat="1" applyFont="1" applyFill="1" applyBorder="1" applyAlignment="1" applyProtection="1">
      <alignment horizontal="center" vertical="center"/>
    </xf>
    <xf numFmtId="170" fontId="0" fillId="5" borderId="2" xfId="0" applyNumberFormat="1" applyFont="1" applyFill="1" applyBorder="1" applyAlignment="1" applyProtection="1">
      <alignment horizontal="center" vertical="center"/>
    </xf>
    <xf numFmtId="171" fontId="0" fillId="6" borderId="2" xfId="0" applyNumberFormat="1" applyFont="1" applyFill="1" applyBorder="1" applyAlignment="1" applyProtection="1">
      <alignment horizontal="center" vertical="center"/>
    </xf>
    <xf numFmtId="171" fontId="0" fillId="7" borderId="5" xfId="0" applyNumberFormat="1" applyFont="1" applyFill="1" applyBorder="1" applyAlignment="1" applyProtection="1">
      <alignment horizontal="center" vertical="center"/>
    </xf>
    <xf numFmtId="167" fontId="0" fillId="0" borderId="14" xfId="0" applyNumberFormat="1" applyFont="1" applyBorder="1" applyAlignment="1" applyProtection="1">
      <alignment horizontal="center" vertical="center"/>
    </xf>
    <xf numFmtId="0" fontId="0" fillId="5" borderId="15" xfId="0" applyFont="1" applyFill="1" applyBorder="1" applyAlignment="1" applyProtection="1">
      <alignment horizontal="center" vertical="center"/>
    </xf>
    <xf numFmtId="166" fontId="0" fillId="5" borderId="14" xfId="0" applyNumberFormat="1" applyFont="1" applyFill="1" applyBorder="1" applyAlignment="1" applyProtection="1">
      <alignment horizontal="center" vertical="center"/>
    </xf>
    <xf numFmtId="0" fontId="0" fillId="5" borderId="16" xfId="0" applyFont="1" applyFill="1" applyBorder="1" applyAlignment="1" applyProtection="1">
      <alignment horizontal="center" vertical="center"/>
    </xf>
    <xf numFmtId="166" fontId="0" fillId="0" borderId="4" xfId="0" applyNumberFormat="1" applyFont="1" applyBorder="1" applyAlignment="1" applyProtection="1">
      <alignment horizontal="center" vertical="center"/>
    </xf>
    <xf numFmtId="171" fontId="0" fillId="6" borderId="2" xfId="0" applyNumberFormat="1" applyFont="1" applyFill="1" applyBorder="1" applyAlignment="1" applyProtection="1">
      <alignment horizontal="center"/>
    </xf>
    <xf numFmtId="171" fontId="0" fillId="7" borderId="2" xfId="0" applyNumberFormat="1" applyFont="1" applyFill="1" applyBorder="1" applyAlignment="1" applyProtection="1">
      <alignment horizontal="center"/>
    </xf>
    <xf numFmtId="168" fontId="0" fillId="0" borderId="2" xfId="0" applyNumberFormat="1" applyFont="1" applyBorder="1" applyAlignment="1" applyProtection="1">
      <alignment horizontal="center"/>
    </xf>
    <xf numFmtId="170" fontId="0" fillId="0" borderId="2" xfId="0" applyNumberFormat="1" applyFont="1" applyBorder="1" applyAlignment="1" applyProtection="1">
      <alignment horizontal="center"/>
    </xf>
    <xf numFmtId="0" fontId="2" fillId="0" borderId="0" xfId="0" applyFont="1" applyAlignment="1" applyProtection="1"/>
    <xf numFmtId="164" fontId="0" fillId="0" borderId="13" xfId="0" applyNumberFormat="1" applyFont="1" applyBorder="1" applyAlignment="1" applyProtection="1">
      <alignment horizontal="center" vertical="center"/>
    </xf>
    <xf numFmtId="164" fontId="0" fillId="0" borderId="2" xfId="0" applyNumberFormat="1" applyFont="1" applyBorder="1" applyAlignment="1" applyProtection="1">
      <alignment horizontal="center" vertical="center"/>
    </xf>
    <xf numFmtId="170" fontId="0" fillId="0" borderId="2" xfId="0" applyNumberFormat="1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166" fontId="0" fillId="0" borderId="14" xfId="0" applyNumberFormat="1" applyFont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</xf>
    <xf numFmtId="0" fontId="0" fillId="5" borderId="17" xfId="0" applyFont="1" applyFill="1" applyBorder="1" applyAlignment="1" applyProtection="1">
      <alignment horizontal="center" vertical="center"/>
    </xf>
    <xf numFmtId="167" fontId="0" fillId="0" borderId="18" xfId="0" applyNumberFormat="1" applyFont="1" applyBorder="1" applyAlignment="1" applyProtection="1">
      <alignment horizontal="center" vertical="center"/>
    </xf>
    <xf numFmtId="166" fontId="0" fillId="5" borderId="18" xfId="0" applyNumberFormat="1" applyFont="1" applyFill="1" applyBorder="1" applyAlignment="1" applyProtection="1">
      <alignment horizontal="center" vertical="center"/>
    </xf>
    <xf numFmtId="166" fontId="0" fillId="0" borderId="2" xfId="0" applyNumberFormat="1" applyFont="1" applyBorder="1" applyAlignment="1" applyProtection="1">
      <alignment horizontal="center"/>
    </xf>
    <xf numFmtId="172" fontId="0" fillId="6" borderId="2" xfId="0" applyNumberFormat="1" applyFont="1" applyFill="1" applyBorder="1" applyAlignment="1" applyProtection="1">
      <alignment horizontal="center"/>
    </xf>
    <xf numFmtId="172" fontId="0" fillId="7" borderId="2" xfId="0" applyNumberFormat="1" applyFont="1" applyFill="1" applyBorder="1" applyAlignment="1" applyProtection="1">
      <alignment horizontal="center"/>
    </xf>
    <xf numFmtId="165" fontId="0" fillId="0" borderId="2" xfId="0" applyNumberFormat="1" applyFont="1" applyBorder="1" applyAlignment="1" applyProtection="1">
      <alignment horizontal="center"/>
    </xf>
    <xf numFmtId="170" fontId="4" fillId="2" borderId="2" xfId="0" applyNumberFormat="1" applyFont="1" applyFill="1" applyBorder="1" applyAlignment="1" applyProtection="1">
      <alignment horizontal="center"/>
    </xf>
    <xf numFmtId="0" fontId="0" fillId="0" borderId="2" xfId="0" applyFont="1" applyBorder="1" applyAlignment="1" applyProtection="1"/>
    <xf numFmtId="175" fontId="0" fillId="8" borderId="2" xfId="0" applyNumberFormat="1" applyFont="1" applyFill="1" applyBorder="1" applyAlignment="1" applyProtection="1"/>
    <xf numFmtId="175" fontId="0" fillId="7" borderId="2" xfId="0" applyNumberFormat="1" applyFont="1" applyFill="1" applyBorder="1" applyAlignment="1" applyProtection="1"/>
    <xf numFmtId="0" fontId="2" fillId="0" borderId="9" xfId="0" applyFont="1" applyBorder="1" applyAlignment="1" applyProtection="1"/>
    <xf numFmtId="165" fontId="2" fillId="0" borderId="10" xfId="0" applyNumberFormat="1" applyFont="1" applyBorder="1" applyAlignment="1" applyProtection="1"/>
    <xf numFmtId="0" fontId="0" fillId="0" borderId="8" xfId="0" applyFont="1" applyBorder="1" applyAlignment="1" applyProtection="1"/>
    <xf numFmtId="0" fontId="0" fillId="0" borderId="9" xfId="0" applyFont="1" applyBorder="1" applyAlignment="1" applyProtection="1">
      <alignment horizontal="left"/>
    </xf>
    <xf numFmtId="170" fontId="0" fillId="0" borderId="9" xfId="0" applyNumberFormat="1" applyFont="1" applyBorder="1" applyAlignment="1" applyProtection="1"/>
    <xf numFmtId="176" fontId="2" fillId="0" borderId="19" xfId="0" applyNumberFormat="1" applyFont="1" applyBorder="1" applyAlignment="1" applyProtection="1">
      <alignment horizontal="right"/>
    </xf>
    <xf numFmtId="166" fontId="0" fillId="0" borderId="0" xfId="0" applyNumberFormat="1" applyFont="1" applyAlignment="1" applyProtection="1"/>
    <xf numFmtId="0" fontId="2" fillId="0" borderId="2" xfId="0" applyFont="1" applyBorder="1" applyAlignment="1" applyProtection="1"/>
    <xf numFmtId="176" fontId="2" fillId="0" borderId="5" xfId="0" applyNumberFormat="1" applyFont="1" applyBorder="1" applyAlignment="1" applyProtection="1"/>
    <xf numFmtId="0" fontId="0" fillId="0" borderId="13" xfId="0" applyFont="1" applyBorder="1" applyAlignment="1" applyProtection="1"/>
    <xf numFmtId="177" fontId="0" fillId="0" borderId="2" xfId="0" applyNumberFormat="1" applyFont="1" applyBorder="1" applyAlignment="1" applyProtection="1"/>
    <xf numFmtId="0" fontId="1" fillId="0" borderId="21" xfId="0" applyFont="1" applyBorder="1" applyAlignment="1" applyProtection="1"/>
    <xf numFmtId="0" fontId="0" fillId="0" borderId="20" xfId="0" applyFont="1" applyBorder="1" applyAlignment="1" applyProtection="1">
      <alignment horizontal="center"/>
    </xf>
    <xf numFmtId="0" fontId="0" fillId="0" borderId="22" xfId="0" applyFont="1" applyBorder="1" applyAlignment="1" applyProtection="1"/>
    <xf numFmtId="178" fontId="0" fillId="0" borderId="2" xfId="0" applyNumberFormat="1" applyFont="1" applyBorder="1" applyAlignment="1" applyProtection="1"/>
    <xf numFmtId="170" fontId="0" fillId="0" borderId="23" xfId="0" applyNumberFormat="1" applyFont="1" applyBorder="1" applyAlignment="1" applyProtection="1">
      <alignment horizontal="center"/>
    </xf>
    <xf numFmtId="170" fontId="0" fillId="0" borderId="20" xfId="0" applyNumberFormat="1" applyFont="1" applyBorder="1" applyAlignment="1" applyProtection="1"/>
    <xf numFmtId="0" fontId="0" fillId="0" borderId="24" xfId="0" applyFont="1" applyBorder="1" applyAlignment="1" applyProtection="1"/>
    <xf numFmtId="0" fontId="2" fillId="0" borderId="25" xfId="0" applyFont="1" applyBorder="1" applyAlignment="1" applyProtection="1">
      <alignment horizontal="right"/>
    </xf>
    <xf numFmtId="165" fontId="2" fillId="0" borderId="25" xfId="0" applyNumberFormat="1" applyFont="1" applyBorder="1" applyAlignment="1" applyProtection="1"/>
    <xf numFmtId="176" fontId="2" fillId="0" borderId="3" xfId="0" applyNumberFormat="1" applyFont="1" applyBorder="1" applyAlignment="1" applyProtection="1">
      <alignment horizontal="right"/>
    </xf>
    <xf numFmtId="179" fontId="0" fillId="0" borderId="2" xfId="0" applyNumberFormat="1" applyFont="1" applyBorder="1" applyAlignment="1" applyProtection="1"/>
    <xf numFmtId="176" fontId="0" fillId="0" borderId="0" xfId="0" applyNumberFormat="1" applyFont="1" applyAlignment="1" applyProtection="1"/>
    <xf numFmtId="176" fontId="1" fillId="0" borderId="0" xfId="0" applyNumberFormat="1" applyFont="1" applyAlignment="1" applyProtection="1"/>
    <xf numFmtId="0" fontId="0" fillId="0" borderId="26" xfId="0" applyFont="1" applyBorder="1" applyAlignment="1" applyProtection="1"/>
    <xf numFmtId="0" fontId="0" fillId="0" borderId="27" xfId="0" applyFont="1" applyBorder="1" applyAlignment="1" applyProtection="1"/>
    <xf numFmtId="176" fontId="2" fillId="0" borderId="28" xfId="0" applyNumberFormat="1" applyFont="1" applyBorder="1" applyAlignment="1" applyProtection="1">
      <alignment horizontal="right"/>
    </xf>
    <xf numFmtId="165" fontId="2" fillId="0" borderId="0" xfId="0" applyNumberFormat="1" applyFont="1" applyAlignment="1" applyProtection="1"/>
    <xf numFmtId="169" fontId="0" fillId="0" borderId="0" xfId="0" applyNumberFormat="1" applyFont="1" applyAlignment="1" applyProtection="1">
      <alignment horizontal="right"/>
    </xf>
    <xf numFmtId="168" fontId="0" fillId="0" borderId="0" xfId="0" applyNumberFormat="1" applyFont="1" applyAlignment="1" applyProtection="1">
      <alignment horizontal="center"/>
    </xf>
    <xf numFmtId="165" fontId="0" fillId="0" borderId="0" xfId="0" applyNumberFormat="1" applyFont="1" applyAlignment="1" applyProtection="1">
      <alignment horizontal="center"/>
    </xf>
    <xf numFmtId="165" fontId="0" fillId="0" borderId="0" xfId="0" applyNumberFormat="1" applyFont="1" applyAlignment="1" applyProtection="1">
      <alignment horizontal="right"/>
    </xf>
    <xf numFmtId="166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/>
    </xf>
    <xf numFmtId="180" fontId="0" fillId="0" borderId="0" xfId="0" applyNumberFormat="1" applyFont="1" applyAlignment="1" applyProtection="1"/>
    <xf numFmtId="164" fontId="0" fillId="0" borderId="0" xfId="0" applyNumberFormat="1" applyAlignment="1" applyProtection="1"/>
    <xf numFmtId="0" fontId="0" fillId="0" borderId="2" xfId="0" applyFont="1" applyBorder="1" applyAlignment="1" applyProtection="1">
      <alignment vertical="center"/>
    </xf>
    <xf numFmtId="176" fontId="2" fillId="0" borderId="3" xfId="0" applyNumberFormat="1" applyFont="1" applyBorder="1" applyAlignment="1" applyProtection="1">
      <alignment vertical="center"/>
    </xf>
    <xf numFmtId="181" fontId="0" fillId="0" borderId="27" xfId="0" applyNumberFormat="1" applyFont="1" applyBorder="1" applyAlignment="1" applyProtection="1"/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182" fontId="0" fillId="0" borderId="3" xfId="0" applyNumberFormat="1" applyBorder="1" applyAlignment="1">
      <alignment horizontal="center"/>
    </xf>
    <xf numFmtId="182" fontId="0" fillId="0" borderId="2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82" fontId="0" fillId="0" borderId="19" xfId="0" applyNumberFormat="1" applyBorder="1" applyAlignment="1">
      <alignment horizontal="center"/>
    </xf>
    <xf numFmtId="0" fontId="0" fillId="10" borderId="29" xfId="0" applyFill="1" applyBorder="1" applyAlignment="1">
      <alignment horizontal="left"/>
    </xf>
    <xf numFmtId="0" fontId="0" fillId="10" borderId="30" xfId="0" applyFill="1" applyBorder="1" applyAlignment="1">
      <alignment horizontal="center" vertical="center"/>
    </xf>
    <xf numFmtId="0" fontId="0" fillId="0" borderId="13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6" fillId="0" borderId="0" xfId="0" applyFont="1" applyFill="1"/>
    <xf numFmtId="0" fontId="6" fillId="0" borderId="0" xfId="0" applyFont="1"/>
    <xf numFmtId="9" fontId="7" fillId="11" borderId="31" xfId="0" applyNumberFormat="1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12" xfId="0" applyBorder="1"/>
    <xf numFmtId="183" fontId="8" fillId="11" borderId="8" xfId="0" applyNumberFormat="1" applyFont="1" applyFill="1" applyBorder="1" applyAlignment="1">
      <alignment horizontal="center" vertical="center" wrapText="1"/>
    </xf>
    <xf numFmtId="183" fontId="8" fillId="0" borderId="1" xfId="0" applyNumberFormat="1" applyFont="1" applyBorder="1" applyAlignment="1">
      <alignment horizontal="center" vertical="center" wrapText="1"/>
    </xf>
    <xf numFmtId="0" fontId="5" fillId="0" borderId="24" xfId="0" applyFont="1" applyBorder="1"/>
    <xf numFmtId="0" fontId="0" fillId="0" borderId="33" xfId="0" applyBorder="1"/>
    <xf numFmtId="183" fontId="8" fillId="11" borderId="13" xfId="0" applyNumberFormat="1" applyFont="1" applyFill="1" applyBorder="1" applyAlignment="1">
      <alignment horizontal="center" vertical="center" wrapText="1"/>
    </xf>
    <xf numFmtId="183" fontId="8" fillId="0" borderId="14" xfId="0" applyNumberFormat="1" applyFont="1" applyBorder="1" applyAlignment="1">
      <alignment horizontal="center" vertical="center" wrapText="1"/>
    </xf>
    <xf numFmtId="184" fontId="0" fillId="0" borderId="32" xfId="0" applyNumberFormat="1" applyBorder="1"/>
    <xf numFmtId="183" fontId="8" fillId="11" borderId="26" xfId="0" applyNumberFormat="1" applyFont="1" applyFill="1" applyBorder="1" applyAlignment="1">
      <alignment horizontal="center" vertical="center" wrapText="1"/>
    </xf>
    <xf numFmtId="183" fontId="8" fillId="0" borderId="18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9" fillId="0" borderId="0" xfId="0" applyFont="1"/>
    <xf numFmtId="0" fontId="0" fillId="10" borderId="8" xfId="0" applyFill="1" applyBorder="1" applyAlignment="1">
      <alignment horizontal="right" vertical="center"/>
    </xf>
    <xf numFmtId="0" fontId="0" fillId="0" borderId="19" xfId="0" applyBorder="1" applyAlignment="1">
      <alignment vertical="center"/>
    </xf>
    <xf numFmtId="0" fontId="0" fillId="10" borderId="13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10" borderId="26" xfId="0" applyFill="1" applyBorder="1" applyAlignment="1">
      <alignment horizontal="right" vertical="center"/>
    </xf>
    <xf numFmtId="0" fontId="0" fillId="0" borderId="28" xfId="0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/>
    <xf numFmtId="0" fontId="5" fillId="12" borderId="2" xfId="0" applyFont="1" applyFill="1" applyBorder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5" fontId="0" fillId="0" borderId="0" xfId="0" applyNumberFormat="1" applyBorder="1" applyAlignment="1">
      <alignment horizontal="center" vertical="center"/>
    </xf>
    <xf numFmtId="0" fontId="0" fillId="0" borderId="0" xfId="0" applyFill="1" applyBorder="1"/>
    <xf numFmtId="18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185" fontId="0" fillId="0" borderId="0" xfId="0" applyNumberFormat="1" applyFill="1" applyBorder="1" applyAlignment="1">
      <alignment horizontal="center" vertical="center"/>
    </xf>
    <xf numFmtId="0" fontId="5" fillId="13" borderId="38" xfId="0" applyFont="1" applyFill="1" applyBorder="1" applyAlignment="1">
      <alignment vertical="center"/>
    </xf>
    <xf numFmtId="0" fontId="0" fillId="13" borderId="39" xfId="0" applyFill="1" applyBorder="1" applyAlignment="1">
      <alignment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10" borderId="34" xfId="0" applyFill="1" applyBorder="1" applyAlignment="1">
      <alignment horizontal="center" vertical="center" wrapText="1"/>
    </xf>
    <xf numFmtId="0" fontId="0" fillId="10" borderId="36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0" borderId="0" xfId="0" applyFont="1" applyAlignment="1" applyProtection="1"/>
    <xf numFmtId="0" fontId="0" fillId="0" borderId="12" xfId="0" applyFont="1" applyBorder="1" applyAlignment="1" applyProtection="1"/>
    <xf numFmtId="0" fontId="0" fillId="0" borderId="41" xfId="0" applyFont="1" applyBorder="1" applyAlignment="1" applyProtection="1"/>
    <xf numFmtId="0" fontId="5" fillId="0" borderId="0" xfId="0" applyFont="1" applyAlignment="1">
      <alignment horizontal="center" vertical="center"/>
    </xf>
    <xf numFmtId="197" fontId="0" fillId="6" borderId="35" xfId="0" applyNumberFormat="1" applyFont="1" applyFill="1" applyBorder="1" applyAlignment="1" applyProtection="1">
      <alignment horizontal="center" vertical="center"/>
    </xf>
    <xf numFmtId="197" fontId="0" fillId="7" borderId="28" xfId="0" applyNumberFormat="1" applyFont="1" applyFill="1" applyBorder="1" applyAlignment="1" applyProtection="1">
      <alignment horizontal="center" vertical="center"/>
    </xf>
    <xf numFmtId="0" fontId="0" fillId="10" borderId="6" xfId="0" applyFill="1" applyBorder="1" applyAlignment="1" applyProtection="1"/>
    <xf numFmtId="0" fontId="0" fillId="10" borderId="42" xfId="0" applyFill="1" applyBorder="1" applyAlignment="1" applyProtection="1"/>
    <xf numFmtId="0" fontId="5" fillId="10" borderId="9" xfId="0" applyFont="1" applyFill="1" applyBorder="1" applyAlignment="1" applyProtection="1">
      <alignment horizontal="center"/>
    </xf>
    <xf numFmtId="0" fontId="0" fillId="10" borderId="9" xfId="0" applyFill="1" applyBorder="1" applyAlignment="1" applyProtection="1">
      <alignment horizontal="center"/>
    </xf>
    <xf numFmtId="0" fontId="0" fillId="10" borderId="43" xfId="0" applyFill="1" applyBorder="1" applyAlignment="1" applyProtection="1"/>
    <xf numFmtId="0" fontId="5" fillId="10" borderId="26" xfId="0" applyFont="1" applyFill="1" applyBorder="1" applyAlignment="1" applyProtection="1"/>
    <xf numFmtId="0" fontId="5" fillId="10" borderId="27" xfId="0" applyFont="1" applyFill="1" applyBorder="1" applyAlignment="1" applyProtection="1"/>
    <xf numFmtId="0" fontId="5" fillId="10" borderId="27" xfId="0" applyFont="1" applyFill="1" applyBorder="1" applyAlignment="1" applyProtection="1">
      <alignment horizontal="center"/>
    </xf>
    <xf numFmtId="0" fontId="5" fillId="10" borderId="28" xfId="0" applyFont="1" applyFill="1" applyBorder="1" applyAlignment="1" applyProtection="1"/>
    <xf numFmtId="0" fontId="5" fillId="10" borderId="34" xfId="0" applyFont="1" applyFill="1" applyBorder="1" applyAlignment="1" applyProtection="1"/>
    <xf numFmtId="196" fontId="0" fillId="14" borderId="40" xfId="0" applyNumberFormat="1" applyFont="1" applyFill="1" applyBorder="1" applyAlignment="1" applyProtection="1">
      <alignment vertical="center"/>
    </xf>
    <xf numFmtId="198" fontId="0" fillId="14" borderId="40" xfId="0" applyNumberFormat="1" applyFont="1" applyFill="1" applyBorder="1" applyAlignment="1" applyProtection="1"/>
    <xf numFmtId="198" fontId="0" fillId="14" borderId="40" xfId="0" applyNumberFormat="1" applyFont="1" applyFill="1" applyBorder="1" applyAlignment="1" applyProtection="1">
      <alignment horizontal="center"/>
    </xf>
    <xf numFmtId="196" fontId="0" fillId="14" borderId="27" xfId="0" applyNumberFormat="1" applyFont="1" applyFill="1" applyBorder="1" applyAlignment="1" applyProtection="1">
      <alignment vertical="center"/>
    </xf>
    <xf numFmtId="198" fontId="0" fillId="14" borderId="27" xfId="0" applyNumberFormat="1" applyFont="1" applyFill="1" applyBorder="1" applyAlignment="1" applyProtection="1"/>
    <xf numFmtId="198" fontId="0" fillId="14" borderId="27" xfId="0" applyNumberFormat="1" applyFont="1" applyFill="1" applyBorder="1" applyAlignment="1" applyProtection="1">
      <alignment horizontal="center"/>
    </xf>
    <xf numFmtId="0" fontId="5" fillId="10" borderId="21" xfId="0" applyFont="1" applyFill="1" applyBorder="1" applyAlignment="1" applyProtection="1">
      <alignment horizontal="left" vertical="center"/>
    </xf>
    <xf numFmtId="0" fontId="5" fillId="10" borderId="12" xfId="0" applyFont="1" applyFill="1" applyBorder="1" applyAlignment="1" applyProtection="1">
      <alignment horizontal="left" vertical="center"/>
    </xf>
    <xf numFmtId="199" fontId="0" fillId="14" borderId="20" xfId="0" applyNumberFormat="1" applyFont="1" applyFill="1" applyBorder="1" applyAlignment="1" applyProtection="1"/>
    <xf numFmtId="0" fontId="12" fillId="0" borderId="0" xfId="0" applyFont="1" applyAlignment="1" applyProtection="1">
      <alignment horizontal="center" vertical="center" wrapText="1"/>
    </xf>
    <xf numFmtId="0" fontId="0" fillId="14" borderId="32" xfId="0" applyFill="1" applyBorder="1" applyAlignment="1" applyProtection="1">
      <alignment horizontal="center"/>
    </xf>
    <xf numFmtId="0" fontId="0" fillId="14" borderId="12" xfId="0" applyFill="1" applyBorder="1" applyAlignment="1" applyProtection="1">
      <alignment horizontal="center"/>
    </xf>
    <xf numFmtId="0" fontId="5" fillId="14" borderId="21" xfId="0" applyFont="1" applyFill="1" applyBorder="1" applyAlignment="1" applyProtection="1">
      <alignment horizontal="center"/>
    </xf>
    <xf numFmtId="0" fontId="12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/>
    <xf numFmtId="18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85" fontId="9" fillId="0" borderId="0" xfId="0" applyNumberFormat="1" applyFont="1" applyFill="1" applyBorder="1"/>
    <xf numFmtId="187" fontId="9" fillId="0" borderId="0" xfId="0" applyNumberFormat="1" applyFont="1" applyFill="1" applyBorder="1" applyAlignment="1">
      <alignment vertical="center"/>
    </xf>
    <xf numFmtId="188" fontId="9" fillId="0" borderId="0" xfId="0" applyNumberFormat="1" applyFont="1" applyFill="1" applyBorder="1" applyAlignment="1">
      <alignment vertical="center"/>
    </xf>
    <xf numFmtId="189" fontId="9" fillId="0" borderId="0" xfId="0" applyNumberFormat="1" applyFont="1" applyFill="1" applyBorder="1" applyAlignment="1">
      <alignment vertical="center"/>
    </xf>
    <xf numFmtId="190" fontId="9" fillId="0" borderId="0" xfId="0" applyNumberFormat="1" applyFont="1" applyFill="1" applyBorder="1" applyAlignment="1">
      <alignment vertical="center"/>
    </xf>
    <xf numFmtId="191" fontId="9" fillId="0" borderId="0" xfId="0" applyNumberFormat="1" applyFont="1" applyFill="1" applyBorder="1" applyAlignment="1">
      <alignment vertical="center"/>
    </xf>
    <xf numFmtId="192" fontId="9" fillId="0" borderId="0" xfId="0" applyNumberFormat="1" applyFont="1" applyFill="1" applyBorder="1" applyAlignment="1">
      <alignment vertical="center"/>
    </xf>
    <xf numFmtId="0" fontId="0" fillId="14" borderId="9" xfId="0" applyFill="1" applyBorder="1" applyAlignment="1" applyProtection="1">
      <alignment vertical="center"/>
      <protection locked="0"/>
    </xf>
    <xf numFmtId="0" fontId="0" fillId="14" borderId="2" xfId="0" applyFill="1" applyBorder="1" applyAlignment="1" applyProtection="1">
      <alignment vertical="center"/>
      <protection locked="0"/>
    </xf>
    <xf numFmtId="0" fontId="5" fillId="14" borderId="2" xfId="0" applyFont="1" applyFill="1" applyBorder="1" applyAlignment="1" applyProtection="1">
      <alignment vertical="center"/>
      <protection locked="0"/>
    </xf>
    <xf numFmtId="0" fontId="0" fillId="14" borderId="27" xfId="0" applyFill="1" applyBorder="1" applyAlignment="1" applyProtection="1">
      <alignment vertical="center"/>
      <protection locked="0"/>
    </xf>
    <xf numFmtId="185" fontId="0" fillId="14" borderId="8" xfId="0" applyNumberFormat="1" applyFill="1" applyBorder="1" applyAlignment="1" applyProtection="1">
      <alignment horizontal="center" vertical="center" wrapText="1"/>
      <protection locked="0"/>
    </xf>
    <xf numFmtId="185" fontId="0" fillId="14" borderId="19" xfId="0" applyNumberFormat="1" applyFill="1" applyBorder="1" applyAlignment="1" applyProtection="1">
      <alignment horizontal="center" vertical="center" wrapText="1"/>
      <protection locked="0"/>
    </xf>
    <xf numFmtId="185" fontId="0" fillId="14" borderId="13" xfId="0" applyNumberFormat="1" applyFill="1" applyBorder="1" applyAlignment="1" applyProtection="1">
      <alignment horizontal="center" vertical="center"/>
      <protection locked="0"/>
    </xf>
    <xf numFmtId="185" fontId="0" fillId="14" borderId="3" xfId="0" applyNumberFormat="1" applyFill="1" applyBorder="1" applyAlignment="1" applyProtection="1">
      <alignment horizontal="center" vertical="center"/>
      <protection locked="0"/>
    </xf>
    <xf numFmtId="185" fontId="0" fillId="14" borderId="26" xfId="0" applyNumberFormat="1" applyFill="1" applyBorder="1" applyAlignment="1" applyProtection="1">
      <alignment horizontal="center" vertical="center"/>
      <protection locked="0"/>
    </xf>
    <xf numFmtId="185" fontId="0" fillId="14" borderId="28" xfId="0" applyNumberFormat="1" applyFill="1" applyBorder="1" applyAlignment="1" applyProtection="1">
      <alignment horizontal="center" vertical="center"/>
      <protection locked="0"/>
    </xf>
    <xf numFmtId="0" fontId="8" fillId="14" borderId="32" xfId="0" applyNumberFormat="1" applyFont="1" applyFill="1" applyBorder="1" applyAlignment="1" applyProtection="1">
      <alignment horizontal="center" vertical="center" wrapText="1"/>
      <protection locked="0"/>
    </xf>
    <xf numFmtId="0" fontId="8" fillId="14" borderId="25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ál" xfId="0" builtinId="0"/>
  </cellStyles>
  <dxfs count="17"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numFmt numFmtId="194" formatCode="0.0&quot; W/m²&quot;"/>
    </dxf>
    <dxf>
      <numFmt numFmtId="193" formatCode="0.0&quot; °C&quot;"/>
    </dxf>
    <dxf>
      <border>
        <right style="thin">
          <color auto="1"/>
        </right>
        <vertical/>
        <horizontal/>
      </border>
    </dxf>
    <dxf>
      <fill>
        <patternFill>
          <bgColor theme="9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FF99"/>
      <rgbColor rgb="FFADB9CA"/>
      <rgbColor rgb="FFFF99CC"/>
      <rgbColor rgb="FFCC99FF"/>
      <rgbColor rgb="FFD8D8D8"/>
      <rgbColor rgb="FF3366FF"/>
      <rgbColor rgb="FF33CCCC"/>
      <rgbColor rgb="FF92D050"/>
      <rgbColor rgb="FFFFCC00"/>
      <rgbColor rgb="FFFF9900"/>
      <rgbColor rgb="FFFF6600"/>
      <rgbColor rgb="FF666699"/>
      <rgbColor rgb="FFA8D08D"/>
      <rgbColor rgb="FF003366"/>
      <rgbColor rgb="FF339966"/>
      <rgbColor rgb="FF0C0C0C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139680</xdr:rowOff>
    </xdr:from>
    <xdr:to>
      <xdr:col>12</xdr:col>
      <xdr:colOff>239400</xdr:colOff>
      <xdr:row>71</xdr:row>
      <xdr:rowOff>33840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676920"/>
          <a:ext cx="13278600" cy="7095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zoomScaleNormal="100" workbookViewId="0"/>
  </sheetViews>
  <sheetFormatPr defaultColWidth="14.44140625" defaultRowHeight="14.4" x14ac:dyDescent="0.3"/>
  <cols>
    <col min="1" max="1" width="20.6640625" customWidth="1"/>
    <col min="2" max="2" width="14.44140625" style="95"/>
  </cols>
  <sheetData>
    <row r="1" spans="1:2" ht="15" thickBot="1" x14ac:dyDescent="0.35">
      <c r="A1" s="100"/>
      <c r="B1" s="101" t="s">
        <v>37</v>
      </c>
    </row>
    <row r="2" spans="1:2" x14ac:dyDescent="0.3">
      <c r="A2" s="98" t="s">
        <v>38</v>
      </c>
      <c r="B2" s="99">
        <v>6668</v>
      </c>
    </row>
    <row r="3" spans="1:2" x14ac:dyDescent="0.3">
      <c r="A3" s="94" t="s">
        <v>39</v>
      </c>
      <c r="B3" s="96">
        <v>10000</v>
      </c>
    </row>
    <row r="4" spans="1:2" x14ac:dyDescent="0.3">
      <c r="A4" s="94" t="s">
        <v>40</v>
      </c>
      <c r="B4" s="96">
        <v>13335</v>
      </c>
    </row>
    <row r="5" spans="1:2" x14ac:dyDescent="0.3">
      <c r="A5" s="94" t="s">
        <v>41</v>
      </c>
      <c r="B5" s="96">
        <v>17535</v>
      </c>
    </row>
    <row r="6" spans="1:2" x14ac:dyDescent="0.3">
      <c r="A6" s="94" t="s">
        <v>42</v>
      </c>
      <c r="B6" s="96">
        <v>20803</v>
      </c>
    </row>
    <row r="7" spans="1:2" x14ac:dyDescent="0.3">
      <c r="A7" s="94" t="s">
        <v>43</v>
      </c>
      <c r="B7" s="96">
        <v>24270</v>
      </c>
    </row>
    <row r="8" spans="1:2" x14ac:dyDescent="0.3">
      <c r="A8" s="94" t="s">
        <v>44</v>
      </c>
      <c r="B8" s="96">
        <v>27737</v>
      </c>
    </row>
    <row r="9" spans="1:2" x14ac:dyDescent="0.3">
      <c r="A9" s="94" t="s">
        <v>45</v>
      </c>
      <c r="B9" s="96">
        <v>1833</v>
      </c>
    </row>
    <row r="10" spans="1:2" x14ac:dyDescent="0.3">
      <c r="A10" s="94" t="s">
        <v>46</v>
      </c>
      <c r="B10" s="96">
        <v>1323</v>
      </c>
    </row>
    <row r="11" spans="1:2" x14ac:dyDescent="0.3">
      <c r="A11" s="94" t="s">
        <v>47</v>
      </c>
      <c r="B11" s="96">
        <v>800</v>
      </c>
    </row>
    <row r="12" spans="1:2" x14ac:dyDescent="0.3">
      <c r="A12" s="94" t="s">
        <v>48</v>
      </c>
      <c r="B12" s="96">
        <v>506</v>
      </c>
    </row>
    <row r="13" spans="1:2" x14ac:dyDescent="0.3">
      <c r="A13" s="94" t="s">
        <v>49</v>
      </c>
      <c r="B13" s="96">
        <v>880</v>
      </c>
    </row>
    <row r="14" spans="1:2" x14ac:dyDescent="0.3">
      <c r="A14" s="94" t="s">
        <v>50</v>
      </c>
      <c r="B14" s="96">
        <v>33600</v>
      </c>
    </row>
    <row r="15" spans="1:2" x14ac:dyDescent="0.3">
      <c r="A15" s="94" t="s">
        <v>51</v>
      </c>
      <c r="B15" s="96">
        <v>39900</v>
      </c>
    </row>
    <row r="16" spans="1:2" x14ac:dyDescent="0.3">
      <c r="A16" s="94" t="s">
        <v>52</v>
      </c>
      <c r="B16" s="96">
        <v>44100</v>
      </c>
    </row>
    <row r="17" spans="1:2" x14ac:dyDescent="0.3">
      <c r="A17" s="94" t="s">
        <v>53</v>
      </c>
      <c r="B17" s="96">
        <v>50400</v>
      </c>
    </row>
    <row r="18" spans="1:2" x14ac:dyDescent="0.3">
      <c r="A18" s="94" t="s">
        <v>54</v>
      </c>
      <c r="B18" s="96">
        <v>57750</v>
      </c>
    </row>
    <row r="19" spans="1:2" x14ac:dyDescent="0.3">
      <c r="A19" s="94" t="s">
        <v>55</v>
      </c>
      <c r="B19" s="96">
        <v>68250</v>
      </c>
    </row>
    <row r="20" spans="1:2" x14ac:dyDescent="0.3">
      <c r="A20" s="94" t="s">
        <v>56</v>
      </c>
      <c r="B20" s="96">
        <v>73500</v>
      </c>
    </row>
    <row r="21" spans="1:2" ht="15.75" customHeight="1" x14ac:dyDescent="0.3">
      <c r="A21" s="94" t="s">
        <v>57</v>
      </c>
      <c r="B21" s="96">
        <v>82950</v>
      </c>
    </row>
    <row r="22" spans="1:2" ht="15.75" customHeight="1" x14ac:dyDescent="0.3">
      <c r="A22" s="94" t="s">
        <v>58</v>
      </c>
      <c r="B22" s="96">
        <v>92400</v>
      </c>
    </row>
    <row r="23" spans="1:2" ht="15.75" customHeight="1" x14ac:dyDescent="0.3">
      <c r="A23" s="94" t="s">
        <v>59</v>
      </c>
      <c r="B23" s="96">
        <v>98700</v>
      </c>
    </row>
    <row r="24" spans="1:2" ht="15.75" customHeight="1" x14ac:dyDescent="0.3">
      <c r="A24" s="94" t="s">
        <v>60</v>
      </c>
      <c r="B24" s="96">
        <v>102900</v>
      </c>
    </row>
    <row r="25" spans="1:2" ht="15.75" customHeight="1" x14ac:dyDescent="0.3">
      <c r="A25" s="94" t="s">
        <v>61</v>
      </c>
      <c r="B25" s="96">
        <v>8000</v>
      </c>
    </row>
    <row r="26" spans="1:2" ht="15.75" customHeight="1" x14ac:dyDescent="0.3">
      <c r="A26" s="94" t="s">
        <v>62</v>
      </c>
      <c r="B26" s="96">
        <v>310</v>
      </c>
    </row>
    <row r="27" spans="1:2" ht="15.75" customHeight="1" x14ac:dyDescent="0.3">
      <c r="A27" s="102" t="s">
        <v>63</v>
      </c>
      <c r="B27" s="96">
        <v>450</v>
      </c>
    </row>
    <row r="28" spans="1:2" ht="15.75" customHeight="1" thickBot="1" x14ac:dyDescent="0.35">
      <c r="A28" s="103" t="s">
        <v>64</v>
      </c>
      <c r="B28" s="97">
        <v>350</v>
      </c>
    </row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2"/>
  <sheetViews>
    <sheetView tabSelected="1" zoomScaleNormal="100" workbookViewId="0"/>
  </sheetViews>
  <sheetFormatPr defaultColWidth="14.44140625" defaultRowHeight="14.4" x14ac:dyDescent="0.3"/>
  <cols>
    <col min="1" max="1" width="11.44140625" style="1" customWidth="1"/>
    <col min="2" max="2" width="11.33203125" style="1" customWidth="1"/>
    <col min="3" max="3" width="12.44140625" style="1" customWidth="1"/>
    <col min="4" max="4" width="14.88671875" style="1" customWidth="1"/>
    <col min="5" max="5" width="12.44140625" style="1" customWidth="1"/>
    <col min="6" max="6" width="27.5546875" style="1" customWidth="1"/>
    <col min="7" max="7" width="14.33203125" style="1" customWidth="1"/>
    <col min="8" max="8" width="15.109375" style="1" customWidth="1"/>
    <col min="9" max="9" width="11.44140625" style="1" customWidth="1"/>
    <col min="10" max="10" width="10.44140625" style="1" customWidth="1"/>
    <col min="11" max="11" width="31.33203125" style="1" customWidth="1"/>
    <col min="12" max="13" width="12.44140625" style="1" customWidth="1"/>
    <col min="14" max="14" width="26.5546875" style="1" customWidth="1"/>
    <col min="15" max="15" width="14.88671875" style="1" customWidth="1"/>
    <col min="16" max="16" width="15.6640625" style="1" customWidth="1"/>
    <col min="17" max="17" width="8.6640625" style="1" customWidth="1"/>
    <col min="18" max="18" width="7.109375" style="1" customWidth="1"/>
    <col min="19" max="19" width="7.33203125" style="1" customWidth="1"/>
    <col min="20" max="33" width="8.6640625" style="1" customWidth="1"/>
  </cols>
  <sheetData>
    <row r="1" spans="1:33" x14ac:dyDescent="0.3">
      <c r="G1" s="10"/>
      <c r="H1" s="11"/>
      <c r="I1" s="12"/>
      <c r="J1" s="10"/>
    </row>
    <row r="2" spans="1:33" ht="28.8" x14ac:dyDescent="0.3">
      <c r="A2" s="13" t="s">
        <v>0</v>
      </c>
      <c r="B2" s="14" t="s">
        <v>1</v>
      </c>
      <c r="C2" s="14" t="s">
        <v>2</v>
      </c>
      <c r="D2" s="14" t="s">
        <v>11</v>
      </c>
      <c r="E2" s="15" t="s">
        <v>12</v>
      </c>
      <c r="F2" s="16" t="s">
        <v>3</v>
      </c>
      <c r="G2" s="17" t="s">
        <v>13</v>
      </c>
      <c r="H2" s="18"/>
      <c r="I2" s="19" t="s">
        <v>13</v>
      </c>
      <c r="J2" s="20" t="s">
        <v>14</v>
      </c>
      <c r="K2" s="21" t="s">
        <v>15</v>
      </c>
      <c r="L2" s="21" t="s">
        <v>16</v>
      </c>
      <c r="M2" s="21" t="s">
        <v>17</v>
      </c>
      <c r="N2" s="3" t="s">
        <v>18</v>
      </c>
      <c r="O2" s="3" t="s">
        <v>2</v>
      </c>
      <c r="AE2" s="2"/>
      <c r="AF2" s="2"/>
      <c r="AG2" s="2"/>
    </row>
    <row r="3" spans="1:33" x14ac:dyDescent="0.3">
      <c r="A3" s="22">
        <v>40</v>
      </c>
      <c r="B3" s="23">
        <v>100</v>
      </c>
      <c r="C3" s="24">
        <v>0.4</v>
      </c>
      <c r="D3" s="25">
        <f>C3*$E$15</f>
        <v>24.304418993420896</v>
      </c>
      <c r="E3" s="26">
        <f>C3*$E$16</f>
        <v>29.457274921350173</v>
      </c>
      <c r="F3" s="27">
        <f>9.5</f>
        <v>9.5</v>
      </c>
      <c r="G3" s="28" t="s">
        <v>4</v>
      </c>
      <c r="H3" s="29"/>
      <c r="I3" s="30" t="s">
        <v>4</v>
      </c>
      <c r="J3" s="31"/>
      <c r="K3" s="32"/>
      <c r="L3" s="33"/>
      <c r="M3" s="6"/>
      <c r="N3" s="34"/>
      <c r="O3" s="35"/>
      <c r="AE3" s="2"/>
      <c r="AF3" s="36"/>
      <c r="AG3" s="2"/>
    </row>
    <row r="4" spans="1:33" x14ac:dyDescent="0.3">
      <c r="A4" s="37">
        <v>90</v>
      </c>
      <c r="B4" s="38">
        <v>150</v>
      </c>
      <c r="C4" s="39">
        <v>0.6</v>
      </c>
      <c r="D4" s="25">
        <f>C4*$E$15</f>
        <v>36.456628490131344</v>
      </c>
      <c r="E4" s="26">
        <f>C4*$E$16</f>
        <v>44.185912382025258</v>
      </c>
      <c r="F4" s="27">
        <v>13.5</v>
      </c>
      <c r="G4" s="40" t="s">
        <v>5</v>
      </c>
      <c r="H4" s="41"/>
      <c r="I4" s="42" t="s">
        <v>5</v>
      </c>
      <c r="J4" s="31"/>
      <c r="K4" s="32"/>
      <c r="L4" s="33"/>
      <c r="M4" s="6"/>
      <c r="N4" s="34"/>
      <c r="O4" s="35"/>
      <c r="AE4" s="2"/>
      <c r="AF4" s="36"/>
      <c r="AG4" s="2"/>
    </row>
    <row r="5" spans="1:33" x14ac:dyDescent="0.3">
      <c r="A5" s="22">
        <v>140</v>
      </c>
      <c r="B5" s="23">
        <v>200</v>
      </c>
      <c r="C5" s="24">
        <v>0.8</v>
      </c>
      <c r="D5" s="25">
        <f>C5*$E$15</f>
        <v>48.608837986841792</v>
      </c>
      <c r="E5" s="26">
        <f>C5*$E$16</f>
        <v>58.914549842700346</v>
      </c>
      <c r="F5" s="27">
        <v>17.5</v>
      </c>
      <c r="G5" s="28" t="s">
        <v>6</v>
      </c>
      <c r="H5" s="29"/>
      <c r="I5" s="43" t="s">
        <v>6</v>
      </c>
      <c r="J5" s="31"/>
      <c r="K5" s="32"/>
      <c r="L5" s="33"/>
      <c r="M5" s="6"/>
      <c r="N5" s="34"/>
      <c r="O5" s="35"/>
      <c r="AE5" s="2"/>
      <c r="AF5" s="36"/>
      <c r="AG5" s="2"/>
    </row>
    <row r="6" spans="1:33" x14ac:dyDescent="0.3">
      <c r="A6" s="37">
        <v>190</v>
      </c>
      <c r="B6" s="38">
        <v>250</v>
      </c>
      <c r="C6" s="39">
        <v>1</v>
      </c>
      <c r="D6" s="25">
        <f>C6*$E$15</f>
        <v>60.76104748355224</v>
      </c>
      <c r="E6" s="26">
        <f>C6*$E$16</f>
        <v>73.643187303375427</v>
      </c>
      <c r="F6" s="27">
        <v>21.5</v>
      </c>
      <c r="G6" s="40" t="s">
        <v>7</v>
      </c>
      <c r="H6" s="41"/>
      <c r="I6" s="42" t="s">
        <v>7</v>
      </c>
      <c r="J6" s="31"/>
      <c r="K6" s="32"/>
      <c r="L6" s="33"/>
      <c r="M6" s="6"/>
      <c r="N6" s="34"/>
      <c r="O6" s="35"/>
      <c r="AE6" s="2"/>
      <c r="AF6" s="36"/>
      <c r="AG6" s="2"/>
    </row>
    <row r="7" spans="1:33" x14ac:dyDescent="0.3">
      <c r="A7" s="22">
        <v>240</v>
      </c>
      <c r="B7" s="23">
        <v>300</v>
      </c>
      <c r="C7" s="24">
        <v>1.2</v>
      </c>
      <c r="D7" s="25">
        <f>C7*$E$15</f>
        <v>72.913256980262688</v>
      </c>
      <c r="E7" s="26">
        <f>C7*$E$16</f>
        <v>88.371824764050515</v>
      </c>
      <c r="F7" s="27">
        <v>25.5</v>
      </c>
      <c r="G7" s="28" t="s">
        <v>8</v>
      </c>
      <c r="H7" s="29"/>
      <c r="I7" s="43" t="s">
        <v>8</v>
      </c>
      <c r="J7" s="31"/>
      <c r="K7" s="32"/>
      <c r="L7" s="33"/>
      <c r="M7" s="6"/>
      <c r="N7" s="34"/>
      <c r="O7" s="35"/>
      <c r="AE7" s="2"/>
      <c r="AF7" s="36"/>
      <c r="AG7" s="2"/>
    </row>
    <row r="8" spans="1:33" x14ac:dyDescent="0.3">
      <c r="A8" s="37">
        <v>290</v>
      </c>
      <c r="B8" s="38">
        <v>350</v>
      </c>
      <c r="C8" s="39">
        <v>1.4</v>
      </c>
      <c r="D8" s="25">
        <f>C8*$E$15</f>
        <v>85.065466476973128</v>
      </c>
      <c r="E8" s="26">
        <f>C8*$E$16</f>
        <v>103.10046222472559</v>
      </c>
      <c r="F8" s="27">
        <v>29.5</v>
      </c>
      <c r="G8" s="40" t="s">
        <v>9</v>
      </c>
      <c r="H8" s="41"/>
      <c r="I8" s="42" t="s">
        <v>9</v>
      </c>
      <c r="J8" s="31"/>
      <c r="K8" s="32"/>
      <c r="L8" s="33"/>
      <c r="M8" s="6"/>
      <c r="N8" s="34"/>
      <c r="O8" s="35"/>
      <c r="AE8" s="2"/>
      <c r="AF8" s="36"/>
      <c r="AG8" s="2"/>
    </row>
    <row r="9" spans="1:33" x14ac:dyDescent="0.3">
      <c r="A9" s="22">
        <v>340</v>
      </c>
      <c r="B9" s="23">
        <v>400</v>
      </c>
      <c r="C9" s="24">
        <v>1.6</v>
      </c>
      <c r="D9" s="25">
        <f>C9*$E$15</f>
        <v>97.217675973683583</v>
      </c>
      <c r="E9" s="26">
        <f>C9*$E$16</f>
        <v>117.82909968540069</v>
      </c>
      <c r="F9" s="44">
        <v>33.5</v>
      </c>
      <c r="G9" s="28" t="s">
        <v>10</v>
      </c>
      <c r="H9" s="45"/>
      <c r="I9" s="43" t="s">
        <v>10</v>
      </c>
      <c r="J9" s="31"/>
      <c r="K9" s="32"/>
      <c r="L9" s="33"/>
      <c r="M9" s="6"/>
      <c r="N9" s="34"/>
      <c r="O9" s="35"/>
      <c r="AE9" s="2"/>
      <c r="AF9" s="36"/>
      <c r="AG9" s="2"/>
    </row>
    <row r="10" spans="1:33" x14ac:dyDescent="0.3">
      <c r="F10" s="4"/>
      <c r="G10" s="10"/>
      <c r="I10" s="2"/>
      <c r="J10" s="2"/>
      <c r="K10" s="2"/>
      <c r="L10" s="2"/>
      <c r="M10" s="2"/>
      <c r="N10" s="2"/>
      <c r="O10" s="2"/>
      <c r="AE10" s="2"/>
      <c r="AF10" s="36"/>
      <c r="AG10" s="2"/>
    </row>
    <row r="11" spans="1:33" ht="15" thickBot="1" x14ac:dyDescent="0.35">
      <c r="G11" s="10"/>
      <c r="J11" s="46"/>
      <c r="K11" s="47"/>
      <c r="L11" s="48"/>
      <c r="M11" s="49"/>
      <c r="N11" s="34"/>
      <c r="O11" s="50"/>
      <c r="AE11" s="2"/>
      <c r="AF11" s="36"/>
      <c r="AG11" s="2"/>
    </row>
    <row r="12" spans="1:33" ht="15" thickBot="1" x14ac:dyDescent="0.35">
      <c r="A12" s="173" t="s">
        <v>158</v>
      </c>
      <c r="B12" s="171"/>
      <c r="C12" s="171"/>
      <c r="D12" s="171"/>
      <c r="E12" s="172"/>
      <c r="F12" s="90"/>
      <c r="G12" s="10"/>
      <c r="H12" s="52"/>
      <c r="AE12" s="2"/>
      <c r="AF12" s="36"/>
      <c r="AG12" s="2"/>
    </row>
    <row r="13" spans="1:33" ht="15" thickBot="1" x14ac:dyDescent="0.35">
      <c r="A13" s="151"/>
      <c r="B13" s="152"/>
      <c r="C13" s="153" t="s">
        <v>141</v>
      </c>
      <c r="D13" s="154"/>
      <c r="E13" s="155"/>
      <c r="G13" s="10"/>
      <c r="H13" s="53"/>
      <c r="J13" s="139" t="s">
        <v>19</v>
      </c>
      <c r="K13" s="54" t="s">
        <v>20</v>
      </c>
      <c r="L13" s="55"/>
      <c r="M13" s="56" t="s">
        <v>21</v>
      </c>
      <c r="N13" s="57" t="s">
        <v>22</v>
      </c>
      <c r="O13" s="58"/>
      <c r="P13" s="59"/>
      <c r="R13" s="60"/>
      <c r="AE13" s="2"/>
      <c r="AF13" s="36"/>
      <c r="AG13" s="2"/>
    </row>
    <row r="14" spans="1:33" ht="15" thickBot="1" x14ac:dyDescent="0.35">
      <c r="A14" s="156"/>
      <c r="B14" s="157" t="s">
        <v>139</v>
      </c>
      <c r="C14" s="157" t="s">
        <v>140</v>
      </c>
      <c r="D14" s="158" t="s">
        <v>142</v>
      </c>
      <c r="E14" s="159" t="s">
        <v>143</v>
      </c>
      <c r="G14" s="10" t="s">
        <v>23</v>
      </c>
      <c r="J14" s="139"/>
      <c r="K14" s="61" t="s">
        <v>24</v>
      </c>
      <c r="L14" s="62"/>
      <c r="M14" s="63" t="s">
        <v>21</v>
      </c>
      <c r="N14" s="91" t="s">
        <v>25</v>
      </c>
      <c r="O14" s="64"/>
      <c r="P14" s="92"/>
      <c r="R14" s="60"/>
      <c r="AE14" s="2"/>
      <c r="AF14" s="2"/>
      <c r="AG14" s="2"/>
    </row>
    <row r="15" spans="1:33" ht="15" thickBot="1" x14ac:dyDescent="0.35">
      <c r="A15" s="160" t="s">
        <v>11</v>
      </c>
      <c r="B15" s="161">
        <v>26</v>
      </c>
      <c r="C15" s="162">
        <v>18</v>
      </c>
      <c r="D15" s="163">
        <v>3</v>
      </c>
      <c r="E15" s="149">
        <f>'Részletes hőtani segédlet'!AE46</f>
        <v>60.76104748355224</v>
      </c>
      <c r="F15" s="146" t="s">
        <v>26</v>
      </c>
      <c r="G15" s="65"/>
      <c r="H15" s="66"/>
      <c r="J15" s="67"/>
      <c r="K15" s="2"/>
      <c r="L15" s="2"/>
      <c r="M15" s="63" t="s">
        <v>21</v>
      </c>
      <c r="N15" s="91"/>
      <c r="O15" s="68"/>
      <c r="P15" s="92"/>
      <c r="AE15" s="2"/>
      <c r="AF15" s="2"/>
      <c r="AG15" s="2"/>
    </row>
    <row r="16" spans="1:33" ht="15" thickBot="1" x14ac:dyDescent="0.35">
      <c r="A16" s="156" t="s">
        <v>12</v>
      </c>
      <c r="B16" s="164">
        <v>22</v>
      </c>
      <c r="C16" s="165">
        <v>35</v>
      </c>
      <c r="D16" s="166">
        <v>5</v>
      </c>
      <c r="E16" s="150">
        <f>'Részletes hőtani segédlet'!AD46</f>
        <v>73.643187303375427</v>
      </c>
      <c r="F16" s="147" t="s">
        <v>27</v>
      </c>
      <c r="G16" s="69"/>
      <c r="H16" s="70"/>
      <c r="J16" s="71"/>
      <c r="K16" s="72" t="s">
        <v>28</v>
      </c>
      <c r="L16" s="73"/>
      <c r="M16" s="63" t="s">
        <v>21</v>
      </c>
      <c r="N16" s="51" t="s">
        <v>29</v>
      </c>
      <c r="O16" s="51"/>
      <c r="P16" s="74"/>
      <c r="AE16" s="2"/>
      <c r="AF16" s="2"/>
      <c r="AG16" s="2"/>
    </row>
    <row r="17" spans="1:33" ht="15" thickBot="1" x14ac:dyDescent="0.35">
      <c r="A17" s="167" t="s">
        <v>154</v>
      </c>
      <c r="B17" s="168"/>
      <c r="C17" s="169">
        <v>55</v>
      </c>
      <c r="D17" s="2"/>
      <c r="E17" s="2"/>
      <c r="F17" s="2"/>
      <c r="G17" s="10"/>
      <c r="H17" s="2"/>
      <c r="I17" s="2"/>
      <c r="M17" s="63" t="s">
        <v>21</v>
      </c>
      <c r="N17" s="51" t="s">
        <v>29</v>
      </c>
      <c r="O17" s="75"/>
      <c r="P17" s="74"/>
      <c r="AE17" s="2"/>
      <c r="AF17" s="2"/>
      <c r="AG17" s="2"/>
    </row>
    <row r="18" spans="1:33" ht="14.4" customHeight="1" x14ac:dyDescent="0.3">
      <c r="A18" s="2"/>
      <c r="B18" s="2"/>
      <c r="C18" s="174"/>
      <c r="D18" s="174"/>
      <c r="E18" s="174"/>
      <c r="F18" s="145"/>
      <c r="G18" s="10"/>
      <c r="H18" s="2"/>
      <c r="I18" s="2"/>
      <c r="M18" s="63" t="s">
        <v>21</v>
      </c>
      <c r="N18" s="51" t="s">
        <v>35</v>
      </c>
      <c r="O18" s="8"/>
      <c r="P18" s="74"/>
      <c r="AE18" s="2"/>
      <c r="AF18" s="2"/>
      <c r="AG18" s="2"/>
    </row>
    <row r="19" spans="1:33" ht="14.4" customHeight="1" x14ac:dyDescent="0.3">
      <c r="A19" s="2"/>
      <c r="B19" s="2"/>
      <c r="C19" s="174"/>
      <c r="D19" s="174"/>
      <c r="E19" s="174"/>
      <c r="F19" s="2"/>
      <c r="G19" s="10"/>
      <c r="H19" s="2"/>
      <c r="I19" s="2"/>
      <c r="M19" s="63" t="s">
        <v>21</v>
      </c>
      <c r="N19" s="51" t="s">
        <v>36</v>
      </c>
      <c r="O19" s="8"/>
      <c r="P19" s="74"/>
      <c r="AE19" s="2"/>
      <c r="AF19" s="2"/>
      <c r="AG19" s="2"/>
    </row>
    <row r="20" spans="1:33" x14ac:dyDescent="0.3">
      <c r="A20" s="170" t="str">
        <f>'Harmatpont segédlet'!Z8</f>
        <v/>
      </c>
      <c r="B20" s="170"/>
      <c r="C20" s="170"/>
      <c r="D20" s="170"/>
      <c r="E20" s="170"/>
      <c r="F20" s="36"/>
      <c r="G20" s="10"/>
      <c r="H20" s="2"/>
      <c r="I20" s="2"/>
      <c r="M20" s="63" t="s">
        <v>21</v>
      </c>
      <c r="N20" s="51" t="s">
        <v>30</v>
      </c>
      <c r="O20" s="8"/>
      <c r="P20" s="74"/>
      <c r="AE20" s="2"/>
      <c r="AF20" s="2"/>
      <c r="AG20" s="36"/>
    </row>
    <row r="21" spans="1:33" x14ac:dyDescent="0.3">
      <c r="A21" s="170"/>
      <c r="B21" s="170"/>
      <c r="C21" s="170"/>
      <c r="D21" s="170"/>
      <c r="E21" s="170"/>
      <c r="F21" s="2"/>
      <c r="G21" s="10"/>
      <c r="H21" s="2"/>
      <c r="I21" s="9"/>
      <c r="M21" s="63" t="s">
        <v>21</v>
      </c>
      <c r="N21" s="51" t="s">
        <v>31</v>
      </c>
      <c r="O21" s="5"/>
      <c r="P21" s="74"/>
      <c r="AE21" s="2"/>
      <c r="AF21" s="2"/>
      <c r="AG21" s="36"/>
    </row>
    <row r="22" spans="1:33" x14ac:dyDescent="0.3">
      <c r="A22" s="170"/>
      <c r="B22" s="170"/>
      <c r="C22" s="170"/>
      <c r="D22" s="170"/>
      <c r="E22" s="170"/>
      <c r="F22" s="4"/>
      <c r="G22" s="4"/>
      <c r="H22" s="4"/>
      <c r="I22" s="76"/>
      <c r="K22" s="76"/>
      <c r="M22" s="63" t="s">
        <v>21</v>
      </c>
      <c r="N22" s="51" t="s">
        <v>32</v>
      </c>
      <c r="O22" s="51"/>
      <c r="P22" s="74"/>
      <c r="AE22" s="2"/>
      <c r="AF22" s="2"/>
      <c r="AG22" s="36"/>
    </row>
    <row r="23" spans="1:33" ht="15.75" customHeight="1" x14ac:dyDescent="0.3">
      <c r="A23" s="170"/>
      <c r="B23" s="170"/>
      <c r="C23" s="170"/>
      <c r="D23" s="170"/>
      <c r="E23" s="170"/>
      <c r="F23" s="4"/>
      <c r="G23" s="4"/>
      <c r="H23" s="4"/>
      <c r="I23" s="76"/>
      <c r="K23" s="76"/>
      <c r="M23" s="63" t="s">
        <v>21</v>
      </c>
      <c r="N23" s="51" t="s">
        <v>32</v>
      </c>
      <c r="O23" s="51"/>
      <c r="P23" s="74"/>
      <c r="AE23" s="2"/>
      <c r="AF23" s="2"/>
      <c r="AG23" s="36"/>
    </row>
    <row r="24" spans="1:33" ht="15.75" customHeight="1" x14ac:dyDescent="0.3">
      <c r="A24" s="4"/>
      <c r="B24" s="4"/>
      <c r="C24" s="4"/>
      <c r="D24" s="4"/>
      <c r="E24" s="4"/>
      <c r="F24" s="4"/>
      <c r="G24" s="4"/>
      <c r="H24" s="4"/>
      <c r="I24" s="77"/>
      <c r="K24" s="76"/>
      <c r="M24" s="63"/>
      <c r="N24" s="51"/>
      <c r="O24" s="51"/>
      <c r="P24" s="74"/>
      <c r="AE24" s="2"/>
      <c r="AF24" s="2"/>
      <c r="AG24" s="36"/>
    </row>
    <row r="25" spans="1:33" ht="15.75" customHeight="1" x14ac:dyDescent="0.3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M25" s="63"/>
      <c r="N25" s="51"/>
      <c r="O25" s="51"/>
      <c r="P25" s="74"/>
      <c r="AE25" s="2"/>
      <c r="AF25" s="2"/>
      <c r="AG25" s="36"/>
    </row>
    <row r="26" spans="1:33" ht="15.75" customHeight="1" x14ac:dyDescent="0.3">
      <c r="A26" s="4"/>
      <c r="B26" s="4"/>
      <c r="C26" s="4"/>
      <c r="D26" s="4"/>
      <c r="E26" s="4"/>
      <c r="F26" s="4"/>
      <c r="G26" s="4"/>
      <c r="H26" s="4"/>
      <c r="I26" s="2"/>
      <c r="J26" s="60"/>
      <c r="M26" s="78"/>
      <c r="N26" s="79" t="s">
        <v>33</v>
      </c>
      <c r="O26" s="93"/>
      <c r="P26" s="80"/>
      <c r="AE26" s="2"/>
      <c r="AF26" s="2"/>
      <c r="AG26" s="36"/>
    </row>
    <row r="27" spans="1:33" ht="15.75" customHeight="1" x14ac:dyDescent="0.3">
      <c r="A27" s="4"/>
      <c r="B27" s="4"/>
      <c r="C27" s="4"/>
      <c r="D27" s="4"/>
      <c r="E27" s="4"/>
      <c r="F27" s="4"/>
      <c r="G27" s="4"/>
      <c r="H27" s="4"/>
      <c r="I27" s="60"/>
      <c r="N27" s="36" t="s">
        <v>34</v>
      </c>
      <c r="P27" s="81"/>
      <c r="AE27" s="2"/>
      <c r="AF27" s="2"/>
      <c r="AG27" s="36"/>
    </row>
    <row r="28" spans="1:33" ht="15.75" customHeight="1" x14ac:dyDescent="0.3">
      <c r="A28" s="4"/>
      <c r="B28" s="4"/>
      <c r="C28" s="4"/>
      <c r="D28" s="4"/>
      <c r="E28" s="4"/>
      <c r="F28" s="4"/>
      <c r="G28" s="4"/>
      <c r="H28" s="4"/>
      <c r="I28" s="60"/>
      <c r="L28" s="2"/>
      <c r="M28" s="2"/>
      <c r="AE28" s="2"/>
      <c r="AF28" s="2"/>
      <c r="AG28" s="36"/>
    </row>
    <row r="29" spans="1:33" ht="15.75" customHeight="1" x14ac:dyDescent="0.3">
      <c r="A29" s="4"/>
      <c r="B29" s="4"/>
      <c r="C29" s="4"/>
      <c r="D29" s="4"/>
      <c r="E29" s="4"/>
      <c r="F29" s="4"/>
      <c r="G29" s="4"/>
      <c r="H29" s="4"/>
      <c r="I29" s="60"/>
      <c r="L29" s="82"/>
      <c r="M29" s="83"/>
      <c r="N29" s="84"/>
      <c r="O29" s="7"/>
      <c r="AE29" s="2"/>
      <c r="AF29" s="2"/>
      <c r="AG29" s="36"/>
    </row>
    <row r="30" spans="1:33" ht="15.75" customHeight="1" x14ac:dyDescent="0.3">
      <c r="A30" s="4"/>
      <c r="B30" s="4"/>
      <c r="C30" s="4"/>
      <c r="D30" s="4"/>
      <c r="E30" s="4"/>
      <c r="F30" s="4"/>
      <c r="G30" s="4"/>
      <c r="H30" s="4"/>
      <c r="I30" s="60"/>
      <c r="L30" s="85"/>
      <c r="M30" s="2"/>
      <c r="N30" s="86"/>
      <c r="O30" s="7"/>
      <c r="AE30" s="2"/>
      <c r="AF30" s="2"/>
      <c r="AG30" s="36"/>
    </row>
    <row r="31" spans="1:33" ht="15.75" customHeight="1" x14ac:dyDescent="0.3">
      <c r="A31" s="4"/>
      <c r="B31" s="4"/>
      <c r="C31" s="4"/>
      <c r="D31" s="4"/>
      <c r="E31" s="4"/>
      <c r="F31" s="4"/>
      <c r="G31" s="4"/>
      <c r="H31" s="4"/>
      <c r="I31" s="60"/>
      <c r="L31" s="2"/>
      <c r="M31" s="2"/>
      <c r="N31" s="86"/>
      <c r="O31" s="7"/>
      <c r="P31" s="2"/>
      <c r="Q31" s="2"/>
      <c r="AE31" s="2"/>
      <c r="AF31" s="2"/>
      <c r="AG31" s="2"/>
    </row>
    <row r="32" spans="1:33" ht="15.75" customHeight="1" x14ac:dyDescent="0.3">
      <c r="A32" s="4"/>
      <c r="B32" s="4"/>
      <c r="C32" s="4"/>
      <c r="D32" s="4"/>
      <c r="E32" s="4"/>
      <c r="F32" s="4"/>
      <c r="G32" s="4"/>
      <c r="H32" s="4"/>
      <c r="I32" s="60"/>
      <c r="L32" s="2"/>
      <c r="M32" s="2"/>
      <c r="N32" s="2"/>
      <c r="O32" s="87"/>
      <c r="P32" s="2"/>
      <c r="Q32" s="2"/>
      <c r="AE32" s="2"/>
      <c r="AF32" s="2"/>
      <c r="AG32" s="2"/>
    </row>
    <row r="33" spans="1:33" ht="15.75" customHeight="1" x14ac:dyDescent="0.3">
      <c r="A33" s="4"/>
      <c r="B33" s="4"/>
      <c r="C33" s="4"/>
      <c r="D33" s="4"/>
      <c r="E33" s="4"/>
      <c r="F33" s="4"/>
      <c r="G33" s="4"/>
      <c r="H33" s="4"/>
      <c r="I33" s="60"/>
      <c r="L33" s="2"/>
      <c r="M33" s="2"/>
      <c r="N33" s="2"/>
      <c r="O33" s="88"/>
      <c r="P33" s="2"/>
      <c r="Q33" s="2"/>
      <c r="AE33" s="2"/>
      <c r="AF33" s="2"/>
      <c r="AG33" s="36"/>
    </row>
    <row r="34" spans="1:33" ht="15.75" customHeight="1" x14ac:dyDescent="0.3">
      <c r="A34" s="4"/>
      <c r="B34" s="4"/>
      <c r="C34" s="4"/>
      <c r="D34" s="4"/>
      <c r="E34" s="4"/>
      <c r="F34" s="4"/>
      <c r="G34" s="4"/>
      <c r="H34" s="4"/>
      <c r="I34" s="60"/>
      <c r="L34" s="2"/>
      <c r="M34" s="2"/>
      <c r="N34" s="2"/>
      <c r="O34" s="88"/>
      <c r="P34" s="2"/>
      <c r="Q34" s="2"/>
      <c r="AE34" s="2"/>
      <c r="AF34" s="2"/>
      <c r="AG34" s="89"/>
    </row>
    <row r="35" spans="1:33" ht="15.75" customHeight="1" x14ac:dyDescent="0.3">
      <c r="G35" s="10"/>
      <c r="I35" s="60"/>
      <c r="L35" s="2"/>
      <c r="M35" s="2"/>
      <c r="N35" s="2"/>
      <c r="O35" s="2"/>
      <c r="P35" s="2"/>
      <c r="Q35" s="2"/>
    </row>
    <row r="36" spans="1:33" ht="15.75" customHeight="1" x14ac:dyDescent="0.3">
      <c r="N36" s="2"/>
      <c r="O36" s="36"/>
      <c r="P36" s="2"/>
      <c r="Q36" s="2"/>
    </row>
    <row r="37" spans="1:33" ht="15.75" customHeight="1" x14ac:dyDescent="0.3">
      <c r="M37" s="36"/>
      <c r="N37" s="2"/>
      <c r="O37" s="2"/>
      <c r="P37" s="2"/>
      <c r="Q37" s="2"/>
    </row>
    <row r="38" spans="1:33" ht="15.75" customHeight="1" x14ac:dyDescent="0.3">
      <c r="N38" s="2"/>
      <c r="O38" s="2"/>
      <c r="P38" s="2"/>
      <c r="Q38" s="2"/>
    </row>
    <row r="39" spans="1:33" ht="15.75" customHeight="1" x14ac:dyDescent="0.3">
      <c r="N39" s="2"/>
      <c r="O39" s="2"/>
      <c r="P39" s="2"/>
      <c r="Q39" s="2"/>
    </row>
    <row r="40" spans="1:33" ht="15.75" customHeight="1" x14ac:dyDescent="0.3">
      <c r="N40" s="2"/>
      <c r="O40" s="2"/>
      <c r="P40" s="2"/>
      <c r="Q40" s="2"/>
    </row>
    <row r="41" spans="1:33" ht="15.75" customHeight="1" x14ac:dyDescent="0.3">
      <c r="N41" s="2"/>
      <c r="O41" s="2"/>
      <c r="P41" s="2"/>
      <c r="Q41" s="2"/>
    </row>
    <row r="42" spans="1:33" ht="15.75" customHeight="1" x14ac:dyDescent="0.3">
      <c r="N42" s="2"/>
      <c r="O42" s="2"/>
      <c r="P42" s="2"/>
      <c r="Q42" s="2"/>
    </row>
    <row r="43" spans="1:33" ht="15.75" customHeight="1" x14ac:dyDescent="0.3">
      <c r="N43" s="2"/>
      <c r="O43" s="2"/>
      <c r="P43" s="2"/>
      <c r="Q43" s="2"/>
    </row>
    <row r="44" spans="1:33" ht="15.75" customHeight="1" x14ac:dyDescent="0.3">
      <c r="N44" s="2"/>
      <c r="O44" s="2"/>
      <c r="P44" s="2"/>
      <c r="Q44" s="2"/>
    </row>
    <row r="45" spans="1:33" ht="15.75" customHeight="1" x14ac:dyDescent="0.3">
      <c r="N45" s="2"/>
      <c r="O45" s="2"/>
      <c r="P45" s="2"/>
      <c r="Q45" s="2"/>
    </row>
    <row r="46" spans="1:33" ht="15.75" customHeight="1" x14ac:dyDescent="0.3"/>
    <row r="47" spans="1:33" ht="15.75" customHeight="1" x14ac:dyDescent="0.3"/>
    <row r="48" spans="1:3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5">
    <mergeCell ref="A12:E12"/>
    <mergeCell ref="J13:J14"/>
    <mergeCell ref="C13:D13"/>
    <mergeCell ref="A17:B17"/>
    <mergeCell ref="A20:E23"/>
  </mergeCells>
  <conditionalFormatting sqref="A20:E23">
    <cfRule type="expression" dxfId="0" priority="1">
      <formula>A20&lt;&gt;""</formula>
    </cfRule>
  </conditionalFormatting>
  <dataValidations count="8">
    <dataValidation type="list" allowBlank="1" showErrorMessage="1" sqref="O22:O23">
      <formula1>$AF$17:$AF$29</formula1>
      <formula2>0</formula2>
    </dataValidation>
    <dataValidation type="list" allowBlank="1" showErrorMessage="1" sqref="O16:O17">
      <formula1>$AE$2:$AE$13</formula1>
      <formula2>0</formula2>
    </dataValidation>
    <dataValidation allowBlank="1" showErrorMessage="1" sqref="O18 O19"/>
    <dataValidation type="custom" allowBlank="1" showInputMessage="1" showErrorMessage="1" errorTitle="Érvénytelen paraméter" error="24-30 °C közötti egész értéket adjon meg!" sqref="B15">
      <formula1>AND(ROUND(B15,0)=B15,B15&gt;=24,B15&lt;=30)</formula1>
    </dataValidation>
    <dataValidation type="custom" allowBlank="1" showInputMessage="1" showErrorMessage="1" errorTitle="Érvénytelen paraméter" error="16-22 °C közötti egész értéket adjon meg!" sqref="C15">
      <formula1>AND(ROUND(C15,0)=C15,C15&gt;=16,C15&lt;=22)</formula1>
    </dataValidation>
    <dataValidation type="custom" allowBlank="1" showInputMessage="1" showErrorMessage="1" errorTitle="Érvénytelen paraméter" error="3-4 °C közötti egész értéket adjon meg!" sqref="D15">
      <formula1>AND(ROUND(D15,0)=D15,D15&gt;=3,D15&lt;=4)</formula1>
    </dataValidation>
    <dataValidation type="custom" allowBlank="1" showInputMessage="1" showErrorMessage="1" errorTitle="Érvénytelen paraméter" error="20-28 °C közötti egész értéket adjon meg!" sqref="B16">
      <formula1>AND(ROUND(B16,0)=B16,B16&gt;=20,B16&lt;=28)</formula1>
    </dataValidation>
    <dataValidation type="custom" allowBlank="1" showInputMessage="1" showErrorMessage="1" errorTitle="Érvénytelen paraméter" error="45-100 % közötti, 5-tel osztható értéket adjon meg!" sqref="C17">
      <formula1>AND(C17&lt;=100,C17&gt;=45,ROUND(C17,0)=C17,MOD(C17,5)=0)</formula1>
    </dataValidation>
  </dataValidation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showGridLines="0" workbookViewId="0">
      <selection activeCell="P2" sqref="P2"/>
    </sheetView>
  </sheetViews>
  <sheetFormatPr defaultColWidth="9.109375" defaultRowHeight="14.4" x14ac:dyDescent="0.3"/>
  <cols>
    <col min="1" max="1" width="9.109375" style="105" customWidth="1"/>
    <col min="2" max="14" width="9.109375" customWidth="1"/>
    <col min="15" max="15" width="31.88671875" bestFit="1" customWidth="1"/>
    <col min="16" max="17" width="9.109375" customWidth="1"/>
    <col min="18" max="24" width="9.109375" style="119" customWidth="1"/>
    <col min="25" max="41" width="9.109375" style="119"/>
    <col min="42" max="43" width="9.109375" style="127"/>
  </cols>
  <sheetData>
    <row r="1" spans="1:51" ht="15" thickBot="1" x14ac:dyDescent="0.35">
      <c r="A1" s="104"/>
      <c r="B1" s="104"/>
      <c r="C1" s="104" t="str">
        <f>IF($P$3=C2*100,COLUMN(A1),"")</f>
        <v/>
      </c>
      <c r="D1" s="104" t="str">
        <f t="shared" ref="D1:M1" si="0">IF($P$3=D2*100,COLUMN(B1),"")</f>
        <v/>
      </c>
      <c r="E1" s="104" t="str">
        <f t="shared" si="0"/>
        <v/>
      </c>
      <c r="F1" s="104" t="str">
        <f t="shared" si="0"/>
        <v/>
      </c>
      <c r="G1" s="104" t="str">
        <f t="shared" si="0"/>
        <v/>
      </c>
      <c r="H1" s="104" t="str">
        <f t="shared" si="0"/>
        <v/>
      </c>
      <c r="I1" s="104" t="str">
        <f t="shared" si="0"/>
        <v/>
      </c>
      <c r="J1" s="104" t="str">
        <f t="shared" si="0"/>
        <v/>
      </c>
      <c r="K1" s="104" t="str">
        <f t="shared" si="0"/>
        <v/>
      </c>
      <c r="L1" s="104" t="str">
        <f t="shared" si="0"/>
        <v/>
      </c>
      <c r="M1" s="104" t="str">
        <f t="shared" si="0"/>
        <v/>
      </c>
      <c r="W1" s="119" t="s">
        <v>65</v>
      </c>
      <c r="X1" s="119" t="s">
        <v>66</v>
      </c>
      <c r="AE1" s="119" t="str">
        <f>IF($AA$3=C2*100,COLUMN(A1),"")</f>
        <v/>
      </c>
      <c r="AF1" s="119" t="str">
        <f t="shared" ref="AF1:AO1" si="1">IF($AA$3=D2*100,COLUMN(B1),"")</f>
        <v/>
      </c>
      <c r="AG1" s="119">
        <f t="shared" si="1"/>
        <v>3</v>
      </c>
      <c r="AH1" s="119" t="str">
        <f t="shared" si="1"/>
        <v/>
      </c>
      <c r="AI1" s="119" t="str">
        <f t="shared" si="1"/>
        <v/>
      </c>
      <c r="AJ1" s="119" t="str">
        <f t="shared" si="1"/>
        <v/>
      </c>
      <c r="AK1" s="119" t="str">
        <f t="shared" si="1"/>
        <v/>
      </c>
      <c r="AL1" s="119" t="str">
        <f t="shared" si="1"/>
        <v/>
      </c>
      <c r="AM1" s="119" t="str">
        <f t="shared" si="1"/>
        <v/>
      </c>
      <c r="AN1" s="119" t="str">
        <f t="shared" si="1"/>
        <v/>
      </c>
      <c r="AO1" s="119" t="str">
        <f t="shared" si="1"/>
        <v/>
      </c>
      <c r="AR1" s="127"/>
      <c r="AS1" s="127"/>
      <c r="AT1" s="127"/>
      <c r="AU1" s="127"/>
      <c r="AV1" s="127"/>
      <c r="AW1" s="127"/>
      <c r="AX1" s="127"/>
      <c r="AY1" s="127"/>
    </row>
    <row r="2" spans="1:51" ht="15" thickBot="1" x14ac:dyDescent="0.35">
      <c r="C2" s="106">
        <v>0.45</v>
      </c>
      <c r="D2" s="106">
        <v>0.5</v>
      </c>
      <c r="E2" s="106">
        <v>0.55000000000000004</v>
      </c>
      <c r="F2" s="106">
        <v>0.6</v>
      </c>
      <c r="G2" s="106">
        <v>0.65</v>
      </c>
      <c r="H2" s="106">
        <v>0.7</v>
      </c>
      <c r="I2" s="106">
        <v>0.75</v>
      </c>
      <c r="J2" s="106">
        <v>0.8</v>
      </c>
      <c r="K2" s="106">
        <v>0.85</v>
      </c>
      <c r="L2" s="106">
        <v>0.9</v>
      </c>
      <c r="M2" s="106">
        <v>0.95</v>
      </c>
      <c r="O2" s="107" t="s">
        <v>67</v>
      </c>
      <c r="P2" s="195">
        <v>26</v>
      </c>
      <c r="Q2" s="108" t="s">
        <v>68</v>
      </c>
      <c r="V2" s="119" t="s">
        <v>69</v>
      </c>
      <c r="W2" s="119">
        <v>-2.0000000000000002E-5</v>
      </c>
      <c r="X2" s="119">
        <v>-1E-3</v>
      </c>
      <c r="Z2" s="119" t="s">
        <v>147</v>
      </c>
      <c r="AA2" s="119">
        <f>'Ajánlat részletek'!B15</f>
        <v>26</v>
      </c>
    </row>
    <row r="3" spans="1:51" ht="15" thickBot="1" x14ac:dyDescent="0.35">
      <c r="A3" s="105" t="str">
        <f>IF($P$2=B3,ROW(A1),"")</f>
        <v/>
      </c>
      <c r="B3" s="109">
        <v>2</v>
      </c>
      <c r="C3" s="110">
        <v>-7.8</v>
      </c>
      <c r="D3" s="110">
        <v>-6.6</v>
      </c>
      <c r="E3" s="110">
        <v>-5.4</v>
      </c>
      <c r="F3" s="110">
        <v>-4.4000000000000004</v>
      </c>
      <c r="G3" s="110">
        <v>-3.2</v>
      </c>
      <c r="H3" s="110">
        <v>-2.5</v>
      </c>
      <c r="I3" s="110">
        <v>-1.8</v>
      </c>
      <c r="J3" s="110">
        <v>-1</v>
      </c>
      <c r="K3" s="110">
        <v>-0.3</v>
      </c>
      <c r="L3" s="110">
        <v>0.5</v>
      </c>
      <c r="M3" s="110">
        <v>1.2</v>
      </c>
      <c r="O3" s="111" t="s">
        <v>70</v>
      </c>
      <c r="P3" s="196">
        <v>56</v>
      </c>
      <c r="Q3" s="112" t="s">
        <v>71</v>
      </c>
      <c r="V3" s="119" t="s">
        <v>72</v>
      </c>
      <c r="W3" s="119">
        <v>4.7000000000000002E-3</v>
      </c>
      <c r="X3" s="119">
        <v>0.3306</v>
      </c>
      <c r="Z3" s="119" t="s">
        <v>155</v>
      </c>
      <c r="AA3" s="119">
        <f>'Ajánlat részletek'!C17</f>
        <v>55</v>
      </c>
      <c r="AC3" s="119" t="str">
        <f>IF($AA$2=B3,ROW(A1),"")</f>
        <v/>
      </c>
    </row>
    <row r="4" spans="1:51" ht="15" thickBot="1" x14ac:dyDescent="0.35">
      <c r="A4" s="105" t="str">
        <f t="shared" ref="A4:A32" si="2">IF($P$2=B4,ROW(A2),"")</f>
        <v/>
      </c>
      <c r="B4" s="113">
        <v>4</v>
      </c>
      <c r="C4" s="114">
        <v>-6.1</v>
      </c>
      <c r="D4" s="114">
        <v>-4.9000000000000004</v>
      </c>
      <c r="E4" s="114">
        <v>-3.7</v>
      </c>
      <c r="F4" s="114">
        <v>-2.6</v>
      </c>
      <c r="G4" s="114">
        <v>-1.8</v>
      </c>
      <c r="H4" s="114">
        <v>-0.9</v>
      </c>
      <c r="I4" s="114">
        <v>-0.1</v>
      </c>
      <c r="J4" s="114">
        <v>0.8</v>
      </c>
      <c r="K4" s="114">
        <v>1.6</v>
      </c>
      <c r="L4" s="114">
        <v>2.4</v>
      </c>
      <c r="M4" s="114">
        <v>3.2</v>
      </c>
      <c r="O4" s="107" t="str">
        <f>IF(ISERROR(W10),"Becsült h","H")&amp;"armatponti hőmérséklet:"</f>
        <v>Becsült harmatponti hőmérséklet:</v>
      </c>
      <c r="P4" s="115">
        <f>IFERROR(W10,W7*P2+W8)</f>
        <v>16.528799999999997</v>
      </c>
      <c r="Q4" s="108" t="s">
        <v>68</v>
      </c>
      <c r="V4" s="119" t="s">
        <v>73</v>
      </c>
      <c r="W4" s="119">
        <v>0.72130000000000005</v>
      </c>
      <c r="X4" s="119">
        <v>-22.812999999999999</v>
      </c>
      <c r="Z4" s="119" t="s">
        <v>144</v>
      </c>
      <c r="AA4" s="119">
        <f>'Ajánlat részletek'!C15</f>
        <v>18</v>
      </c>
      <c r="AC4" s="119" t="str">
        <f t="shared" ref="AC4:AC32" si="3">IF($AA$2=B4,ROW(A2),"")</f>
        <v/>
      </c>
    </row>
    <row r="5" spans="1:51" x14ac:dyDescent="0.3">
      <c r="A5" s="105" t="str">
        <f t="shared" si="2"/>
        <v/>
      </c>
      <c r="B5" s="113">
        <v>6</v>
      </c>
      <c r="C5" s="114">
        <v>-4.5</v>
      </c>
      <c r="D5" s="114">
        <v>-3.1</v>
      </c>
      <c r="E5" s="114">
        <v>-2.1</v>
      </c>
      <c r="F5" s="114">
        <v>-1.1000000000000001</v>
      </c>
      <c r="G5" s="114">
        <v>-0.1</v>
      </c>
      <c r="H5" s="114">
        <v>0.9</v>
      </c>
      <c r="I5" s="114">
        <v>1.9</v>
      </c>
      <c r="J5" s="114">
        <v>2.7</v>
      </c>
      <c r="K5" s="114">
        <v>3.6</v>
      </c>
      <c r="L5" s="114">
        <v>4.5</v>
      </c>
      <c r="M5" s="114">
        <v>5.4</v>
      </c>
      <c r="V5" s="119" t="str">
        <f>"a="&amp;W2&amp;"*"&amp;P3&amp;"^2"&amp;"+"&amp;W3&amp;"*"&amp;P3&amp;"+"&amp;W4</f>
        <v>a=-0.00002*56^2+0.0047*56+0.7213</v>
      </c>
      <c r="Z5" s="119" t="s">
        <v>156</v>
      </c>
      <c r="AA5" s="119">
        <f>TRUNC(IFERROR(X10,X7*AA2+X8),1)</f>
        <v>16.3</v>
      </c>
      <c r="AC5" s="119" t="str">
        <f t="shared" si="3"/>
        <v/>
      </c>
    </row>
    <row r="6" spans="1:51" x14ac:dyDescent="0.3">
      <c r="A6" s="105" t="str">
        <f t="shared" si="2"/>
        <v/>
      </c>
      <c r="B6" s="113">
        <v>8</v>
      </c>
      <c r="C6" s="114">
        <v>-2.7</v>
      </c>
      <c r="D6" s="114">
        <v>-1.6</v>
      </c>
      <c r="E6" s="114">
        <v>-0.4</v>
      </c>
      <c r="F6" s="114">
        <v>0.7</v>
      </c>
      <c r="G6" s="114">
        <v>1.8</v>
      </c>
      <c r="H6" s="114">
        <v>2.8</v>
      </c>
      <c r="I6" s="114">
        <v>3.8</v>
      </c>
      <c r="J6" s="114">
        <v>4.8</v>
      </c>
      <c r="K6" s="114">
        <v>5.7</v>
      </c>
      <c r="L6" s="114">
        <v>6.5</v>
      </c>
      <c r="M6" s="114">
        <v>7.3</v>
      </c>
      <c r="V6" s="119" t="str">
        <f>"b="&amp;X2&amp;"*"&amp;P3&amp;"^2"&amp;"+"&amp;X3&amp;"*"&amp;P3&amp;""&amp;X4</f>
        <v>b=-0.001*56^2+0.3306*56-22.813</v>
      </c>
      <c r="Z6" s="119" t="s">
        <v>157</v>
      </c>
      <c r="AA6" s="119" t="b">
        <f>AA5&gt;AA4</f>
        <v>0</v>
      </c>
      <c r="AC6" s="119" t="str">
        <f t="shared" si="3"/>
        <v/>
      </c>
    </row>
    <row r="7" spans="1:51" ht="15" thickBot="1" x14ac:dyDescent="0.35">
      <c r="A7" s="105" t="str">
        <f t="shared" si="2"/>
        <v/>
      </c>
      <c r="B7" s="116">
        <v>10</v>
      </c>
      <c r="C7" s="117">
        <v>-1.3</v>
      </c>
      <c r="D7" s="117">
        <v>0</v>
      </c>
      <c r="E7" s="117">
        <v>1.3</v>
      </c>
      <c r="F7" s="117">
        <v>2.5</v>
      </c>
      <c r="G7" s="117">
        <v>3.7</v>
      </c>
      <c r="H7" s="117">
        <v>4.8</v>
      </c>
      <c r="I7" s="117">
        <v>5.8</v>
      </c>
      <c r="J7" s="117">
        <v>6.8</v>
      </c>
      <c r="K7" s="117">
        <v>7.7</v>
      </c>
      <c r="L7" s="117">
        <v>8.5</v>
      </c>
      <c r="M7" s="117">
        <v>9.3000000000000007</v>
      </c>
      <c r="V7" s="119" t="s">
        <v>74</v>
      </c>
      <c r="W7" s="119">
        <f>TRUNC(W2*P3*P3+W3*P3+W4,4)</f>
        <v>0.92169999999999996</v>
      </c>
      <c r="X7" s="119">
        <f>TRUNC(W2*AA3*AA3+W3*AA3+W4,4)</f>
        <v>0.91930000000000001</v>
      </c>
      <c r="AA7" s="119" t="str">
        <f>"FIGYELEM: A megadott hűtési paraméterek mellett a harmatponti hőmérséklet ("&amp;AA5&amp;"°C) alacsonyabb a hűtőközeg bemenő hőmérsékleténél, ami kicsapódást okozhat!"</f>
        <v>FIGYELEM: A megadott hűtési paraméterek mellett a harmatponti hőmérséklet (16.3°C) alacsonyabb a hűtőközeg bemenő hőmérsékleténél, ami kicsapódást okozhat!</v>
      </c>
      <c r="AC7" s="119" t="str">
        <f t="shared" si="3"/>
        <v/>
      </c>
    </row>
    <row r="8" spans="1:51" x14ac:dyDescent="0.3">
      <c r="A8" s="105" t="str">
        <f t="shared" si="2"/>
        <v/>
      </c>
      <c r="B8" s="109">
        <v>11</v>
      </c>
      <c r="C8" s="110">
        <v>-0.4</v>
      </c>
      <c r="D8" s="110">
        <v>1</v>
      </c>
      <c r="E8" s="110">
        <v>2.2999999999999998</v>
      </c>
      <c r="F8" s="110">
        <v>3.6</v>
      </c>
      <c r="G8" s="110">
        <v>4.7</v>
      </c>
      <c r="H8" s="110">
        <v>5.8</v>
      </c>
      <c r="I8" s="110">
        <v>6.7</v>
      </c>
      <c r="J8" s="110">
        <v>7.7</v>
      </c>
      <c r="K8" s="110">
        <v>8.6</v>
      </c>
      <c r="L8" s="110">
        <v>9.4</v>
      </c>
      <c r="M8" s="110">
        <v>10.199999999999999</v>
      </c>
      <c r="V8" s="119" t="s">
        <v>75</v>
      </c>
      <c r="W8" s="119">
        <f>TRUNC(X2*P3*P3+X3*P3+X4,4)</f>
        <v>-7.4353999999999996</v>
      </c>
      <c r="X8" s="119">
        <f>TRUNC(X2*AA3*AA3+X3*AA3+X4,4)</f>
        <v>-7.6550000000000002</v>
      </c>
      <c r="Z8" s="119" t="str">
        <f>IF(AA6,AA7,"")</f>
        <v/>
      </c>
      <c r="AC8" s="119" t="str">
        <f t="shared" si="3"/>
        <v/>
      </c>
    </row>
    <row r="9" spans="1:51" x14ac:dyDescent="0.3">
      <c r="A9" s="105" t="str">
        <f t="shared" si="2"/>
        <v/>
      </c>
      <c r="B9" s="113">
        <v>12</v>
      </c>
      <c r="C9" s="114">
        <v>0.4</v>
      </c>
      <c r="D9" s="114">
        <v>1.8</v>
      </c>
      <c r="E9" s="114">
        <v>3.2</v>
      </c>
      <c r="F9" s="114">
        <v>4.5</v>
      </c>
      <c r="G9" s="114">
        <v>5.6</v>
      </c>
      <c r="H9" s="114">
        <v>6.7</v>
      </c>
      <c r="I9" s="114">
        <v>7.8</v>
      </c>
      <c r="J9" s="114">
        <v>8.6999999999999993</v>
      </c>
      <c r="K9" s="114">
        <v>9.6</v>
      </c>
      <c r="L9" s="114">
        <v>10.5</v>
      </c>
      <c r="M9" s="114">
        <v>11.3</v>
      </c>
      <c r="V9" s="119" t="str">
        <f>"Th="&amp;W7&amp;"*"&amp;P2&amp;IF(W8&gt;0,"+","")&amp;W8</f>
        <v>Th=0.9217*26-7.4354</v>
      </c>
      <c r="X9" s="119" t="str">
        <f>"Th="&amp;X7&amp;"*"&amp;AA2&amp;IF(X8&gt;0,"+","")&amp;X8</f>
        <v>Th=0.9193*26-7.655</v>
      </c>
      <c r="AC9" s="119" t="str">
        <f t="shared" si="3"/>
        <v/>
      </c>
    </row>
    <row r="10" spans="1:51" x14ac:dyDescent="0.3">
      <c r="A10" s="105" t="str">
        <f t="shared" si="2"/>
        <v/>
      </c>
      <c r="B10" s="113">
        <v>13</v>
      </c>
      <c r="C10" s="114">
        <v>1.3</v>
      </c>
      <c r="D10" s="114">
        <v>2.8</v>
      </c>
      <c r="E10" s="114">
        <v>4.2</v>
      </c>
      <c r="F10" s="114">
        <v>5.4</v>
      </c>
      <c r="G10" s="114">
        <v>6.6</v>
      </c>
      <c r="H10" s="114">
        <v>7.7</v>
      </c>
      <c r="I10" s="114">
        <v>8.6999999999999993</v>
      </c>
      <c r="J10" s="114">
        <v>9.6</v>
      </c>
      <c r="K10" s="114">
        <v>10.5</v>
      </c>
      <c r="L10" s="114">
        <v>11.4</v>
      </c>
      <c r="M10" s="114">
        <v>12.2</v>
      </c>
      <c r="V10" s="119" t="s">
        <v>76</v>
      </c>
      <c r="W10" s="119" t="e">
        <f>INDEX(C3:M32,IF(MAX(A:A)&gt;0,MAX(A:A),""),IF(MAX(B1:M1)&gt;0,MAX(B1:M1),""))</f>
        <v>#VALUE!</v>
      </c>
      <c r="X10" s="119">
        <f>INDEX(C3:M32,IF(MAX(AC:AC)&gt;0,MAX(AC:AC),""),IF(MAX(AE1:AO1)&gt;0,MAX(AE1:AO1),""))</f>
        <v>16.3</v>
      </c>
      <c r="AC10" s="119" t="str">
        <f t="shared" si="3"/>
        <v/>
      </c>
    </row>
    <row r="11" spans="1:51" x14ac:dyDescent="0.3">
      <c r="A11" s="105" t="str">
        <f t="shared" si="2"/>
        <v/>
      </c>
      <c r="B11" s="113">
        <v>14</v>
      </c>
      <c r="C11" s="114">
        <v>2.2000000000000002</v>
      </c>
      <c r="D11" s="114">
        <v>3.8</v>
      </c>
      <c r="E11" s="114">
        <v>5.0999999999999996</v>
      </c>
      <c r="F11" s="114">
        <v>6.4</v>
      </c>
      <c r="G11" s="114">
        <v>7.6</v>
      </c>
      <c r="H11" s="114">
        <v>8.6999999999999993</v>
      </c>
      <c r="I11" s="114">
        <v>9.6999999999999993</v>
      </c>
      <c r="J11" s="114">
        <v>10.7</v>
      </c>
      <c r="K11" s="114">
        <v>11.6</v>
      </c>
      <c r="L11" s="114">
        <v>12.6</v>
      </c>
      <c r="M11" s="114">
        <v>13.4</v>
      </c>
      <c r="AC11" s="119" t="str">
        <f t="shared" si="3"/>
        <v/>
      </c>
    </row>
    <row r="12" spans="1:51" ht="15" thickBot="1" x14ac:dyDescent="0.35">
      <c r="A12" s="105" t="str">
        <f t="shared" si="2"/>
        <v/>
      </c>
      <c r="B12" s="116">
        <v>15</v>
      </c>
      <c r="C12" s="117">
        <v>3.1</v>
      </c>
      <c r="D12" s="117">
        <v>4.7</v>
      </c>
      <c r="E12" s="117">
        <v>6.1</v>
      </c>
      <c r="F12" s="117">
        <v>7.4</v>
      </c>
      <c r="G12" s="117">
        <v>8.5</v>
      </c>
      <c r="H12" s="117">
        <v>9.6</v>
      </c>
      <c r="I12" s="117">
        <v>10.7</v>
      </c>
      <c r="J12" s="117">
        <v>11.7</v>
      </c>
      <c r="K12" s="117">
        <v>12.6</v>
      </c>
      <c r="L12" s="117">
        <v>13.5</v>
      </c>
      <c r="M12" s="117">
        <v>14.4</v>
      </c>
      <c r="AC12" s="119" t="str">
        <f t="shared" si="3"/>
        <v/>
      </c>
    </row>
    <row r="13" spans="1:51" x14ac:dyDescent="0.3">
      <c r="A13" s="105" t="str">
        <f t="shared" si="2"/>
        <v/>
      </c>
      <c r="B13" s="109">
        <v>16</v>
      </c>
      <c r="C13" s="110">
        <v>4.0999999999999996</v>
      </c>
      <c r="D13" s="110">
        <v>5.6</v>
      </c>
      <c r="E13" s="110">
        <v>7</v>
      </c>
      <c r="F13" s="110">
        <v>8.3000000000000007</v>
      </c>
      <c r="G13" s="110">
        <v>9.5</v>
      </c>
      <c r="H13" s="110">
        <v>10.6</v>
      </c>
      <c r="I13" s="110">
        <v>11.7</v>
      </c>
      <c r="J13" s="110">
        <v>12.7</v>
      </c>
      <c r="K13" s="110">
        <v>13.6</v>
      </c>
      <c r="L13" s="110">
        <v>14.6</v>
      </c>
      <c r="M13" s="110">
        <v>15.5</v>
      </c>
      <c r="AC13" s="119" t="str">
        <f t="shared" si="3"/>
        <v/>
      </c>
    </row>
    <row r="14" spans="1:51" x14ac:dyDescent="0.3">
      <c r="A14" s="105" t="str">
        <f t="shared" si="2"/>
        <v/>
      </c>
      <c r="B14" s="113">
        <v>17</v>
      </c>
      <c r="C14" s="114">
        <v>5</v>
      </c>
      <c r="D14" s="114">
        <v>6.5</v>
      </c>
      <c r="E14" s="114">
        <v>7.9</v>
      </c>
      <c r="F14" s="114">
        <v>9.1999999999999993</v>
      </c>
      <c r="G14" s="114">
        <v>10.4</v>
      </c>
      <c r="H14" s="114">
        <v>11.5</v>
      </c>
      <c r="I14" s="114">
        <v>12.5</v>
      </c>
      <c r="J14" s="114">
        <v>13.6</v>
      </c>
      <c r="K14" s="114">
        <v>14.5</v>
      </c>
      <c r="L14" s="114">
        <v>15.4</v>
      </c>
      <c r="M14" s="114">
        <v>16.2</v>
      </c>
      <c r="P14" s="118"/>
      <c r="AC14" s="119" t="str">
        <f t="shared" si="3"/>
        <v/>
      </c>
    </row>
    <row r="15" spans="1:51" x14ac:dyDescent="0.3">
      <c r="A15" s="105" t="str">
        <f t="shared" si="2"/>
        <v/>
      </c>
      <c r="B15" s="113">
        <v>18</v>
      </c>
      <c r="C15" s="114">
        <v>5.9</v>
      </c>
      <c r="D15" s="114">
        <v>7.4</v>
      </c>
      <c r="E15" s="114">
        <v>8.8000000000000007</v>
      </c>
      <c r="F15" s="114">
        <v>10.1</v>
      </c>
      <c r="G15" s="114">
        <v>11.3</v>
      </c>
      <c r="H15" s="114">
        <v>12.4</v>
      </c>
      <c r="I15" s="114">
        <v>13.5</v>
      </c>
      <c r="J15" s="114">
        <v>14.6</v>
      </c>
      <c r="K15" s="114">
        <v>15.4</v>
      </c>
      <c r="L15" s="114">
        <v>16.3</v>
      </c>
      <c r="M15" s="114">
        <v>17.3</v>
      </c>
      <c r="AC15" s="119" t="str">
        <f t="shared" si="3"/>
        <v/>
      </c>
    </row>
    <row r="16" spans="1:51" x14ac:dyDescent="0.3">
      <c r="A16" s="105" t="str">
        <f t="shared" si="2"/>
        <v/>
      </c>
      <c r="B16" s="113">
        <v>19</v>
      </c>
      <c r="C16" s="114">
        <v>6.8</v>
      </c>
      <c r="D16" s="114">
        <v>8.3000000000000007</v>
      </c>
      <c r="E16" s="114">
        <v>9.8000000000000007</v>
      </c>
      <c r="F16" s="114">
        <v>11.1</v>
      </c>
      <c r="G16" s="114">
        <v>12.3</v>
      </c>
      <c r="H16" s="114">
        <v>13.4</v>
      </c>
      <c r="I16" s="114">
        <v>14.5</v>
      </c>
      <c r="J16" s="114">
        <v>15.5</v>
      </c>
      <c r="K16" s="114">
        <v>16.399999999999999</v>
      </c>
      <c r="L16" s="114">
        <v>17.399999999999999</v>
      </c>
      <c r="M16" s="114">
        <v>18.2</v>
      </c>
      <c r="AC16" s="119" t="str">
        <f t="shared" si="3"/>
        <v/>
      </c>
    </row>
    <row r="17" spans="1:29" ht="15" thickBot="1" x14ac:dyDescent="0.35">
      <c r="A17" s="105" t="str">
        <f t="shared" si="2"/>
        <v/>
      </c>
      <c r="B17" s="116">
        <v>20</v>
      </c>
      <c r="C17" s="117">
        <v>7.7</v>
      </c>
      <c r="D17" s="117">
        <v>9.3000000000000007</v>
      </c>
      <c r="E17" s="117">
        <v>10.7</v>
      </c>
      <c r="F17" s="117">
        <v>12</v>
      </c>
      <c r="G17" s="117">
        <v>13.2</v>
      </c>
      <c r="H17" s="117">
        <v>14.4</v>
      </c>
      <c r="I17" s="117">
        <v>15.5</v>
      </c>
      <c r="J17" s="117">
        <v>16.5</v>
      </c>
      <c r="K17" s="117">
        <v>17.399999999999999</v>
      </c>
      <c r="L17" s="117">
        <v>18.399999999999999</v>
      </c>
      <c r="M17" s="117">
        <v>19.2</v>
      </c>
      <c r="AC17" s="119" t="str">
        <f t="shared" si="3"/>
        <v/>
      </c>
    </row>
    <row r="18" spans="1:29" x14ac:dyDescent="0.3">
      <c r="A18" s="105" t="str">
        <f t="shared" si="2"/>
        <v/>
      </c>
      <c r="B18" s="109">
        <v>21</v>
      </c>
      <c r="C18" s="110">
        <v>8.6</v>
      </c>
      <c r="D18" s="110">
        <v>10.199999999999999</v>
      </c>
      <c r="E18" s="110">
        <v>11.6</v>
      </c>
      <c r="F18" s="110">
        <v>12.9</v>
      </c>
      <c r="G18" s="110">
        <v>14.2</v>
      </c>
      <c r="H18" s="110">
        <v>15.4</v>
      </c>
      <c r="I18" s="110">
        <v>16.399999999999999</v>
      </c>
      <c r="J18" s="110">
        <v>17.399999999999999</v>
      </c>
      <c r="K18" s="110">
        <v>18.399999999999999</v>
      </c>
      <c r="L18" s="110">
        <v>19.3</v>
      </c>
      <c r="M18" s="110">
        <v>20.2</v>
      </c>
      <c r="AC18" s="119" t="str">
        <f t="shared" si="3"/>
        <v/>
      </c>
    </row>
    <row r="19" spans="1:29" x14ac:dyDescent="0.3">
      <c r="A19" s="105" t="str">
        <f t="shared" si="2"/>
        <v/>
      </c>
      <c r="B19" s="113">
        <v>22</v>
      </c>
      <c r="C19" s="114">
        <v>9.5</v>
      </c>
      <c r="D19" s="114">
        <v>11.2</v>
      </c>
      <c r="E19" s="114">
        <v>12.5</v>
      </c>
      <c r="F19" s="114">
        <v>13.9</v>
      </c>
      <c r="G19" s="114">
        <v>15.2</v>
      </c>
      <c r="H19" s="114">
        <v>16.3</v>
      </c>
      <c r="I19" s="114">
        <v>17.399999999999999</v>
      </c>
      <c r="J19" s="114">
        <v>18.399999999999999</v>
      </c>
      <c r="K19" s="114">
        <v>19.399999999999999</v>
      </c>
      <c r="L19" s="114">
        <v>20.3</v>
      </c>
      <c r="M19" s="114">
        <v>21.2</v>
      </c>
      <c r="AC19" s="119" t="str">
        <f t="shared" si="3"/>
        <v/>
      </c>
    </row>
    <row r="20" spans="1:29" x14ac:dyDescent="0.3">
      <c r="A20" s="105" t="str">
        <f t="shared" si="2"/>
        <v/>
      </c>
      <c r="B20" s="113">
        <v>23</v>
      </c>
      <c r="C20" s="114">
        <v>10.4</v>
      </c>
      <c r="D20" s="114">
        <v>12</v>
      </c>
      <c r="E20" s="114">
        <v>13.5</v>
      </c>
      <c r="F20" s="114">
        <v>14.9</v>
      </c>
      <c r="G20" s="114">
        <v>16</v>
      </c>
      <c r="H20" s="114">
        <v>17.3</v>
      </c>
      <c r="I20" s="114">
        <v>18.399999999999999</v>
      </c>
      <c r="J20" s="114">
        <v>19.399999999999999</v>
      </c>
      <c r="K20" s="114">
        <v>20.399999999999999</v>
      </c>
      <c r="L20" s="114">
        <v>21.3</v>
      </c>
      <c r="M20" s="114">
        <v>22.2</v>
      </c>
      <c r="AC20" s="119" t="str">
        <f t="shared" si="3"/>
        <v/>
      </c>
    </row>
    <row r="21" spans="1:29" x14ac:dyDescent="0.3">
      <c r="A21" s="105" t="str">
        <f t="shared" si="2"/>
        <v/>
      </c>
      <c r="B21" s="113">
        <v>24</v>
      </c>
      <c r="C21" s="114">
        <v>11.3</v>
      </c>
      <c r="D21" s="114">
        <v>12.9</v>
      </c>
      <c r="E21" s="114">
        <v>14.4</v>
      </c>
      <c r="F21" s="114">
        <v>15.7</v>
      </c>
      <c r="G21" s="114">
        <v>17.100000000000001</v>
      </c>
      <c r="H21" s="114">
        <v>18.2</v>
      </c>
      <c r="I21" s="114">
        <v>19.2</v>
      </c>
      <c r="J21" s="114">
        <v>20.3</v>
      </c>
      <c r="K21" s="114">
        <v>21.4</v>
      </c>
      <c r="L21" s="114">
        <v>22.3</v>
      </c>
      <c r="M21" s="114">
        <v>23.2</v>
      </c>
      <c r="AC21" s="119" t="str">
        <f t="shared" si="3"/>
        <v/>
      </c>
    </row>
    <row r="22" spans="1:29" ht="15" thickBot="1" x14ac:dyDescent="0.35">
      <c r="A22" s="105" t="str">
        <f t="shared" si="2"/>
        <v/>
      </c>
      <c r="B22" s="116">
        <v>25</v>
      </c>
      <c r="C22" s="117">
        <v>12.2</v>
      </c>
      <c r="D22" s="117">
        <v>13.8</v>
      </c>
      <c r="E22" s="117">
        <v>15.4</v>
      </c>
      <c r="F22" s="117">
        <v>16.7</v>
      </c>
      <c r="G22" s="117">
        <v>18</v>
      </c>
      <c r="H22" s="117">
        <v>19.100000000000001</v>
      </c>
      <c r="I22" s="117">
        <v>20.2</v>
      </c>
      <c r="J22" s="117">
        <v>21.4</v>
      </c>
      <c r="K22" s="117">
        <v>22.3</v>
      </c>
      <c r="L22" s="117">
        <v>23.3</v>
      </c>
      <c r="M22" s="117">
        <v>24.2</v>
      </c>
      <c r="AC22" s="119" t="str">
        <f t="shared" si="3"/>
        <v/>
      </c>
    </row>
    <row r="23" spans="1:29" x14ac:dyDescent="0.3">
      <c r="A23" s="105">
        <f t="shared" si="2"/>
        <v>21</v>
      </c>
      <c r="B23" s="109">
        <v>26</v>
      </c>
      <c r="C23" s="110">
        <v>13.2</v>
      </c>
      <c r="D23" s="110">
        <v>14.8</v>
      </c>
      <c r="E23" s="110">
        <v>16.3</v>
      </c>
      <c r="F23" s="110">
        <v>17.7</v>
      </c>
      <c r="G23" s="110">
        <v>18.899999999999999</v>
      </c>
      <c r="H23" s="110">
        <v>20.100000000000001</v>
      </c>
      <c r="I23" s="110">
        <v>21.3</v>
      </c>
      <c r="J23" s="110">
        <v>22.3</v>
      </c>
      <c r="K23" s="110">
        <v>23.3</v>
      </c>
      <c r="L23" s="110">
        <v>24.3</v>
      </c>
      <c r="M23" s="110">
        <v>25.2</v>
      </c>
      <c r="AC23" s="119">
        <f t="shared" si="3"/>
        <v>21</v>
      </c>
    </row>
    <row r="24" spans="1:29" x14ac:dyDescent="0.3">
      <c r="A24" s="105" t="str">
        <f t="shared" si="2"/>
        <v/>
      </c>
      <c r="B24" s="113">
        <v>27</v>
      </c>
      <c r="C24" s="114">
        <v>14.1</v>
      </c>
      <c r="D24" s="114">
        <v>15.7</v>
      </c>
      <c r="E24" s="114">
        <v>17.2</v>
      </c>
      <c r="F24" s="114">
        <v>18.600000000000001</v>
      </c>
      <c r="G24" s="114">
        <v>19.8</v>
      </c>
      <c r="H24" s="114">
        <v>21.1</v>
      </c>
      <c r="I24" s="114">
        <v>22.2</v>
      </c>
      <c r="J24" s="114">
        <v>23.3</v>
      </c>
      <c r="K24" s="114">
        <v>24.3</v>
      </c>
      <c r="L24" s="114">
        <v>25.2</v>
      </c>
      <c r="M24" s="114">
        <v>26.1</v>
      </c>
      <c r="AC24" s="119" t="str">
        <f t="shared" si="3"/>
        <v/>
      </c>
    </row>
    <row r="25" spans="1:29" x14ac:dyDescent="0.3">
      <c r="A25" s="105" t="str">
        <f t="shared" si="2"/>
        <v/>
      </c>
      <c r="B25" s="113">
        <v>28</v>
      </c>
      <c r="C25" s="114">
        <v>15</v>
      </c>
      <c r="D25" s="114">
        <v>16.600000000000001</v>
      </c>
      <c r="E25" s="114">
        <v>18.100000000000001</v>
      </c>
      <c r="F25" s="114">
        <v>19.399999999999999</v>
      </c>
      <c r="G25" s="114">
        <v>20.9</v>
      </c>
      <c r="H25" s="114">
        <v>22.1</v>
      </c>
      <c r="I25" s="114">
        <v>23.2</v>
      </c>
      <c r="J25" s="114">
        <v>24.3</v>
      </c>
      <c r="K25" s="114">
        <v>25.3</v>
      </c>
      <c r="L25" s="114">
        <v>26.2</v>
      </c>
      <c r="M25" s="114">
        <v>27.2</v>
      </c>
      <c r="AC25" s="119" t="str">
        <f t="shared" si="3"/>
        <v/>
      </c>
    </row>
    <row r="26" spans="1:29" x14ac:dyDescent="0.3">
      <c r="A26" s="105" t="str">
        <f t="shared" si="2"/>
        <v/>
      </c>
      <c r="B26" s="113">
        <v>29</v>
      </c>
      <c r="C26" s="114">
        <v>15.9</v>
      </c>
      <c r="D26" s="114">
        <v>17.600000000000001</v>
      </c>
      <c r="E26" s="114">
        <v>19</v>
      </c>
      <c r="F26" s="114">
        <v>20.5</v>
      </c>
      <c r="G26" s="114">
        <v>21.8</v>
      </c>
      <c r="H26" s="114">
        <v>23</v>
      </c>
      <c r="I26" s="114">
        <v>24.2</v>
      </c>
      <c r="J26" s="114">
        <v>25.2</v>
      </c>
      <c r="K26" s="114">
        <v>26.2</v>
      </c>
      <c r="L26" s="114">
        <v>27.3</v>
      </c>
      <c r="M26" s="114">
        <v>28.2</v>
      </c>
      <c r="AC26" s="119" t="str">
        <f t="shared" si="3"/>
        <v/>
      </c>
    </row>
    <row r="27" spans="1:29" ht="15" thickBot="1" x14ac:dyDescent="0.35">
      <c r="A27" s="105" t="str">
        <f t="shared" si="2"/>
        <v/>
      </c>
      <c r="B27" s="116">
        <v>30</v>
      </c>
      <c r="C27" s="117">
        <v>16.8</v>
      </c>
      <c r="D27" s="117">
        <v>18.399999999999999</v>
      </c>
      <c r="E27" s="117">
        <v>20</v>
      </c>
      <c r="F27" s="117">
        <v>21.4</v>
      </c>
      <c r="G27" s="117">
        <v>23.7</v>
      </c>
      <c r="H27" s="117">
        <v>23.9</v>
      </c>
      <c r="I27" s="117">
        <v>25.1</v>
      </c>
      <c r="J27" s="117">
        <v>26.1</v>
      </c>
      <c r="K27" s="117">
        <v>27.2</v>
      </c>
      <c r="L27" s="117">
        <v>28.2</v>
      </c>
      <c r="M27" s="117">
        <v>29.1</v>
      </c>
      <c r="AC27" s="119" t="str">
        <f t="shared" si="3"/>
        <v/>
      </c>
    </row>
    <row r="28" spans="1:29" x14ac:dyDescent="0.3">
      <c r="A28" s="105" t="str">
        <f t="shared" si="2"/>
        <v/>
      </c>
      <c r="B28" s="109">
        <v>32</v>
      </c>
      <c r="C28" s="110">
        <v>18.600000000000001</v>
      </c>
      <c r="D28" s="110">
        <v>20.3</v>
      </c>
      <c r="E28" s="110">
        <v>21.9</v>
      </c>
      <c r="F28" s="110">
        <v>23.3</v>
      </c>
      <c r="G28" s="110">
        <v>24.7</v>
      </c>
      <c r="H28" s="110">
        <v>25.8</v>
      </c>
      <c r="I28" s="110">
        <v>27.1</v>
      </c>
      <c r="J28" s="110">
        <v>28.2</v>
      </c>
      <c r="K28" s="110">
        <v>29.2</v>
      </c>
      <c r="L28" s="110">
        <v>30.2</v>
      </c>
      <c r="M28" s="110">
        <v>31.2</v>
      </c>
      <c r="AC28" s="119" t="str">
        <f t="shared" si="3"/>
        <v/>
      </c>
    </row>
    <row r="29" spans="1:29" x14ac:dyDescent="0.3">
      <c r="A29" s="105" t="str">
        <f t="shared" si="2"/>
        <v/>
      </c>
      <c r="B29" s="113">
        <v>34</v>
      </c>
      <c r="C29" s="114">
        <v>20.399999999999999</v>
      </c>
      <c r="D29" s="114">
        <v>22.2</v>
      </c>
      <c r="E29" s="114">
        <v>23.8</v>
      </c>
      <c r="F29" s="114">
        <v>25.2</v>
      </c>
      <c r="G29" s="114">
        <v>26.5</v>
      </c>
      <c r="H29" s="114">
        <v>27.9</v>
      </c>
      <c r="I29" s="114">
        <v>28.9</v>
      </c>
      <c r="J29" s="114">
        <v>30.1</v>
      </c>
      <c r="K29" s="114">
        <v>31.2</v>
      </c>
      <c r="L29" s="114">
        <v>32.1</v>
      </c>
      <c r="M29" s="114">
        <v>33.1</v>
      </c>
      <c r="AC29" s="119" t="str">
        <f t="shared" si="3"/>
        <v/>
      </c>
    </row>
    <row r="30" spans="1:29" x14ac:dyDescent="0.3">
      <c r="A30" s="105" t="str">
        <f t="shared" si="2"/>
        <v/>
      </c>
      <c r="B30" s="113">
        <v>36</v>
      </c>
      <c r="C30" s="114">
        <v>22.2</v>
      </c>
      <c r="D30" s="114">
        <v>24.1</v>
      </c>
      <c r="E30" s="114">
        <v>25.5</v>
      </c>
      <c r="F30" s="114">
        <v>27</v>
      </c>
      <c r="G30" s="114">
        <v>28.4</v>
      </c>
      <c r="H30" s="114">
        <v>29.7</v>
      </c>
      <c r="I30" s="114">
        <v>30.9</v>
      </c>
      <c r="J30" s="114">
        <v>32</v>
      </c>
      <c r="K30" s="114">
        <v>33.1</v>
      </c>
      <c r="L30" s="114">
        <v>34.200000000000003</v>
      </c>
      <c r="M30" s="114">
        <v>35.1</v>
      </c>
      <c r="AC30" s="119" t="str">
        <f t="shared" si="3"/>
        <v/>
      </c>
    </row>
    <row r="31" spans="1:29" x14ac:dyDescent="0.3">
      <c r="A31" s="105" t="str">
        <f t="shared" si="2"/>
        <v/>
      </c>
      <c r="B31" s="113">
        <v>38</v>
      </c>
      <c r="C31" s="114">
        <v>24</v>
      </c>
      <c r="D31" s="114">
        <v>25.7</v>
      </c>
      <c r="E31" s="114">
        <v>27.4</v>
      </c>
      <c r="F31" s="114">
        <v>28.9</v>
      </c>
      <c r="G31" s="114">
        <v>30.3</v>
      </c>
      <c r="H31" s="114">
        <v>31.6</v>
      </c>
      <c r="I31" s="114">
        <v>32.799999999999997</v>
      </c>
      <c r="J31" s="114">
        <v>34</v>
      </c>
      <c r="K31" s="114">
        <v>35</v>
      </c>
      <c r="L31" s="114">
        <v>36.1</v>
      </c>
      <c r="M31" s="114">
        <v>37</v>
      </c>
      <c r="AC31" s="119" t="str">
        <f t="shared" si="3"/>
        <v/>
      </c>
    </row>
    <row r="32" spans="1:29" ht="15" thickBot="1" x14ac:dyDescent="0.35">
      <c r="A32" s="105" t="str">
        <f t="shared" si="2"/>
        <v/>
      </c>
      <c r="B32" s="116">
        <v>40</v>
      </c>
      <c r="C32" s="117">
        <v>25.8</v>
      </c>
      <c r="D32" s="117">
        <v>27.7</v>
      </c>
      <c r="E32" s="117">
        <v>29.2</v>
      </c>
      <c r="F32" s="117">
        <v>30.8</v>
      </c>
      <c r="G32" s="117">
        <v>32.200000000000003</v>
      </c>
      <c r="H32" s="117">
        <v>33.5</v>
      </c>
      <c r="I32" s="117">
        <v>34.700000000000003</v>
      </c>
      <c r="J32" s="117">
        <v>35.9</v>
      </c>
      <c r="K32" s="117">
        <v>37</v>
      </c>
      <c r="L32" s="117">
        <v>38.1</v>
      </c>
      <c r="M32" s="117">
        <v>39.1</v>
      </c>
      <c r="AC32" s="119" t="str">
        <f t="shared" si="3"/>
        <v/>
      </c>
    </row>
  </sheetData>
  <sheetProtection algorithmName="SHA-512" hashValue="tUOGVUkdOz8s33VHsYowGbGUqIr9JgO7BFA6UwQtgKE7sGIInyfSY/43rOBnqLufmSA9RPJyCSTuKgX1a32XvQ==" saltValue="wvPBvs+rPfPokjwdjEnoBA==" spinCount="100000" sheet="1" selectLockedCells="1"/>
  <conditionalFormatting sqref="C3:M32">
    <cfRule type="expression" dxfId="16" priority="1">
      <formula>AND($B3=$P$2,C$2*100=$P$3)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46"/>
  <sheetViews>
    <sheetView showGridLines="0" zoomScaleNormal="100" workbookViewId="0">
      <selection activeCell="B19" sqref="B19"/>
    </sheetView>
  </sheetViews>
  <sheetFormatPr defaultColWidth="12.6640625" defaultRowHeight="20.100000000000001" customHeight="1" x14ac:dyDescent="0.3"/>
  <cols>
    <col min="1" max="1" width="4.6640625" style="127" customWidth="1"/>
    <col min="2" max="4" width="12.6640625" style="127"/>
    <col min="5" max="5" width="4.6640625" style="148" customWidth="1"/>
    <col min="6" max="21" width="12.6640625" style="148"/>
    <col min="22" max="23" width="12.6640625" style="127"/>
    <col min="24" max="24" width="15.6640625" style="127" customWidth="1"/>
    <col min="25" max="25" width="78.6640625" style="127" customWidth="1"/>
    <col min="26" max="26" width="12.6640625" style="127" customWidth="1"/>
    <col min="27" max="27" width="15.6640625" style="127" customWidth="1"/>
    <col min="28" max="28" width="78.6640625" style="127" customWidth="1"/>
    <col min="29" max="16384" width="12.6640625" style="127"/>
  </cols>
  <sheetData>
    <row r="1" spans="1:145" customFormat="1" ht="20.100000000000001" customHeight="1" thickBot="1" x14ac:dyDescent="0.35">
      <c r="A1" s="127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175"/>
      <c r="BU1" s="175"/>
      <c r="BV1" s="175"/>
      <c r="BW1" s="175"/>
      <c r="BX1" s="175"/>
      <c r="BY1" s="175"/>
      <c r="BZ1" s="175"/>
      <c r="CA1" s="175"/>
      <c r="CB1" s="175"/>
      <c r="CC1" s="175"/>
      <c r="CD1" s="175"/>
      <c r="CE1" s="175"/>
      <c r="CF1" s="175"/>
      <c r="CG1" s="175"/>
      <c r="CH1" s="175"/>
      <c r="CI1" s="175"/>
      <c r="CJ1" s="175"/>
      <c r="CK1" s="175"/>
      <c r="CL1" s="175"/>
      <c r="CM1" s="175"/>
      <c r="CN1" s="175"/>
      <c r="CO1" s="175"/>
      <c r="CP1" s="175"/>
      <c r="CQ1" s="175"/>
      <c r="CR1" s="175"/>
      <c r="CS1" s="175"/>
      <c r="CT1" s="175"/>
      <c r="CU1" s="175"/>
      <c r="CV1" s="175"/>
      <c r="CW1" s="175"/>
      <c r="CX1" s="175"/>
      <c r="CY1" s="175"/>
      <c r="CZ1" s="175"/>
      <c r="DA1" s="175"/>
      <c r="DB1" s="175"/>
      <c r="DC1" s="175"/>
      <c r="DD1" s="175"/>
      <c r="DE1" s="175"/>
      <c r="DF1" s="175"/>
      <c r="DG1" s="175"/>
      <c r="DH1" s="175"/>
      <c r="DI1" s="175"/>
      <c r="DJ1" s="175"/>
      <c r="DK1" s="175"/>
      <c r="DL1" s="175"/>
      <c r="DM1" s="175"/>
      <c r="DN1" s="175"/>
      <c r="DO1" s="175"/>
      <c r="DP1" s="175"/>
      <c r="DQ1" s="175"/>
      <c r="DR1" s="175"/>
      <c r="DS1" s="175"/>
      <c r="DT1" s="175"/>
      <c r="DU1" s="175"/>
      <c r="DV1" s="175"/>
      <c r="DW1" s="175"/>
      <c r="DX1" s="175"/>
      <c r="DY1" s="175"/>
      <c r="DZ1" s="175"/>
      <c r="EA1" s="175"/>
      <c r="EB1" s="175"/>
      <c r="EC1" s="175"/>
      <c r="ED1" s="175"/>
      <c r="EE1" s="175"/>
      <c r="EF1" s="175"/>
      <c r="EG1" s="175"/>
      <c r="EH1" s="175"/>
      <c r="EI1" s="127"/>
      <c r="EJ1" s="127"/>
      <c r="EK1" s="127"/>
      <c r="EL1" s="127"/>
      <c r="EM1" s="127"/>
      <c r="EN1" s="127"/>
      <c r="EO1" s="127"/>
    </row>
    <row r="2" spans="1:145" customFormat="1" ht="20.100000000000001" customHeight="1" x14ac:dyDescent="0.3">
      <c r="A2" s="127"/>
      <c r="B2" s="120" t="s">
        <v>90</v>
      </c>
      <c r="C2" s="185">
        <v>0.35</v>
      </c>
      <c r="D2" s="121" t="s">
        <v>77</v>
      </c>
      <c r="E2" s="130"/>
      <c r="F2" s="144" t="s">
        <v>110</v>
      </c>
      <c r="G2" s="144"/>
      <c r="H2" s="137" t="s">
        <v>111</v>
      </c>
      <c r="I2" s="138"/>
      <c r="J2" s="138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W2" s="135" t="s">
        <v>159</v>
      </c>
      <c r="X2" s="176">
        <f>D_cső_belső*0.001</f>
        <v>7.4000000000000003E-3</v>
      </c>
      <c r="Y2" s="177" t="s">
        <v>99</v>
      </c>
      <c r="Z2" s="177"/>
      <c r="AA2" s="177"/>
      <c r="AB2" s="175"/>
      <c r="AC2" s="175"/>
      <c r="AD2" s="175"/>
      <c r="AE2" s="175"/>
      <c r="AF2" s="175"/>
      <c r="AG2" s="175"/>
      <c r="AH2" s="175" t="s">
        <v>115</v>
      </c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 t="s">
        <v>133</v>
      </c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35" t="s">
        <v>136</v>
      </c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35" t="s">
        <v>137</v>
      </c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 t="s">
        <v>138</v>
      </c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 t="s">
        <v>134</v>
      </c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 t="s">
        <v>135</v>
      </c>
      <c r="DU2" s="175"/>
      <c r="DV2" s="175"/>
      <c r="DW2" s="175"/>
      <c r="DX2" s="175"/>
      <c r="DY2" s="175"/>
      <c r="DZ2" s="175"/>
      <c r="EA2" s="175"/>
      <c r="EB2" s="175"/>
      <c r="EC2" s="175"/>
      <c r="ED2" s="175"/>
      <c r="EE2" s="175"/>
      <c r="EF2" s="175"/>
      <c r="EG2" s="175"/>
      <c r="EH2" s="175"/>
      <c r="EI2" s="127"/>
      <c r="EJ2" s="127"/>
      <c r="EK2" s="127"/>
      <c r="EL2" s="127"/>
      <c r="EM2" s="127"/>
      <c r="EN2" s="127"/>
      <c r="EO2" s="127"/>
    </row>
    <row r="3" spans="1:145" customFormat="1" ht="20.100000000000001" customHeight="1" x14ac:dyDescent="0.3">
      <c r="B3" s="122" t="s">
        <v>91</v>
      </c>
      <c r="C3" s="186">
        <v>81</v>
      </c>
      <c r="D3" s="123" t="s">
        <v>77</v>
      </c>
      <c r="E3" s="130"/>
      <c r="F3" s="128" t="s">
        <v>112</v>
      </c>
      <c r="G3" s="128" t="s">
        <v>113</v>
      </c>
      <c r="H3" s="136">
        <f>IF(INDEX($C$19:$C$32,COLUMN(A1),1)&lt;&gt;"",INDEX($C$19:$C$32,COLUMN(A1),1),"")</f>
        <v>15</v>
      </c>
      <c r="I3" s="136">
        <f t="shared" ref="I3:U3" si="0">IF(INDEX($C$19:$C$32,COLUMN(B1),1)&lt;&gt;"",INDEX($C$19:$C$32,COLUMN(B1),1),"")</f>
        <v>16</v>
      </c>
      <c r="J3" s="136">
        <f t="shared" si="0"/>
        <v>17</v>
      </c>
      <c r="K3" s="136">
        <f t="shared" si="0"/>
        <v>18</v>
      </c>
      <c r="L3" s="136">
        <f t="shared" si="0"/>
        <v>19</v>
      </c>
      <c r="M3" s="136">
        <f t="shared" si="0"/>
        <v>20</v>
      </c>
      <c r="N3" s="136">
        <f t="shared" si="0"/>
        <v>21</v>
      </c>
      <c r="O3" s="136">
        <f t="shared" si="0"/>
        <v>22</v>
      </c>
      <c r="P3" s="136">
        <f t="shared" si="0"/>
        <v>23</v>
      </c>
      <c r="Q3" s="136">
        <f t="shared" si="0"/>
        <v>24</v>
      </c>
      <c r="R3" s="136">
        <f t="shared" si="0"/>
        <v>25</v>
      </c>
      <c r="S3" s="136">
        <f t="shared" si="0"/>
        <v>26</v>
      </c>
      <c r="T3" s="136">
        <f t="shared" si="0"/>
        <v>27</v>
      </c>
      <c r="U3" s="136">
        <f t="shared" si="0"/>
        <v>28</v>
      </c>
      <c r="W3" s="135" t="s">
        <v>160</v>
      </c>
      <c r="X3" s="176">
        <f>D_cső_külső*0.001</f>
        <v>0.01</v>
      </c>
      <c r="Y3" s="177" t="s">
        <v>100</v>
      </c>
      <c r="Z3" s="177"/>
      <c r="AA3" s="177"/>
      <c r="AB3" s="175"/>
      <c r="AC3" s="175"/>
      <c r="AD3" s="175" t="s">
        <v>114</v>
      </c>
      <c r="AE3" s="175"/>
      <c r="AF3" s="175"/>
      <c r="AG3" s="175"/>
      <c r="AH3" s="178">
        <f t="shared" ref="AH3:AU3" si="1">H3</f>
        <v>15</v>
      </c>
      <c r="AI3" s="178">
        <f t="shared" si="1"/>
        <v>16</v>
      </c>
      <c r="AJ3" s="178">
        <f t="shared" si="1"/>
        <v>17</v>
      </c>
      <c r="AK3" s="178">
        <f t="shared" si="1"/>
        <v>18</v>
      </c>
      <c r="AL3" s="178">
        <f t="shared" si="1"/>
        <v>19</v>
      </c>
      <c r="AM3" s="178">
        <f t="shared" si="1"/>
        <v>20</v>
      </c>
      <c r="AN3" s="178">
        <f t="shared" si="1"/>
        <v>21</v>
      </c>
      <c r="AO3" s="178">
        <f t="shared" si="1"/>
        <v>22</v>
      </c>
      <c r="AP3" s="178">
        <f t="shared" si="1"/>
        <v>23</v>
      </c>
      <c r="AQ3" s="178">
        <f t="shared" si="1"/>
        <v>24</v>
      </c>
      <c r="AR3" s="178">
        <f t="shared" si="1"/>
        <v>25</v>
      </c>
      <c r="AS3" s="178">
        <f t="shared" si="1"/>
        <v>26</v>
      </c>
      <c r="AT3" s="178">
        <f t="shared" si="1"/>
        <v>27</v>
      </c>
      <c r="AU3" s="178">
        <f t="shared" si="1"/>
        <v>28</v>
      </c>
      <c r="AV3" s="178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27"/>
      <c r="EJ3" s="127"/>
      <c r="EK3" s="127"/>
      <c r="EL3" s="127"/>
      <c r="EM3" s="127"/>
      <c r="EN3" s="127"/>
      <c r="EO3" s="127"/>
    </row>
    <row r="4" spans="1:145" customFormat="1" ht="20.100000000000001" customHeight="1" x14ac:dyDescent="0.3">
      <c r="B4" s="122" t="s">
        <v>92</v>
      </c>
      <c r="C4" s="186">
        <v>0.25</v>
      </c>
      <c r="D4" s="123" t="s">
        <v>77</v>
      </c>
      <c r="E4" s="130"/>
      <c r="F4" s="131">
        <f>IF(IF(MOD(ROW(A4),2)=0,INDEX($B$19:$B$32,ROUNDDOWN(ROW(A2)/2,0),1),"")&lt;&gt;"",IF(MOD(ROW(A4),2)=0,INDEX($B$19:$B$32,ROUNDDOWN(ROW(A2)/2,0),1),""),"")</f>
        <v>12</v>
      </c>
      <c r="G4" s="131">
        <f>IF(F4&lt;&gt;"",IF(AD4,F4+$C$16,F4-$C$15),"")</f>
        <v>15</v>
      </c>
      <c r="H4" s="133" t="str">
        <f>IFERROR(IF(AH4,ABS(DT4),""),"")</f>
        <v/>
      </c>
      <c r="I4" s="133">
        <f>IFERROR(IF(AI4,ABS(DU4),""),"")</f>
        <v>19.395710602520783</v>
      </c>
      <c r="J4" s="133">
        <f>IFERROR(IF(AJ4,ABS(DV4),""),"")</f>
        <v>30.029213172143209</v>
      </c>
      <c r="K4" s="133">
        <f>IFERROR(IF(AK4,ABS(DW4),""),"")</f>
        <v>40.318378903025703</v>
      </c>
      <c r="L4" s="133">
        <f>IFERROR(IF(AL4,ABS(DX4),""),"")</f>
        <v>50.537653347505824</v>
      </c>
      <c r="M4" s="133">
        <f>IFERROR(IF(AM4,ABS(DY4),""),"")</f>
        <v>60.76104748355224</v>
      </c>
      <c r="N4" s="133">
        <f>IFERROR(IF(AN4,ABS(DZ4),""),"")</f>
        <v>71.014331729760826</v>
      </c>
      <c r="O4" s="133">
        <f>IFERROR(IF(AO4,ABS(EA4),""),"")</f>
        <v>81.307070858756219</v>
      </c>
      <c r="P4" s="133">
        <f>IFERROR(IF(AP4,ABS(EB4),""),"")</f>
        <v>91.642405072504246</v>
      </c>
      <c r="Q4" s="133">
        <f>IFERROR(IF(AQ4,ABS(EC4),""),"")</f>
        <v>102.02069072483016</v>
      </c>
      <c r="R4" s="133">
        <f>IFERROR(IF(AR4,ABS(ED4),""),"")</f>
        <v>112.44103358877805</v>
      </c>
      <c r="S4" s="133">
        <f>IFERROR(IF(AS4,ABS(EE4),""),"")</f>
        <v>122.90198911599352</v>
      </c>
      <c r="T4" s="133">
        <f>IFERROR(IF(AT4,ABS(EF4),""),"")</f>
        <v>133.40189929056996</v>
      </c>
      <c r="U4" s="133">
        <f>IFERROR(IF(AU4,ABS(EG4),""),"")</f>
        <v>143.93905919417728</v>
      </c>
      <c r="W4" s="135" t="s">
        <v>161</v>
      </c>
      <c r="X4" s="176">
        <f>X3+0.002*Lemezvastagság</f>
        <v>1.12E-2</v>
      </c>
      <c r="Y4" s="177" t="s">
        <v>101</v>
      </c>
      <c r="Z4" s="177"/>
      <c r="AA4" s="177"/>
      <c r="AB4" s="175"/>
      <c r="AC4" s="175">
        <f>MOD(ROW(A4),4)</f>
        <v>0</v>
      </c>
      <c r="AD4" s="175" t="b">
        <f>IF(MOD(ROW(A4),2)=0,ABS(F4-MAX(C19:C32))&gt;ABS(F4-MIN(C19:C32)),AD3)</f>
        <v>1</v>
      </c>
      <c r="AE4" s="178">
        <f>IF(MOD(ROW(A4),2)=0,F4,F3)</f>
        <v>12</v>
      </c>
      <c r="AF4" s="178">
        <f>IF(MOD(ROW(B4),2)=0,G4,G3)</f>
        <v>15</v>
      </c>
      <c r="AG4" s="178">
        <f>AVERAGE(AE4:AF4)</f>
        <v>13.5</v>
      </c>
      <c r="AH4" s="175" t="b">
        <f>OR(AND($AD4,$AE4&lt;AH$3,$AF4&lt;AH$3),AND(NOT($AD4),$AE4&gt;AH$3,$AF4&gt;AH$3))</f>
        <v>0</v>
      </c>
      <c r="AI4" s="175" t="b">
        <f>OR(AND($AD4,$AE4&lt;AI$3,$AF4&lt;AI$3),AND(NOT($AD4),$AE4&gt;AI$3,$AF4&gt;AI$3))</f>
        <v>1</v>
      </c>
      <c r="AJ4" s="175" t="b">
        <f>OR(AND($AD4,$AE4&lt;AJ$3,$AF4&lt;AJ$3),AND(NOT($AD4),$AE4&gt;AJ$3,$AF4&gt;AJ$3))</f>
        <v>1</v>
      </c>
      <c r="AK4" s="175" t="b">
        <f>OR(AND($AD4,$AE4&lt;AK$3,$AF4&lt;AK$3),AND(NOT($AD4),$AE4&gt;AK$3,$AF4&gt;AK$3))</f>
        <v>1</v>
      </c>
      <c r="AL4" s="175" t="b">
        <f>OR(AND($AD4,$AE4&lt;AL$3,$AF4&lt;AL$3),AND(NOT($AD4),$AE4&gt;AL$3,$AF4&gt;AL$3))</f>
        <v>1</v>
      </c>
      <c r="AM4" s="175" t="b">
        <f>OR(AND($AD4,$AE4&lt;AM$3,$AF4&lt;AM$3),AND(NOT($AD4),$AE4&gt;AM$3,$AF4&gt;AM$3))</f>
        <v>1</v>
      </c>
      <c r="AN4" s="175" t="b">
        <f>OR(AND($AD4,$AE4&lt;AN$3,$AF4&lt;AN$3),AND(NOT($AD4),$AE4&gt;AN$3,$AF4&gt;AN$3))</f>
        <v>1</v>
      </c>
      <c r="AO4" s="175" t="b">
        <f>OR(AND($AD4,$AE4&lt;AO$3,$AF4&lt;AO$3),AND(NOT($AD4),$AE4&gt;AO$3,$AF4&gt;AO$3))</f>
        <v>1</v>
      </c>
      <c r="AP4" s="175" t="b">
        <f>OR(AND($AD4,$AE4&lt;AP$3,$AF4&lt;AP$3),AND(NOT($AD4),$AE4&gt;AP$3,$AF4&gt;AP$3))</f>
        <v>1</v>
      </c>
      <c r="AQ4" s="175" t="b">
        <f>OR(AND($AD4,$AE4&lt;AQ$3,$AF4&lt;AQ$3),AND(NOT($AD4),$AE4&gt;AQ$3,$AF4&gt;AQ$3))</f>
        <v>1</v>
      </c>
      <c r="AR4" s="175" t="b">
        <f>OR(AND($AD4,$AE4&lt;AR$3,$AF4&lt;AR$3),AND(NOT($AD4),$AE4&gt;AR$3,$AF4&gt;AR$3))</f>
        <v>1</v>
      </c>
      <c r="AS4" s="175" t="b">
        <f>OR(AND($AD4,$AE4&lt;AS$3,$AF4&lt;AS$3),AND(NOT($AD4),$AE4&gt;AS$3,$AF4&gt;AS$3))</f>
        <v>1</v>
      </c>
      <c r="AT4" s="175" t="b">
        <f>OR(AND($AD4,$AE4&lt;AT$3,$AF4&lt;AT$3),AND(NOT($AD4),$AE4&gt;AT$3,$AF4&gt;AT$3))</f>
        <v>1</v>
      </c>
      <c r="AU4" s="175" t="b">
        <f>OR(AND($AD4,$AE4&lt;AU$3,$AF4&lt;AU$3),AND(NOT($AD4),$AE4&gt;AU$3,$AF4&gt;AU$3))</f>
        <v>1</v>
      </c>
      <c r="AV4" s="175"/>
      <c r="AW4" s="175">
        <f>IFERROR(IF(AH4,($AG4-AH$3)/IF($AD4,$AA$23,$X$23),0),"")</f>
        <v>0</v>
      </c>
      <c r="AX4" s="175">
        <f t="shared" ref="AX4:BJ19" si="2">IFERROR(IF(AI4,($AG4-AI$3)/IF($AD4,$AA$23,$X$23),0),"")</f>
        <v>-0.81915683318788313</v>
      </c>
      <c r="AY4" s="175">
        <f t="shared" si="2"/>
        <v>-1.1468195664630363</v>
      </c>
      <c r="AZ4" s="175">
        <f t="shared" si="2"/>
        <v>-1.4744822997381897</v>
      </c>
      <c r="BA4" s="175">
        <f t="shared" si="2"/>
        <v>-1.8021450330133428</v>
      </c>
      <c r="BB4" s="175">
        <f t="shared" si="2"/>
        <v>-2.1298077662884962</v>
      </c>
      <c r="BC4" s="175">
        <f t="shared" si="2"/>
        <v>-2.4574704995636494</v>
      </c>
      <c r="BD4" s="175">
        <f t="shared" si="2"/>
        <v>-2.7851332328388025</v>
      </c>
      <c r="BE4" s="175">
        <f t="shared" si="2"/>
        <v>-3.1127959661139557</v>
      </c>
      <c r="BF4" s="175">
        <f t="shared" si="2"/>
        <v>-3.4404586993891093</v>
      </c>
      <c r="BG4" s="175">
        <f t="shared" si="2"/>
        <v>-3.7681214326642625</v>
      </c>
      <c r="BH4" s="175">
        <f t="shared" si="2"/>
        <v>-4.0957841659394152</v>
      </c>
      <c r="BI4" s="175">
        <f t="shared" si="2"/>
        <v>-4.4234468992145688</v>
      </c>
      <c r="BJ4" s="175">
        <f t="shared" si="2"/>
        <v>-4.7511096324897224</v>
      </c>
      <c r="BK4" s="175"/>
      <c r="BL4" s="175">
        <f>IFERROR(IF(AH4,$AG4-IF($AD4,$AA$22,$X$22)*AW4,0),"")</f>
        <v>0</v>
      </c>
      <c r="BM4" s="175">
        <f t="shared" ref="BM4:BY19" si="3">IFERROR(IF(AI4,$AG4-IF($AD4,$AA$22,$X$22)*AX4,0),"")</f>
        <v>13.729795238802419</v>
      </c>
      <c r="BN4" s="175">
        <f t="shared" si="3"/>
        <v>13.821713334323386</v>
      </c>
      <c r="BO4" s="175">
        <f t="shared" si="3"/>
        <v>13.913631429844353</v>
      </c>
      <c r="BP4" s="175">
        <f t="shared" si="3"/>
        <v>14.005549525365319</v>
      </c>
      <c r="BQ4" s="175">
        <f t="shared" si="3"/>
        <v>14.097467620886288</v>
      </c>
      <c r="BR4" s="175">
        <f t="shared" si="3"/>
        <v>14.189385716407255</v>
      </c>
      <c r="BS4" s="175">
        <f t="shared" si="3"/>
        <v>14.281303811928222</v>
      </c>
      <c r="BT4" s="175">
        <f t="shared" si="3"/>
        <v>14.373221907449189</v>
      </c>
      <c r="BU4" s="175">
        <f t="shared" si="3"/>
        <v>14.465140002970157</v>
      </c>
      <c r="BV4" s="175">
        <f t="shared" si="3"/>
        <v>14.557058098491124</v>
      </c>
      <c r="BW4" s="175">
        <f t="shared" si="3"/>
        <v>14.648976194012091</v>
      </c>
      <c r="BX4" s="175">
        <f t="shared" si="3"/>
        <v>14.74089428953306</v>
      </c>
      <c r="BY4" s="175">
        <f t="shared" si="3"/>
        <v>14.832812385054027</v>
      </c>
      <c r="BZ4" s="175"/>
      <c r="CA4" s="175">
        <f>IFERROR(IF(AH4,AH$3+(BL4-AH$3)*TANH($X$26*$X$27)/($X$26*$X$27),0),"")</f>
        <v>0</v>
      </c>
      <c r="CB4" s="175">
        <f t="shared" ref="CB4:CN4" si="4">IFERROR(IF(AI4,AI$3+(BM4-AI$3)*TANH($X$26*$X$27)/($X$26*$X$27),0),"")</f>
        <v>13.783225346514261</v>
      </c>
      <c r="CC4" s="175">
        <f t="shared" si="4"/>
        <v>13.896515485119965</v>
      </c>
      <c r="CD4" s="175">
        <f t="shared" si="4"/>
        <v>14.009805623725669</v>
      </c>
      <c r="CE4" s="175">
        <f t="shared" si="4"/>
        <v>14.123095762331374</v>
      </c>
      <c r="CF4" s="175">
        <f t="shared" si="4"/>
        <v>14.23638590093708</v>
      </c>
      <c r="CG4" s="175">
        <f t="shared" si="4"/>
        <v>14.349676039542782</v>
      </c>
      <c r="CH4" s="175">
        <f t="shared" si="4"/>
        <v>14.462966178148486</v>
      </c>
      <c r="CI4" s="175">
        <f t="shared" si="4"/>
        <v>14.57625631675419</v>
      </c>
      <c r="CJ4" s="175">
        <f t="shared" si="4"/>
        <v>14.689546455359896</v>
      </c>
      <c r="CK4" s="175">
        <f t="shared" si="4"/>
        <v>14.802836593965599</v>
      </c>
      <c r="CL4" s="175">
        <f t="shared" si="4"/>
        <v>14.916126732571303</v>
      </c>
      <c r="CM4" s="175">
        <f t="shared" si="4"/>
        <v>15.029416871177009</v>
      </c>
      <c r="CN4" s="175">
        <f t="shared" si="4"/>
        <v>15.142707009782713</v>
      </c>
      <c r="CO4" s="175"/>
      <c r="CP4" s="175">
        <f>IFERROR(IF(AH4,($AE4-$AF4)/LN(($AE4-AH$3)/($AF4-AH$3)),0),"")</f>
        <v>0</v>
      </c>
      <c r="CQ4" s="175">
        <f>IFERROR(IF(AI4,($AE4-$AF4)/LN(($AE4-AI$3)/($AF4-AI$3)),0),"")</f>
        <v>-2.1640425613334453</v>
      </c>
      <c r="CR4" s="175">
        <f>IFERROR(IF(AJ4,($AE4-$AF4)/LN(($AE4-AJ$3)/($AF4-AJ$3)),0),"")</f>
        <v>-3.2740700038118744</v>
      </c>
      <c r="CS4" s="175">
        <f>IFERROR(IF(AK4,($AE4-$AF4)/LN(($AE4-AK$3)/($AF4-AK$3)),0),"")</f>
        <v>-4.3280851226668906</v>
      </c>
      <c r="CT4" s="175">
        <f>IFERROR(IF(AL4,($AE4-$AF4)/LN(($AE4-AL$3)/($AF4-AL$3)),0),"")</f>
        <v>-5.3608208786743301</v>
      </c>
      <c r="CU4" s="175">
        <f>IFERROR(IF(AM4,($AE4-$AF4)/LN(($AE4-AM$3)/($AF4-AM$3)),0),"")</f>
        <v>-6.3829294357033293</v>
      </c>
      <c r="CV4" s="175">
        <f>IFERROR(IF(AN4,($AE4-$AF4)/LN(($AE4-AN$3)/($AF4-AN$3)),0),"")</f>
        <v>-7.3989103871292947</v>
      </c>
      <c r="CW4" s="175">
        <f>IFERROR(IF(AO4,($AE4-$AF4)/LN(($AE4-AO$3)/($AF4-AO$3)),0),"")</f>
        <v>-8.4110197561713864</v>
      </c>
      <c r="CX4" s="175">
        <f>IFERROR(IF(AP4,($AE4-$AF4)/LN(($AE4-AP$3)/($AF4-AP$3)),0),"")</f>
        <v>-9.4205208067835216</v>
      </c>
      <c r="CY4" s="175">
        <f>IFERROR(IF(AQ4,($AE4-$AF4)/LN(($AE4-AQ$3)/($AF4-AQ$3)),0),"")</f>
        <v>-10.428178490346623</v>
      </c>
      <c r="CZ4" s="175">
        <f>IFERROR(IF(AR4,($AE4-$AF4)/LN(($AE4-AR$3)/($AF4-AR$3)),0),"")</f>
        <v>-11.434484060125204</v>
      </c>
      <c r="DA4" s="175">
        <f>IFERROR(IF(AS4,($AE4-$AF4)/LN(($AE4-AS$3)/($AF4-AS$3)),0),"")</f>
        <v>-12.439767845726537</v>
      </c>
      <c r="DB4" s="175">
        <f>IFERROR(IF(AT4,($AE4-$AF4)/LN(($AE4-AT$3)/($AF4-AT$3)),0),"")</f>
        <v>-13.444260353173648</v>
      </c>
      <c r="DC4" s="175">
        <f>IFERROR(IF(AU4,($AE4-$AF4)/LN(($AE4-AU$3)/($AF4-AU$3)),0),"")</f>
        <v>-14.448127421329531</v>
      </c>
      <c r="DD4" s="175"/>
      <c r="DE4" s="175">
        <f>IFERROR(IF(AH4,DT4*AVERAGE($X$11:$X$12),0),"")</f>
        <v>0</v>
      </c>
      <c r="DF4" s="175">
        <f t="shared" ref="DF4:DR19" si="5">IFERROR(IF(AI4,DU4*AVERAGE($X$11:$X$12),0),"")</f>
        <v>6.7497072896772323</v>
      </c>
      <c r="DG4" s="175">
        <f t="shared" si="5"/>
        <v>10.450166183905836</v>
      </c>
      <c r="DH4" s="175">
        <f t="shared" si="5"/>
        <v>14.030795858252944</v>
      </c>
      <c r="DI4" s="175">
        <f t="shared" si="5"/>
        <v>17.587103364932027</v>
      </c>
      <c r="DJ4" s="175">
        <f t="shared" si="5"/>
        <v>21.144844524276177</v>
      </c>
      <c r="DK4" s="175">
        <f t="shared" si="5"/>
        <v>24.712987441956766</v>
      </c>
      <c r="DL4" s="175">
        <f t="shared" si="5"/>
        <v>28.294860658847163</v>
      </c>
      <c r="DM4" s="175">
        <f t="shared" si="5"/>
        <v>31.891556965231477</v>
      </c>
      <c r="DN4" s="175">
        <f t="shared" si="5"/>
        <v>35.50320037224089</v>
      </c>
      <c r="DO4" s="175">
        <f t="shared" si="5"/>
        <v>39.129479688894762</v>
      </c>
      <c r="DP4" s="175">
        <f t="shared" si="5"/>
        <v>42.76989221236574</v>
      </c>
      <c r="DQ4" s="175">
        <f t="shared" si="5"/>
        <v>46.423860953118343</v>
      </c>
      <c r="DR4" s="175">
        <f t="shared" si="5"/>
        <v>50.090792599573689</v>
      </c>
      <c r="DS4" s="175"/>
      <c r="DT4" s="175">
        <f>IFERROR(IF(AH4,IF($AD4,8.5855*ABS(CP4)^1.0557,6.1969*ABS(CP4)^1.0614),0),"")</f>
        <v>0</v>
      </c>
      <c r="DU4" s="175">
        <f>IFERROR(IF(AI4,IF($AD4,8.5855*ABS(CQ4)^1.0557,6.1969*ABS(CQ4)^1.0614),0),"")</f>
        <v>19.395710602520783</v>
      </c>
      <c r="DV4" s="175">
        <f>IFERROR(IF(AJ4,IF($AD4,8.5855*ABS(CR4)^1.0557,6.1969*ABS(CR4)^1.0614),0),"")</f>
        <v>30.029213172143209</v>
      </c>
      <c r="DW4" s="175">
        <f>IFERROR(IF(AK4,IF($AD4,8.5855*ABS(CS4)^1.0557,6.1969*ABS(CS4)^1.0614),0),"")</f>
        <v>40.318378903025703</v>
      </c>
      <c r="DX4" s="175">
        <f>IFERROR(IF(AL4,IF($AD4,8.5855*ABS(CT4)^1.0557,6.1969*ABS(CT4)^1.0614),0),"")</f>
        <v>50.537653347505824</v>
      </c>
      <c r="DY4" s="175">
        <f>IFERROR(IF(AM4,IF($AD4,8.5855*ABS(CU4)^1.0557,6.1969*ABS(CU4)^1.0614),0),"")</f>
        <v>60.76104748355224</v>
      </c>
      <c r="DZ4" s="175">
        <f>IFERROR(IF(AN4,IF($AD4,8.5855*ABS(CV4)^1.0557,6.1969*ABS(CV4)^1.0614),0),"")</f>
        <v>71.014331729760826</v>
      </c>
      <c r="EA4" s="175">
        <f>IFERROR(IF(AO4,IF($AD4,8.5855*ABS(CW4)^1.0557,6.1969*ABS(CW4)^1.0614),0),"")</f>
        <v>81.307070858756219</v>
      </c>
      <c r="EB4" s="175">
        <f>IFERROR(IF(AP4,IF($AD4,8.5855*ABS(CX4)^1.0557,6.1969*ABS(CX4)^1.0614),0),"")</f>
        <v>91.642405072504246</v>
      </c>
      <c r="EC4" s="175">
        <f>IFERROR(IF(AQ4,IF($AD4,8.5855*ABS(CY4)^1.0557,6.1969*ABS(CY4)^1.0614),0),"")</f>
        <v>102.02069072483016</v>
      </c>
      <c r="ED4" s="175">
        <f>IFERROR(IF(AR4,IF($AD4,8.5855*ABS(CZ4)^1.0557,6.1969*ABS(CZ4)^1.0614),0),"")</f>
        <v>112.44103358877805</v>
      </c>
      <c r="EE4" s="175">
        <f>IFERROR(IF(AS4,IF($AD4,8.5855*ABS(DA4)^1.0557,6.1969*ABS(DA4)^1.0614),0),"")</f>
        <v>122.90198911599352</v>
      </c>
      <c r="EF4" s="175">
        <f>IFERROR(IF(AT4,IF($AD4,8.5855*ABS(DB4)^1.0557,6.1969*ABS(DB4)^1.0614),0),"")</f>
        <v>133.40189929056996</v>
      </c>
      <c r="EG4" s="175">
        <f>IFERROR(IF(AU4,IF($AD4,8.5855*ABS(DC4)^1.0557,6.1969*ABS(DC4)^1.0614),0),"")</f>
        <v>143.93905919417728</v>
      </c>
      <c r="EH4" s="175"/>
      <c r="EI4" s="127"/>
      <c r="EJ4" s="127"/>
      <c r="EK4" s="127"/>
      <c r="EL4" s="127"/>
      <c r="EM4" s="127"/>
      <c r="EN4" s="127"/>
      <c r="EO4" s="127"/>
    </row>
    <row r="5" spans="1:145" customFormat="1" ht="20.100000000000001" customHeight="1" x14ac:dyDescent="0.3">
      <c r="B5" s="122" t="s">
        <v>93</v>
      </c>
      <c r="C5" s="186">
        <v>300</v>
      </c>
      <c r="D5" s="123" t="s">
        <v>78</v>
      </c>
      <c r="E5" s="130"/>
      <c r="F5" s="131" t="str">
        <f t="shared" ref="F5:F31" si="6">IF(IF(MOD(ROW(A5),2)=0,INDEX($B$19:$B$32,ROUNDDOWN(ROW(A3)/2,0),1),"")&lt;&gt;"",IF(MOD(ROW(A5),2)=0,INDEX($B$19:$B$32,ROUNDDOWN(ROW(A3)/2,0),1),""),"")</f>
        <v/>
      </c>
      <c r="G5" s="131" t="str">
        <f>IF(F5&lt;&gt;"",IF(AD5,F5+$C$16,F5-$C$15),"")</f>
        <v/>
      </c>
      <c r="H5" s="133" t="str">
        <f>IFERROR(IF(AH5,ABS(CA5),""),"")</f>
        <v/>
      </c>
      <c r="I5" s="133">
        <f>IFERROR(IF(AI5,ABS(CB5),""),"")</f>
        <v>13.783225346514261</v>
      </c>
      <c r="J5" s="133">
        <f>IFERROR(IF(AJ5,ABS(CC5),""),"")</f>
        <v>13.896515485119965</v>
      </c>
      <c r="K5" s="133">
        <f>IFERROR(IF(AK5,ABS(CD5),""),"")</f>
        <v>14.009805623725669</v>
      </c>
      <c r="L5" s="133">
        <f>IFERROR(IF(AL5,ABS(CE5),""),"")</f>
        <v>14.123095762331374</v>
      </c>
      <c r="M5" s="133">
        <f>IFERROR(IF(AM5,ABS(CF5),""),"")</f>
        <v>14.23638590093708</v>
      </c>
      <c r="N5" s="133">
        <f>IFERROR(IF(AN5,ABS(CG5),""),"")</f>
        <v>14.349676039542782</v>
      </c>
      <c r="O5" s="133">
        <f>IFERROR(IF(AO5,ABS(CH5),""),"")</f>
        <v>14.462966178148486</v>
      </c>
      <c r="P5" s="133">
        <f>IFERROR(IF(AP5,ABS(CI5),""),"")</f>
        <v>14.57625631675419</v>
      </c>
      <c r="Q5" s="133">
        <f>IFERROR(IF(AQ5,ABS(CJ5),""),"")</f>
        <v>14.689546455359896</v>
      </c>
      <c r="R5" s="133">
        <f>IFERROR(IF(AR5,ABS(CK5),""),"")</f>
        <v>14.802836593965599</v>
      </c>
      <c r="S5" s="133">
        <f>IFERROR(IF(AS5,ABS(CL5),""),"")</f>
        <v>14.916126732571303</v>
      </c>
      <c r="T5" s="133">
        <f>IFERROR(IF(AT5,ABS(CM5),""),"")</f>
        <v>15.029416871177009</v>
      </c>
      <c r="U5" s="133">
        <f>IFERROR(IF(AU5,ABS(CN5),""),"")</f>
        <v>15.142707009782713</v>
      </c>
      <c r="W5" s="135" t="s">
        <v>162</v>
      </c>
      <c r="X5" s="176">
        <f>(X3-X2)/2</f>
        <v>1.2999999999999999E-3</v>
      </c>
      <c r="Y5" s="177" t="s">
        <v>102</v>
      </c>
      <c r="Z5" s="177"/>
      <c r="AA5" s="177"/>
      <c r="AB5" s="175"/>
      <c r="AC5" s="175">
        <f>MOD(ROW(A5),4)</f>
        <v>1</v>
      </c>
      <c r="AD5" s="175" t="b">
        <f>IF(MOD(ROW(A5),2)=0,ABS(F5-MAX(C20:C33))&gt;ABS(F5-MIN(C20:C33)),AD4)</f>
        <v>1</v>
      </c>
      <c r="AE5" s="178">
        <f>IF(MOD(ROW(A5),2)=0,F5,F4)</f>
        <v>12</v>
      </c>
      <c r="AF5" s="178">
        <f>IF(MOD(ROW(B5),2)=0,G5,G4)</f>
        <v>15</v>
      </c>
      <c r="AG5" s="178">
        <f t="shared" ref="AG5:AG31" si="7">AVERAGE(AE5:AF5)</f>
        <v>13.5</v>
      </c>
      <c r="AH5" s="175" t="b">
        <f>OR(AND($AD5,$AE5&lt;AH$3,$AF5&lt;AH$3),AND(NOT($AD5),$AE5&gt;AH$3,$AF5&gt;AH$3))</f>
        <v>0</v>
      </c>
      <c r="AI5" s="175" t="b">
        <f>OR(AND($AD5,$AE5&lt;AI$3,$AF5&lt;AI$3),AND(NOT($AD5),$AE5&gt;AI$3,$AF5&gt;AI$3))</f>
        <v>1</v>
      </c>
      <c r="AJ5" s="175" t="b">
        <f>OR(AND($AD5,$AE5&lt;AJ$3,$AF5&lt;AJ$3),AND(NOT($AD5),$AE5&gt;AJ$3,$AF5&gt;AJ$3))</f>
        <v>1</v>
      </c>
      <c r="AK5" s="175" t="b">
        <f>OR(AND($AD5,$AE5&lt;AK$3,$AF5&lt;AK$3),AND(NOT($AD5),$AE5&gt;AK$3,$AF5&gt;AK$3))</f>
        <v>1</v>
      </c>
      <c r="AL5" s="175" t="b">
        <f>OR(AND($AD5,$AE5&lt;AL$3,$AF5&lt;AL$3),AND(NOT($AD5),$AE5&gt;AL$3,$AF5&gt;AL$3))</f>
        <v>1</v>
      </c>
      <c r="AM5" s="175" t="b">
        <f>OR(AND($AD5,$AE5&lt;AM$3,$AF5&lt;AM$3),AND(NOT($AD5),$AE5&gt;AM$3,$AF5&gt;AM$3))</f>
        <v>1</v>
      </c>
      <c r="AN5" s="175" t="b">
        <f>OR(AND($AD5,$AE5&lt;AN$3,$AF5&lt;AN$3),AND(NOT($AD5),$AE5&gt;AN$3,$AF5&gt;AN$3))</f>
        <v>1</v>
      </c>
      <c r="AO5" s="175" t="b">
        <f>OR(AND($AD5,$AE5&lt;AO$3,$AF5&lt;AO$3),AND(NOT($AD5),$AE5&gt;AO$3,$AF5&gt;AO$3))</f>
        <v>1</v>
      </c>
      <c r="AP5" s="175" t="b">
        <f>OR(AND($AD5,$AE5&lt;AP$3,$AF5&lt;AP$3),AND(NOT($AD5),$AE5&gt;AP$3,$AF5&gt;AP$3))</f>
        <v>1</v>
      </c>
      <c r="AQ5" s="175" t="b">
        <f>OR(AND($AD5,$AE5&lt;AQ$3,$AF5&lt;AQ$3),AND(NOT($AD5),$AE5&gt;AQ$3,$AF5&gt;AQ$3))</f>
        <v>1</v>
      </c>
      <c r="AR5" s="175" t="b">
        <f>OR(AND($AD5,$AE5&lt;AR$3,$AF5&lt;AR$3),AND(NOT($AD5),$AE5&gt;AR$3,$AF5&gt;AR$3))</f>
        <v>1</v>
      </c>
      <c r="AS5" s="175" t="b">
        <f>OR(AND($AD5,$AE5&lt;AS$3,$AF5&lt;AS$3),AND(NOT($AD5),$AE5&gt;AS$3,$AF5&gt;AS$3))</f>
        <v>1</v>
      </c>
      <c r="AT5" s="175" t="b">
        <f>OR(AND($AD5,$AE5&lt;AT$3,$AF5&lt;AT$3),AND(NOT($AD5),$AE5&gt;AT$3,$AF5&gt;AT$3))</f>
        <v>1</v>
      </c>
      <c r="AU5" s="175" t="b">
        <f>OR(AND($AD5,$AE5&lt;AU$3,$AF5&lt;AU$3),AND(NOT($AD5),$AE5&gt;AU$3,$AF5&gt;AU$3))</f>
        <v>1</v>
      </c>
      <c r="AV5" s="175"/>
      <c r="AW5" s="175">
        <f t="shared" ref="AW5:AW31" si="8">IFERROR(IF(AH5,($AG5-AH$3)/IF($AD5,$AA$23,$X$23),0),"")</f>
        <v>0</v>
      </c>
      <c r="AX5" s="175">
        <f t="shared" si="2"/>
        <v>-0.81915683318788313</v>
      </c>
      <c r="AY5" s="175">
        <f t="shared" si="2"/>
        <v>-1.1468195664630363</v>
      </c>
      <c r="AZ5" s="175">
        <f t="shared" si="2"/>
        <v>-1.4744822997381897</v>
      </c>
      <c r="BA5" s="175">
        <f t="shared" si="2"/>
        <v>-1.8021450330133428</v>
      </c>
      <c r="BB5" s="175">
        <f t="shared" si="2"/>
        <v>-2.1298077662884962</v>
      </c>
      <c r="BC5" s="175">
        <f t="shared" si="2"/>
        <v>-2.4574704995636494</v>
      </c>
      <c r="BD5" s="175">
        <f t="shared" si="2"/>
        <v>-2.7851332328388025</v>
      </c>
      <c r="BE5" s="175">
        <f t="shared" si="2"/>
        <v>-3.1127959661139557</v>
      </c>
      <c r="BF5" s="175">
        <f t="shared" si="2"/>
        <v>-3.4404586993891093</v>
      </c>
      <c r="BG5" s="175">
        <f t="shared" si="2"/>
        <v>-3.7681214326642625</v>
      </c>
      <c r="BH5" s="175">
        <f t="shared" si="2"/>
        <v>-4.0957841659394152</v>
      </c>
      <c r="BI5" s="175">
        <f t="shared" si="2"/>
        <v>-4.4234468992145688</v>
      </c>
      <c r="BJ5" s="175">
        <f t="shared" si="2"/>
        <v>-4.7511096324897224</v>
      </c>
      <c r="BK5" s="175"/>
      <c r="BL5" s="175">
        <f t="shared" ref="BL5:BL31" si="9">IFERROR(IF(AH5,$AG5-IF($AD5,$AA$22,$X$22)*AW5,0),"")</f>
        <v>0</v>
      </c>
      <c r="BM5" s="175">
        <f t="shared" si="3"/>
        <v>13.729795238802419</v>
      </c>
      <c r="BN5" s="175">
        <f t="shared" si="3"/>
        <v>13.821713334323386</v>
      </c>
      <c r="BO5" s="175">
        <f t="shared" si="3"/>
        <v>13.913631429844353</v>
      </c>
      <c r="BP5" s="175">
        <f t="shared" si="3"/>
        <v>14.005549525365319</v>
      </c>
      <c r="BQ5" s="175">
        <f t="shared" si="3"/>
        <v>14.097467620886288</v>
      </c>
      <c r="BR5" s="175">
        <f t="shared" si="3"/>
        <v>14.189385716407255</v>
      </c>
      <c r="BS5" s="175">
        <f t="shared" si="3"/>
        <v>14.281303811928222</v>
      </c>
      <c r="BT5" s="175">
        <f t="shared" si="3"/>
        <v>14.373221907449189</v>
      </c>
      <c r="BU5" s="175">
        <f t="shared" si="3"/>
        <v>14.465140002970157</v>
      </c>
      <c r="BV5" s="175">
        <f t="shared" si="3"/>
        <v>14.557058098491124</v>
      </c>
      <c r="BW5" s="175">
        <f t="shared" si="3"/>
        <v>14.648976194012091</v>
      </c>
      <c r="BX5" s="175">
        <f t="shared" si="3"/>
        <v>14.74089428953306</v>
      </c>
      <c r="BY5" s="175">
        <f t="shared" si="3"/>
        <v>14.832812385054027</v>
      </c>
      <c r="BZ5" s="175"/>
      <c r="CA5" s="175">
        <f t="shared" ref="CA5:CA11" si="10">IFERROR(IF(AH5,AH$3+(BL5-AH$3)*TANH($X$26*$X$27)/($X$26*$X$27),0),"")</f>
        <v>0</v>
      </c>
      <c r="CB5" s="175">
        <f t="shared" ref="CB5:CB11" si="11">IFERROR(IF(AI5,AI$3+(BM5-AI$3)*TANH($X$26*$X$27)/($X$26*$X$27),0),"")</f>
        <v>13.783225346514261</v>
      </c>
      <c r="CC5" s="175">
        <f t="shared" ref="CC5:CC11" si="12">IFERROR(IF(AJ5,AJ$3+(BN5-AJ$3)*TANH($X$26*$X$27)/($X$26*$X$27),0),"")</f>
        <v>13.896515485119965</v>
      </c>
      <c r="CD5" s="175">
        <f t="shared" ref="CD5:CD11" si="13">IFERROR(IF(AK5,AK$3+(BO5-AK$3)*TANH($X$26*$X$27)/($X$26*$X$27),0),"")</f>
        <v>14.009805623725669</v>
      </c>
      <c r="CE5" s="175">
        <f t="shared" ref="CE5:CE11" si="14">IFERROR(IF(AL5,AL$3+(BP5-AL$3)*TANH($X$26*$X$27)/($X$26*$X$27),0),"")</f>
        <v>14.123095762331374</v>
      </c>
      <c r="CF5" s="175">
        <f t="shared" ref="CF5:CF11" si="15">IFERROR(IF(AM5,AM$3+(BQ5-AM$3)*TANH($X$26*$X$27)/($X$26*$X$27),0),"")</f>
        <v>14.23638590093708</v>
      </c>
      <c r="CG5" s="175">
        <f t="shared" ref="CG5:CG11" si="16">IFERROR(IF(AN5,AN$3+(BR5-AN$3)*TANH($X$26*$X$27)/($X$26*$X$27),0),"")</f>
        <v>14.349676039542782</v>
      </c>
      <c r="CH5" s="175">
        <f t="shared" ref="CH5:CH11" si="17">IFERROR(IF(AO5,AO$3+(BS5-AO$3)*TANH($X$26*$X$27)/($X$26*$X$27),0),"")</f>
        <v>14.462966178148486</v>
      </c>
      <c r="CI5" s="175">
        <f t="shared" ref="CI5:CI11" si="18">IFERROR(IF(AP5,AP$3+(BT5-AP$3)*TANH($X$26*$X$27)/($X$26*$X$27),0),"")</f>
        <v>14.57625631675419</v>
      </c>
      <c r="CJ5" s="175">
        <f t="shared" ref="CJ5:CJ11" si="19">IFERROR(IF(AQ5,AQ$3+(BU5-AQ$3)*TANH($X$26*$X$27)/($X$26*$X$27),0),"")</f>
        <v>14.689546455359896</v>
      </c>
      <c r="CK5" s="175">
        <f t="shared" ref="CK5:CK11" si="20">IFERROR(IF(AR5,AR$3+(BV5-AR$3)*TANH($X$26*$X$27)/($X$26*$X$27),0),"")</f>
        <v>14.802836593965599</v>
      </c>
      <c r="CL5" s="175">
        <f t="shared" ref="CL5:CL11" si="21">IFERROR(IF(AS5,AS$3+(BW5-AS$3)*TANH($X$26*$X$27)/($X$26*$X$27),0),"")</f>
        <v>14.916126732571303</v>
      </c>
      <c r="CM5" s="175">
        <f t="shared" ref="CM5:CM11" si="22">IFERROR(IF(AT5,AT$3+(BX5-AT$3)*TANH($X$26*$X$27)/($X$26*$X$27),0),"")</f>
        <v>15.029416871177009</v>
      </c>
      <c r="CN5" s="175">
        <f t="shared" ref="CN5:CN11" si="23">IFERROR(IF(AU5,AU$3+(BY5-AU$3)*TANH($X$26*$X$27)/($X$26*$X$27),0),"")</f>
        <v>15.142707009782713</v>
      </c>
      <c r="CO5" s="175"/>
      <c r="CP5" s="175">
        <f>IFERROR(IF(AH5,($AE5-$AF5)/LN(($AE5-AH$3)/($AF5-AH$3)),0),"")</f>
        <v>0</v>
      </c>
      <c r="CQ5" s="175">
        <f>IFERROR(IF(AI5,($AE5-$AF5)/LN(($AE5-AI$3)/($AF5-AI$3)),0),"")</f>
        <v>-2.1640425613334453</v>
      </c>
      <c r="CR5" s="175">
        <f>IFERROR(IF(AJ5,($AE5-$AF5)/LN(($AE5-AJ$3)/($AF5-AJ$3)),0),"")</f>
        <v>-3.2740700038118744</v>
      </c>
      <c r="CS5" s="175">
        <f>IFERROR(IF(AK5,($AE5-$AF5)/LN(($AE5-AK$3)/($AF5-AK$3)),0),"")</f>
        <v>-4.3280851226668906</v>
      </c>
      <c r="CT5" s="175">
        <f>IFERROR(IF(AL5,($AE5-$AF5)/LN(($AE5-AL$3)/($AF5-AL$3)),0),"")</f>
        <v>-5.3608208786743301</v>
      </c>
      <c r="CU5" s="175">
        <f>IFERROR(IF(AM5,($AE5-$AF5)/LN(($AE5-AM$3)/($AF5-AM$3)),0),"")</f>
        <v>-6.3829294357033293</v>
      </c>
      <c r="CV5" s="175">
        <f>IFERROR(IF(AN5,($AE5-$AF5)/LN(($AE5-AN$3)/($AF5-AN$3)),0),"")</f>
        <v>-7.3989103871292947</v>
      </c>
      <c r="CW5" s="175">
        <f>IFERROR(IF(AO5,($AE5-$AF5)/LN(($AE5-AO$3)/($AF5-AO$3)),0),"")</f>
        <v>-8.4110197561713864</v>
      </c>
      <c r="CX5" s="175">
        <f>IFERROR(IF(AP5,($AE5-$AF5)/LN(($AE5-AP$3)/($AF5-AP$3)),0),"")</f>
        <v>-9.4205208067835216</v>
      </c>
      <c r="CY5" s="175">
        <f>IFERROR(IF(AQ5,($AE5-$AF5)/LN(($AE5-AQ$3)/($AF5-AQ$3)),0),"")</f>
        <v>-10.428178490346623</v>
      </c>
      <c r="CZ5" s="175">
        <f>IFERROR(IF(AR5,($AE5-$AF5)/LN(($AE5-AR$3)/($AF5-AR$3)),0),"")</f>
        <v>-11.434484060125204</v>
      </c>
      <c r="DA5" s="175">
        <f>IFERROR(IF(AS5,($AE5-$AF5)/LN(($AE5-AS$3)/($AF5-AS$3)),0),"")</f>
        <v>-12.439767845726537</v>
      </c>
      <c r="DB5" s="175">
        <f>IFERROR(IF(AT5,($AE5-$AF5)/LN(($AE5-AT$3)/($AF5-AT$3)),0),"")</f>
        <v>-13.444260353173648</v>
      </c>
      <c r="DC5" s="175">
        <f>IFERROR(IF(AU5,($AE5-$AF5)/LN(($AE5-AU$3)/($AF5-AU$3)),0),"")</f>
        <v>-14.448127421329531</v>
      </c>
      <c r="DD5" s="175"/>
      <c r="DE5" s="175">
        <f t="shared" ref="DE5:DE31" si="24">IFERROR(IF(AH5,DT5*AVERAGE($X$11:$X$12),0),"")</f>
        <v>0</v>
      </c>
      <c r="DF5" s="175">
        <f t="shared" si="5"/>
        <v>6.7497072896772323</v>
      </c>
      <c r="DG5" s="175">
        <f t="shared" si="5"/>
        <v>10.450166183905836</v>
      </c>
      <c r="DH5" s="175">
        <f t="shared" si="5"/>
        <v>14.030795858252944</v>
      </c>
      <c r="DI5" s="175">
        <f t="shared" si="5"/>
        <v>17.587103364932027</v>
      </c>
      <c r="DJ5" s="175">
        <f t="shared" si="5"/>
        <v>21.144844524276177</v>
      </c>
      <c r="DK5" s="175">
        <f t="shared" si="5"/>
        <v>24.712987441956766</v>
      </c>
      <c r="DL5" s="175">
        <f t="shared" si="5"/>
        <v>28.294860658847163</v>
      </c>
      <c r="DM5" s="175">
        <f t="shared" si="5"/>
        <v>31.891556965231477</v>
      </c>
      <c r="DN5" s="175">
        <f t="shared" si="5"/>
        <v>35.50320037224089</v>
      </c>
      <c r="DO5" s="175">
        <f t="shared" si="5"/>
        <v>39.129479688894762</v>
      </c>
      <c r="DP5" s="175">
        <f t="shared" si="5"/>
        <v>42.76989221236574</v>
      </c>
      <c r="DQ5" s="175">
        <f t="shared" si="5"/>
        <v>46.423860953118343</v>
      </c>
      <c r="DR5" s="175">
        <f t="shared" si="5"/>
        <v>50.090792599573689</v>
      </c>
      <c r="DS5" s="175"/>
      <c r="DT5" s="175">
        <f>IFERROR(IF(AH5,IF($AD5,8.5855*ABS(CP5)^1.0557,6.1969*ABS(CP5)^1.0614),0),"")</f>
        <v>0</v>
      </c>
      <c r="DU5" s="175">
        <f>IFERROR(IF(AI5,IF($AD5,8.5855*ABS(CQ5)^1.0557,6.1969*ABS(CQ5)^1.0614),0),"")</f>
        <v>19.395710602520783</v>
      </c>
      <c r="DV5" s="175">
        <f>IFERROR(IF(AJ5,IF($AD5,8.5855*ABS(CR5)^1.0557,6.1969*ABS(CR5)^1.0614),0),"")</f>
        <v>30.029213172143209</v>
      </c>
      <c r="DW5" s="175">
        <f>IFERROR(IF(AK5,IF($AD5,8.5855*ABS(CS5)^1.0557,6.1969*ABS(CS5)^1.0614),0),"")</f>
        <v>40.318378903025703</v>
      </c>
      <c r="DX5" s="175">
        <f>IFERROR(IF(AL5,IF($AD5,8.5855*ABS(CT5)^1.0557,6.1969*ABS(CT5)^1.0614),0),"")</f>
        <v>50.537653347505824</v>
      </c>
      <c r="DY5" s="175">
        <f>IFERROR(IF(AM5,IF($AD5,8.5855*ABS(CU5)^1.0557,6.1969*ABS(CU5)^1.0614),0),"")</f>
        <v>60.76104748355224</v>
      </c>
      <c r="DZ5" s="175">
        <f>IFERROR(IF(AN5,IF($AD5,8.5855*ABS(CV5)^1.0557,6.1969*ABS(CV5)^1.0614),0),"")</f>
        <v>71.014331729760826</v>
      </c>
      <c r="EA5" s="175">
        <f>IFERROR(IF(AO5,IF($AD5,8.5855*ABS(CW5)^1.0557,6.1969*ABS(CW5)^1.0614),0),"")</f>
        <v>81.307070858756219</v>
      </c>
      <c r="EB5" s="175">
        <f>IFERROR(IF(AP5,IF($AD5,8.5855*ABS(CX5)^1.0557,6.1969*ABS(CX5)^1.0614),0),"")</f>
        <v>91.642405072504246</v>
      </c>
      <c r="EC5" s="175">
        <f>IFERROR(IF(AQ5,IF($AD5,8.5855*ABS(CY5)^1.0557,6.1969*ABS(CY5)^1.0614),0),"")</f>
        <v>102.02069072483016</v>
      </c>
      <c r="ED5" s="175">
        <f>IFERROR(IF(AR5,IF($AD5,8.5855*ABS(CZ5)^1.0557,6.1969*ABS(CZ5)^1.0614),0),"")</f>
        <v>112.44103358877805</v>
      </c>
      <c r="EE5" s="175">
        <f>IFERROR(IF(AS5,IF($AD5,8.5855*ABS(DA5)^1.0557,6.1969*ABS(DA5)^1.0614),0),"")</f>
        <v>122.90198911599352</v>
      </c>
      <c r="EF5" s="175">
        <f>IFERROR(IF(AT5,IF($AD5,8.5855*ABS(DB5)^1.0557,6.1969*ABS(DB5)^1.0614),0),"")</f>
        <v>133.40189929056996</v>
      </c>
      <c r="EG5" s="175">
        <f>IFERROR(IF(AU5,IF($AD5,8.5855*ABS(DC5)^1.0557,6.1969*ABS(DC5)^1.0614),0),"")</f>
        <v>143.93905919417728</v>
      </c>
      <c r="EH5" s="175"/>
      <c r="EI5" s="127"/>
      <c r="EJ5" s="127"/>
      <c r="EK5" s="127"/>
      <c r="EL5" s="127"/>
      <c r="EM5" s="127"/>
      <c r="EN5" s="127"/>
      <c r="EO5" s="127"/>
    </row>
    <row r="6" spans="1:145" customFormat="1" ht="20.100000000000001" customHeight="1" x14ac:dyDescent="0.3">
      <c r="B6" s="122" t="s">
        <v>94</v>
      </c>
      <c r="C6" s="186"/>
      <c r="D6" s="123" t="s">
        <v>78</v>
      </c>
      <c r="E6" s="130"/>
      <c r="F6" s="131">
        <f t="shared" si="6"/>
        <v>14</v>
      </c>
      <c r="G6" s="131">
        <f>IF(F6&lt;&gt;"",IF(AD6,F6+$C$16,F6-$C$15),"")</f>
        <v>17</v>
      </c>
      <c r="H6" s="133" t="str">
        <f>IFERROR(IF(AH6,ABS(DT6),""),"")</f>
        <v/>
      </c>
      <c r="I6" s="133" t="str">
        <f>IFERROR(IF(AI6,ABS(DU6),""),"")</f>
        <v/>
      </c>
      <c r="J6" s="133" t="str">
        <f>IFERROR(IF(AJ6,ABS(DV6),""),"")</f>
        <v/>
      </c>
      <c r="K6" s="133">
        <f>IFERROR(IF(AK6,ABS(DW6),""),"")</f>
        <v>19.395710602520783</v>
      </c>
      <c r="L6" s="133">
        <f>IFERROR(IF(AL6,ABS(DX6),""),"")</f>
        <v>30.029213172143209</v>
      </c>
      <c r="M6" s="133">
        <f>IFERROR(IF(AM6,ABS(DY6),""),"")</f>
        <v>40.318378903025703</v>
      </c>
      <c r="N6" s="133">
        <f>IFERROR(IF(AN6,ABS(DZ6),""),"")</f>
        <v>50.537653347505824</v>
      </c>
      <c r="O6" s="133">
        <f>IFERROR(IF(AO6,ABS(EA6),""),"")</f>
        <v>60.76104748355224</v>
      </c>
      <c r="P6" s="133">
        <f>IFERROR(IF(AP6,ABS(EB6),""),"")</f>
        <v>71.014331729760826</v>
      </c>
      <c r="Q6" s="133">
        <f>IFERROR(IF(AQ6,ABS(EC6),""),"")</f>
        <v>81.307070858756219</v>
      </c>
      <c r="R6" s="133">
        <f>IFERROR(IF(AR6,ABS(ED6),""),"")</f>
        <v>91.642405072504246</v>
      </c>
      <c r="S6" s="133">
        <f>IFERROR(IF(AS6,ABS(EE6),""),"")</f>
        <v>102.02069072483016</v>
      </c>
      <c r="T6" s="133">
        <f>IFERROR(IF(AT6,ABS(EF6),""),"")</f>
        <v>112.44103358877805</v>
      </c>
      <c r="U6" s="133">
        <f>IFERROR(IF(AU6,ABS(EG6),""),"")</f>
        <v>122.90198911599352</v>
      </c>
      <c r="W6" s="135" t="s">
        <v>163</v>
      </c>
      <c r="X6" s="176">
        <f>(X4-X3)/2</f>
        <v>5.9999999999999984E-4</v>
      </c>
      <c r="Y6" s="177" t="s">
        <v>103</v>
      </c>
      <c r="Z6" s="177"/>
      <c r="AA6" s="177"/>
      <c r="AB6" s="175"/>
      <c r="AC6" s="175">
        <f>MOD(ROW(A6),4)</f>
        <v>2</v>
      </c>
      <c r="AD6" s="175" t="b">
        <f>IF(MOD(ROW(A6),2)=0,ABS(F6-MAX(C21:C34))&gt;ABS(F6-MIN(C21:C34)),AD5)</f>
        <v>1</v>
      </c>
      <c r="AE6" s="178">
        <f>IF(MOD(ROW(A6),2)=0,F6,F5)</f>
        <v>14</v>
      </c>
      <c r="AF6" s="178">
        <f>IF(MOD(ROW(B6),2)=0,G6,G5)</f>
        <v>17</v>
      </c>
      <c r="AG6" s="178">
        <f t="shared" si="7"/>
        <v>15.5</v>
      </c>
      <c r="AH6" s="175" t="b">
        <f>OR(AND($AD6,$AE6&lt;AH$3,$AF6&lt;AH$3),AND(NOT($AD6),$AE6&gt;AH$3,$AF6&gt;AH$3))</f>
        <v>0</v>
      </c>
      <c r="AI6" s="175" t="b">
        <f>OR(AND($AD6,$AE6&lt;AI$3,$AF6&lt;AI$3),AND(NOT($AD6),$AE6&gt;AI$3,$AF6&gt;AI$3))</f>
        <v>0</v>
      </c>
      <c r="AJ6" s="175" t="b">
        <f>OR(AND($AD6,$AE6&lt;AJ$3,$AF6&lt;AJ$3),AND(NOT($AD6),$AE6&gt;AJ$3,$AF6&gt;AJ$3))</f>
        <v>0</v>
      </c>
      <c r="AK6" s="175" t="b">
        <f>OR(AND($AD6,$AE6&lt;AK$3,$AF6&lt;AK$3),AND(NOT($AD6),$AE6&gt;AK$3,$AF6&gt;AK$3))</f>
        <v>1</v>
      </c>
      <c r="AL6" s="175" t="b">
        <f>OR(AND($AD6,$AE6&lt;AL$3,$AF6&lt;AL$3),AND(NOT($AD6),$AE6&gt;AL$3,$AF6&gt;AL$3))</f>
        <v>1</v>
      </c>
      <c r="AM6" s="175" t="b">
        <f>OR(AND($AD6,$AE6&lt;AM$3,$AF6&lt;AM$3),AND(NOT($AD6),$AE6&gt;AM$3,$AF6&gt;AM$3))</f>
        <v>1</v>
      </c>
      <c r="AN6" s="175" t="b">
        <f>OR(AND($AD6,$AE6&lt;AN$3,$AF6&lt;AN$3),AND(NOT($AD6),$AE6&gt;AN$3,$AF6&gt;AN$3))</f>
        <v>1</v>
      </c>
      <c r="AO6" s="175" t="b">
        <f>OR(AND($AD6,$AE6&lt;AO$3,$AF6&lt;AO$3),AND(NOT($AD6),$AE6&gt;AO$3,$AF6&gt;AO$3))</f>
        <v>1</v>
      </c>
      <c r="AP6" s="175" t="b">
        <f>OR(AND($AD6,$AE6&lt;AP$3,$AF6&lt;AP$3),AND(NOT($AD6),$AE6&gt;AP$3,$AF6&gt;AP$3))</f>
        <v>1</v>
      </c>
      <c r="AQ6" s="175" t="b">
        <f>OR(AND($AD6,$AE6&lt;AQ$3,$AF6&lt;AQ$3),AND(NOT($AD6),$AE6&gt;AQ$3,$AF6&gt;AQ$3))</f>
        <v>1</v>
      </c>
      <c r="AR6" s="175" t="b">
        <f>OR(AND($AD6,$AE6&lt;AR$3,$AF6&lt;AR$3),AND(NOT($AD6),$AE6&gt;AR$3,$AF6&gt;AR$3))</f>
        <v>1</v>
      </c>
      <c r="AS6" s="175" t="b">
        <f>OR(AND($AD6,$AE6&lt;AS$3,$AF6&lt;AS$3),AND(NOT($AD6),$AE6&gt;AS$3,$AF6&gt;AS$3))</f>
        <v>1</v>
      </c>
      <c r="AT6" s="175" t="b">
        <f>OR(AND($AD6,$AE6&lt;AT$3,$AF6&lt;AT$3),AND(NOT($AD6),$AE6&gt;AT$3,$AF6&gt;AT$3))</f>
        <v>1</v>
      </c>
      <c r="AU6" s="175" t="b">
        <f>OR(AND($AD6,$AE6&lt;AU$3,$AF6&lt;AU$3),AND(NOT($AD6),$AE6&gt;AU$3,$AF6&gt;AU$3))</f>
        <v>1</v>
      </c>
      <c r="AV6" s="175"/>
      <c r="AW6" s="175">
        <f t="shared" si="8"/>
        <v>0</v>
      </c>
      <c r="AX6" s="175">
        <f t="shared" si="2"/>
        <v>0</v>
      </c>
      <c r="AY6" s="175">
        <f t="shared" si="2"/>
        <v>0</v>
      </c>
      <c r="AZ6" s="175">
        <f t="shared" si="2"/>
        <v>-0.81915683318788313</v>
      </c>
      <c r="BA6" s="175">
        <f t="shared" si="2"/>
        <v>-1.1468195664630363</v>
      </c>
      <c r="BB6" s="175">
        <f t="shared" si="2"/>
        <v>-1.4744822997381897</v>
      </c>
      <c r="BC6" s="175">
        <f t="shared" si="2"/>
        <v>-1.8021450330133428</v>
      </c>
      <c r="BD6" s="175">
        <f t="shared" si="2"/>
        <v>-2.1298077662884962</v>
      </c>
      <c r="BE6" s="175">
        <f t="shared" si="2"/>
        <v>-2.4574704995636494</v>
      </c>
      <c r="BF6" s="175">
        <f t="shared" si="2"/>
        <v>-2.7851332328388025</v>
      </c>
      <c r="BG6" s="175">
        <f t="shared" si="2"/>
        <v>-3.1127959661139557</v>
      </c>
      <c r="BH6" s="175">
        <f t="shared" si="2"/>
        <v>-3.4404586993891093</v>
      </c>
      <c r="BI6" s="175">
        <f t="shared" si="2"/>
        <v>-3.7681214326642625</v>
      </c>
      <c r="BJ6" s="175">
        <f t="shared" si="2"/>
        <v>-4.0957841659394152</v>
      </c>
      <c r="BK6" s="175"/>
      <c r="BL6" s="175">
        <f t="shared" si="9"/>
        <v>0</v>
      </c>
      <c r="BM6" s="175">
        <f t="shared" si="3"/>
        <v>0</v>
      </c>
      <c r="BN6" s="175">
        <f t="shared" si="3"/>
        <v>0</v>
      </c>
      <c r="BO6" s="175">
        <f t="shared" si="3"/>
        <v>15.729795238802419</v>
      </c>
      <c r="BP6" s="175">
        <f t="shared" si="3"/>
        <v>15.821713334323386</v>
      </c>
      <c r="BQ6" s="175">
        <f t="shared" si="3"/>
        <v>15.913631429844353</v>
      </c>
      <c r="BR6" s="175">
        <f t="shared" si="3"/>
        <v>16.005549525365321</v>
      </c>
      <c r="BS6" s="175">
        <f t="shared" si="3"/>
        <v>16.097467620886288</v>
      </c>
      <c r="BT6" s="175">
        <f t="shared" si="3"/>
        <v>16.189385716407255</v>
      </c>
      <c r="BU6" s="175">
        <f t="shared" si="3"/>
        <v>16.281303811928222</v>
      </c>
      <c r="BV6" s="175">
        <f t="shared" si="3"/>
        <v>16.373221907449189</v>
      </c>
      <c r="BW6" s="175">
        <f t="shared" si="3"/>
        <v>16.465140002970156</v>
      </c>
      <c r="BX6" s="175">
        <f t="shared" si="3"/>
        <v>16.557058098491126</v>
      </c>
      <c r="BY6" s="175">
        <f t="shared" si="3"/>
        <v>16.648976194012093</v>
      </c>
      <c r="BZ6" s="175"/>
      <c r="CA6" s="175">
        <f t="shared" si="10"/>
        <v>0</v>
      </c>
      <c r="CB6" s="175">
        <f t="shared" si="11"/>
        <v>0</v>
      </c>
      <c r="CC6" s="175">
        <f t="shared" si="12"/>
        <v>0</v>
      </c>
      <c r="CD6" s="175">
        <f t="shared" si="13"/>
        <v>15.783225346514261</v>
      </c>
      <c r="CE6" s="175">
        <f t="shared" si="14"/>
        <v>15.896515485119965</v>
      </c>
      <c r="CF6" s="175">
        <f t="shared" si="15"/>
        <v>16.009805623725669</v>
      </c>
      <c r="CG6" s="175">
        <f t="shared" si="16"/>
        <v>16.123095762331374</v>
      </c>
      <c r="CH6" s="175">
        <f t="shared" si="17"/>
        <v>16.23638590093708</v>
      </c>
      <c r="CI6" s="175">
        <f t="shared" si="18"/>
        <v>16.349676039542782</v>
      </c>
      <c r="CJ6" s="175">
        <f t="shared" si="19"/>
        <v>16.462966178148484</v>
      </c>
      <c r="CK6" s="175">
        <f t="shared" si="20"/>
        <v>16.57625631675419</v>
      </c>
      <c r="CL6" s="175">
        <f t="shared" si="21"/>
        <v>16.689546455359896</v>
      </c>
      <c r="CM6" s="175">
        <f t="shared" si="22"/>
        <v>16.802836593965601</v>
      </c>
      <c r="CN6" s="175">
        <f t="shared" si="23"/>
        <v>16.916126732571307</v>
      </c>
      <c r="CO6" s="175"/>
      <c r="CP6" s="175">
        <f>IFERROR(IF(AH6,($AE6-$AF6)/LN(($AE6-AH$3)/($AF6-AH$3)),0),"")</f>
        <v>0</v>
      </c>
      <c r="CQ6" s="175">
        <f>IFERROR(IF(AI6,($AE6-$AF6)/LN(($AE6-AI$3)/($AF6-AI$3)),0),"")</f>
        <v>0</v>
      </c>
      <c r="CR6" s="175">
        <f>IFERROR(IF(AJ6,($AE6-$AF6)/LN(($AE6-AJ$3)/($AF6-AJ$3)),0),"")</f>
        <v>0</v>
      </c>
      <c r="CS6" s="175">
        <f>IFERROR(IF(AK6,($AE6-$AF6)/LN(($AE6-AK$3)/($AF6-AK$3)),0),"")</f>
        <v>-2.1640425613334453</v>
      </c>
      <c r="CT6" s="175">
        <f>IFERROR(IF(AL6,($AE6-$AF6)/LN(($AE6-AL$3)/($AF6-AL$3)),0),"")</f>
        <v>-3.2740700038118744</v>
      </c>
      <c r="CU6" s="175">
        <f>IFERROR(IF(AM6,($AE6-$AF6)/LN(($AE6-AM$3)/($AF6-AM$3)),0),"")</f>
        <v>-4.3280851226668906</v>
      </c>
      <c r="CV6" s="175">
        <f>IFERROR(IF(AN6,($AE6-$AF6)/LN(($AE6-AN$3)/($AF6-AN$3)),0),"")</f>
        <v>-5.3608208786743301</v>
      </c>
      <c r="CW6" s="175">
        <f>IFERROR(IF(AO6,($AE6-$AF6)/LN(($AE6-AO$3)/($AF6-AO$3)),0),"")</f>
        <v>-6.3829294357033293</v>
      </c>
      <c r="CX6" s="175">
        <f>IFERROR(IF(AP6,($AE6-$AF6)/LN(($AE6-AP$3)/($AF6-AP$3)),0),"")</f>
        <v>-7.3989103871292947</v>
      </c>
      <c r="CY6" s="175">
        <f>IFERROR(IF(AQ6,($AE6-$AF6)/LN(($AE6-AQ$3)/($AF6-AQ$3)),0),"")</f>
        <v>-8.4110197561713864</v>
      </c>
      <c r="CZ6" s="175">
        <f>IFERROR(IF(AR6,($AE6-$AF6)/LN(($AE6-AR$3)/($AF6-AR$3)),0),"")</f>
        <v>-9.4205208067835216</v>
      </c>
      <c r="DA6" s="175">
        <f>IFERROR(IF(AS6,($AE6-$AF6)/LN(($AE6-AS$3)/($AF6-AS$3)),0),"")</f>
        <v>-10.428178490346623</v>
      </c>
      <c r="DB6" s="175">
        <f>IFERROR(IF(AT6,($AE6-$AF6)/LN(($AE6-AT$3)/($AF6-AT$3)),0),"")</f>
        <v>-11.434484060125204</v>
      </c>
      <c r="DC6" s="175">
        <f>IFERROR(IF(AU6,($AE6-$AF6)/LN(($AE6-AU$3)/($AF6-AU$3)),0),"")</f>
        <v>-12.439767845726537</v>
      </c>
      <c r="DD6" s="175"/>
      <c r="DE6" s="175">
        <f t="shared" si="24"/>
        <v>0</v>
      </c>
      <c r="DF6" s="175">
        <f t="shared" si="5"/>
        <v>0</v>
      </c>
      <c r="DG6" s="175">
        <f t="shared" si="5"/>
        <v>0</v>
      </c>
      <c r="DH6" s="175">
        <f t="shared" si="5"/>
        <v>6.7497072896772323</v>
      </c>
      <c r="DI6" s="175">
        <f t="shared" si="5"/>
        <v>10.450166183905836</v>
      </c>
      <c r="DJ6" s="175">
        <f t="shared" si="5"/>
        <v>14.030795858252944</v>
      </c>
      <c r="DK6" s="175">
        <f t="shared" si="5"/>
        <v>17.587103364932027</v>
      </c>
      <c r="DL6" s="175">
        <f t="shared" si="5"/>
        <v>21.144844524276177</v>
      </c>
      <c r="DM6" s="175">
        <f t="shared" si="5"/>
        <v>24.712987441956766</v>
      </c>
      <c r="DN6" s="175">
        <f t="shared" si="5"/>
        <v>28.294860658847163</v>
      </c>
      <c r="DO6" s="175">
        <f t="shared" si="5"/>
        <v>31.891556965231477</v>
      </c>
      <c r="DP6" s="175">
        <f t="shared" si="5"/>
        <v>35.50320037224089</v>
      </c>
      <c r="DQ6" s="175">
        <f t="shared" si="5"/>
        <v>39.129479688894762</v>
      </c>
      <c r="DR6" s="175">
        <f t="shared" si="5"/>
        <v>42.76989221236574</v>
      </c>
      <c r="DS6" s="175"/>
      <c r="DT6" s="175">
        <f>IFERROR(IF(AH6,IF($AD6,8.5855*ABS(CP6)^1.0557,6.1969*ABS(CP6)^1.0614),0),"")</f>
        <v>0</v>
      </c>
      <c r="DU6" s="175">
        <f>IFERROR(IF(AI6,IF($AD6,8.5855*ABS(CQ6)^1.0557,6.1969*ABS(CQ6)^1.0614),0),"")</f>
        <v>0</v>
      </c>
      <c r="DV6" s="175">
        <f>IFERROR(IF(AJ6,IF($AD6,8.5855*ABS(CR6)^1.0557,6.1969*ABS(CR6)^1.0614),0),"")</f>
        <v>0</v>
      </c>
      <c r="DW6" s="175">
        <f>IFERROR(IF(AK6,IF($AD6,8.5855*ABS(CS6)^1.0557,6.1969*ABS(CS6)^1.0614),0),"")</f>
        <v>19.395710602520783</v>
      </c>
      <c r="DX6" s="175">
        <f>IFERROR(IF(AL6,IF($AD6,8.5855*ABS(CT6)^1.0557,6.1969*ABS(CT6)^1.0614),0),"")</f>
        <v>30.029213172143209</v>
      </c>
      <c r="DY6" s="175">
        <f>IFERROR(IF(AM6,IF($AD6,8.5855*ABS(CU6)^1.0557,6.1969*ABS(CU6)^1.0614),0),"")</f>
        <v>40.318378903025703</v>
      </c>
      <c r="DZ6" s="175">
        <f>IFERROR(IF(AN6,IF($AD6,8.5855*ABS(CV6)^1.0557,6.1969*ABS(CV6)^1.0614),0),"")</f>
        <v>50.537653347505824</v>
      </c>
      <c r="EA6" s="175">
        <f>IFERROR(IF(AO6,IF($AD6,8.5855*ABS(CW6)^1.0557,6.1969*ABS(CW6)^1.0614),0),"")</f>
        <v>60.76104748355224</v>
      </c>
      <c r="EB6" s="175">
        <f>IFERROR(IF(AP6,IF($AD6,8.5855*ABS(CX6)^1.0557,6.1969*ABS(CX6)^1.0614),0),"")</f>
        <v>71.014331729760826</v>
      </c>
      <c r="EC6" s="175">
        <f>IFERROR(IF(AQ6,IF($AD6,8.5855*ABS(CY6)^1.0557,6.1969*ABS(CY6)^1.0614),0),"")</f>
        <v>81.307070858756219</v>
      </c>
      <c r="ED6" s="175">
        <f>IFERROR(IF(AR6,IF($AD6,8.5855*ABS(CZ6)^1.0557,6.1969*ABS(CZ6)^1.0614),0),"")</f>
        <v>91.642405072504246</v>
      </c>
      <c r="EE6" s="175">
        <f>IFERROR(IF(AS6,IF($AD6,8.5855*ABS(DA6)^1.0557,6.1969*ABS(DA6)^1.0614),0),"")</f>
        <v>102.02069072483016</v>
      </c>
      <c r="EF6" s="175">
        <f>IFERROR(IF(AT6,IF($AD6,8.5855*ABS(DB6)^1.0557,6.1969*ABS(DB6)^1.0614),0),"")</f>
        <v>112.44103358877805</v>
      </c>
      <c r="EG6" s="175">
        <f>IFERROR(IF(AU6,IF($AD6,8.5855*ABS(DC6)^1.0557,6.1969*ABS(DC6)^1.0614),0),"")</f>
        <v>122.90198911599352</v>
      </c>
      <c r="EH6" s="175"/>
      <c r="EI6" s="127"/>
      <c r="EJ6" s="127"/>
      <c r="EK6" s="127"/>
      <c r="EL6" s="127"/>
      <c r="EM6" s="127"/>
      <c r="EN6" s="127"/>
      <c r="EO6" s="127"/>
    </row>
    <row r="7" spans="1:145" customFormat="1" ht="20.100000000000001" customHeight="1" x14ac:dyDescent="0.3">
      <c r="B7" s="122" t="s">
        <v>95</v>
      </c>
      <c r="C7" s="186">
        <v>7.4</v>
      </c>
      <c r="D7" s="123" t="s">
        <v>79</v>
      </c>
      <c r="E7" s="130"/>
      <c r="F7" s="131" t="str">
        <f t="shared" si="6"/>
        <v/>
      </c>
      <c r="G7" s="131" t="str">
        <f>IF(F7&lt;&gt;"",IF(AD7,F7+$C$16,F7-$C$15),"")</f>
        <v/>
      </c>
      <c r="H7" s="133" t="str">
        <f>IFERROR(IF(AH7,ABS(CA7),""),"")</f>
        <v/>
      </c>
      <c r="I7" s="133" t="str">
        <f>IFERROR(IF(AI7,ABS(CB7),""),"")</f>
        <v/>
      </c>
      <c r="J7" s="133" t="str">
        <f>IFERROR(IF(AJ7,ABS(CC7),""),"")</f>
        <v/>
      </c>
      <c r="K7" s="133">
        <f>IFERROR(IF(AK7,ABS(CD7),""),"")</f>
        <v>15.783225346514261</v>
      </c>
      <c r="L7" s="133">
        <f>IFERROR(IF(AL7,ABS(CE7),""),"")</f>
        <v>15.896515485119965</v>
      </c>
      <c r="M7" s="133">
        <f>IFERROR(IF(AM7,ABS(CF7),""),"")</f>
        <v>16.009805623725669</v>
      </c>
      <c r="N7" s="133">
        <f>IFERROR(IF(AN7,ABS(CG7),""),"")</f>
        <v>16.123095762331374</v>
      </c>
      <c r="O7" s="133">
        <f>IFERROR(IF(AO7,ABS(CH7),""),"")</f>
        <v>16.23638590093708</v>
      </c>
      <c r="P7" s="133">
        <f>IFERROR(IF(AP7,ABS(CI7),""),"")</f>
        <v>16.349676039542782</v>
      </c>
      <c r="Q7" s="133">
        <f>IFERROR(IF(AQ7,ABS(CJ7),""),"")</f>
        <v>16.462966178148484</v>
      </c>
      <c r="R7" s="133">
        <f>IFERROR(IF(AR7,ABS(CK7),""),"")</f>
        <v>16.57625631675419</v>
      </c>
      <c r="S7" s="133">
        <f>IFERROR(IF(AS7,ABS(CL7),""),"")</f>
        <v>16.689546455359896</v>
      </c>
      <c r="T7" s="133">
        <f>IFERROR(IF(AT7,ABS(CM7),""),"")</f>
        <v>16.802836593965601</v>
      </c>
      <c r="U7" s="133">
        <f>IFERROR(IF(AU7,ABS(CN7),""),"")</f>
        <v>16.916126732571307</v>
      </c>
      <c r="W7" s="135" t="s">
        <v>164</v>
      </c>
      <c r="X7" s="176">
        <f>GK_vast*0.001</f>
        <v>0.01</v>
      </c>
      <c r="Y7" s="177" t="s">
        <v>104</v>
      </c>
      <c r="Z7" s="177"/>
      <c r="AA7" s="177"/>
      <c r="AB7" s="175"/>
      <c r="AC7" s="175">
        <f>MOD(ROW(A7),4)</f>
        <v>3</v>
      </c>
      <c r="AD7" s="175" t="b">
        <f>IF(MOD(ROW(A7),2)=0,ABS(F7-MAX(C22:C35))&gt;ABS(F7-MIN(C22:C35)),AD6)</f>
        <v>1</v>
      </c>
      <c r="AE7" s="178">
        <f>IF(MOD(ROW(A7),2)=0,F7,F6)</f>
        <v>14</v>
      </c>
      <c r="AF7" s="178">
        <f>IF(MOD(ROW(B7),2)=0,G7,G6)</f>
        <v>17</v>
      </c>
      <c r="AG7" s="178">
        <f t="shared" si="7"/>
        <v>15.5</v>
      </c>
      <c r="AH7" s="175" t="b">
        <f>OR(AND($AD7,$AE7&lt;AH$3,$AF7&lt;AH$3),AND(NOT($AD7),$AE7&gt;AH$3,$AF7&gt;AH$3))</f>
        <v>0</v>
      </c>
      <c r="AI7" s="175" t="b">
        <f>OR(AND($AD7,$AE7&lt;AI$3,$AF7&lt;AI$3),AND(NOT($AD7),$AE7&gt;AI$3,$AF7&gt;AI$3))</f>
        <v>0</v>
      </c>
      <c r="AJ7" s="175" t="b">
        <f>OR(AND($AD7,$AE7&lt;AJ$3,$AF7&lt;AJ$3),AND(NOT($AD7),$AE7&gt;AJ$3,$AF7&gt;AJ$3))</f>
        <v>0</v>
      </c>
      <c r="AK7" s="175" t="b">
        <f>OR(AND($AD7,$AE7&lt;AK$3,$AF7&lt;AK$3),AND(NOT($AD7),$AE7&gt;AK$3,$AF7&gt;AK$3))</f>
        <v>1</v>
      </c>
      <c r="AL7" s="175" t="b">
        <f>OR(AND($AD7,$AE7&lt;AL$3,$AF7&lt;AL$3),AND(NOT($AD7),$AE7&gt;AL$3,$AF7&gt;AL$3))</f>
        <v>1</v>
      </c>
      <c r="AM7" s="175" t="b">
        <f>OR(AND($AD7,$AE7&lt;AM$3,$AF7&lt;AM$3),AND(NOT($AD7),$AE7&gt;AM$3,$AF7&gt;AM$3))</f>
        <v>1</v>
      </c>
      <c r="AN7" s="175" t="b">
        <f>OR(AND($AD7,$AE7&lt;AN$3,$AF7&lt;AN$3),AND(NOT($AD7),$AE7&gt;AN$3,$AF7&gt;AN$3))</f>
        <v>1</v>
      </c>
      <c r="AO7" s="175" t="b">
        <f>OR(AND($AD7,$AE7&lt;AO$3,$AF7&lt;AO$3),AND(NOT($AD7),$AE7&gt;AO$3,$AF7&gt;AO$3))</f>
        <v>1</v>
      </c>
      <c r="AP7" s="175" t="b">
        <f>OR(AND($AD7,$AE7&lt;AP$3,$AF7&lt;AP$3),AND(NOT($AD7),$AE7&gt;AP$3,$AF7&gt;AP$3))</f>
        <v>1</v>
      </c>
      <c r="AQ7" s="175" t="b">
        <f>OR(AND($AD7,$AE7&lt;AQ$3,$AF7&lt;AQ$3),AND(NOT($AD7),$AE7&gt;AQ$3,$AF7&gt;AQ$3))</f>
        <v>1</v>
      </c>
      <c r="AR7" s="175" t="b">
        <f>OR(AND($AD7,$AE7&lt;AR$3,$AF7&lt;AR$3),AND(NOT($AD7),$AE7&gt;AR$3,$AF7&gt;AR$3))</f>
        <v>1</v>
      </c>
      <c r="AS7" s="175" t="b">
        <f>OR(AND($AD7,$AE7&lt;AS$3,$AF7&lt;AS$3),AND(NOT($AD7),$AE7&gt;AS$3,$AF7&gt;AS$3))</f>
        <v>1</v>
      </c>
      <c r="AT7" s="175" t="b">
        <f>OR(AND($AD7,$AE7&lt;AT$3,$AF7&lt;AT$3),AND(NOT($AD7),$AE7&gt;AT$3,$AF7&gt;AT$3))</f>
        <v>1</v>
      </c>
      <c r="AU7" s="175" t="b">
        <f>OR(AND($AD7,$AE7&lt;AU$3,$AF7&lt;AU$3),AND(NOT($AD7),$AE7&gt;AU$3,$AF7&gt;AU$3))</f>
        <v>1</v>
      </c>
      <c r="AV7" s="175"/>
      <c r="AW7" s="175">
        <f t="shared" si="8"/>
        <v>0</v>
      </c>
      <c r="AX7" s="175">
        <f t="shared" si="2"/>
        <v>0</v>
      </c>
      <c r="AY7" s="175">
        <f t="shared" si="2"/>
        <v>0</v>
      </c>
      <c r="AZ7" s="175">
        <f t="shared" si="2"/>
        <v>-0.81915683318788313</v>
      </c>
      <c r="BA7" s="175">
        <f t="shared" si="2"/>
        <v>-1.1468195664630363</v>
      </c>
      <c r="BB7" s="175">
        <f t="shared" si="2"/>
        <v>-1.4744822997381897</v>
      </c>
      <c r="BC7" s="175">
        <f t="shared" si="2"/>
        <v>-1.8021450330133428</v>
      </c>
      <c r="BD7" s="175">
        <f t="shared" si="2"/>
        <v>-2.1298077662884962</v>
      </c>
      <c r="BE7" s="175">
        <f t="shared" si="2"/>
        <v>-2.4574704995636494</v>
      </c>
      <c r="BF7" s="175">
        <f t="shared" si="2"/>
        <v>-2.7851332328388025</v>
      </c>
      <c r="BG7" s="175">
        <f t="shared" si="2"/>
        <v>-3.1127959661139557</v>
      </c>
      <c r="BH7" s="175">
        <f t="shared" si="2"/>
        <v>-3.4404586993891093</v>
      </c>
      <c r="BI7" s="175">
        <f t="shared" si="2"/>
        <v>-3.7681214326642625</v>
      </c>
      <c r="BJ7" s="175">
        <f t="shared" si="2"/>
        <v>-4.0957841659394152</v>
      </c>
      <c r="BK7" s="175"/>
      <c r="BL7" s="175">
        <f t="shared" si="9"/>
        <v>0</v>
      </c>
      <c r="BM7" s="175">
        <f t="shared" si="3"/>
        <v>0</v>
      </c>
      <c r="BN7" s="175">
        <f t="shared" si="3"/>
        <v>0</v>
      </c>
      <c r="BO7" s="175">
        <f t="shared" si="3"/>
        <v>15.729795238802419</v>
      </c>
      <c r="BP7" s="175">
        <f t="shared" si="3"/>
        <v>15.821713334323386</v>
      </c>
      <c r="BQ7" s="175">
        <f t="shared" si="3"/>
        <v>15.913631429844353</v>
      </c>
      <c r="BR7" s="175">
        <f t="shared" si="3"/>
        <v>16.005549525365321</v>
      </c>
      <c r="BS7" s="175">
        <f t="shared" si="3"/>
        <v>16.097467620886288</v>
      </c>
      <c r="BT7" s="175">
        <f t="shared" si="3"/>
        <v>16.189385716407255</v>
      </c>
      <c r="BU7" s="175">
        <f t="shared" si="3"/>
        <v>16.281303811928222</v>
      </c>
      <c r="BV7" s="175">
        <f t="shared" si="3"/>
        <v>16.373221907449189</v>
      </c>
      <c r="BW7" s="175">
        <f t="shared" si="3"/>
        <v>16.465140002970156</v>
      </c>
      <c r="BX7" s="175">
        <f t="shared" si="3"/>
        <v>16.557058098491126</v>
      </c>
      <c r="BY7" s="175">
        <f t="shared" si="3"/>
        <v>16.648976194012093</v>
      </c>
      <c r="BZ7" s="175"/>
      <c r="CA7" s="175">
        <f t="shared" si="10"/>
        <v>0</v>
      </c>
      <c r="CB7" s="175">
        <f t="shared" si="11"/>
        <v>0</v>
      </c>
      <c r="CC7" s="175">
        <f t="shared" si="12"/>
        <v>0</v>
      </c>
      <c r="CD7" s="175">
        <f t="shared" si="13"/>
        <v>15.783225346514261</v>
      </c>
      <c r="CE7" s="175">
        <f t="shared" si="14"/>
        <v>15.896515485119965</v>
      </c>
      <c r="CF7" s="175">
        <f t="shared" si="15"/>
        <v>16.009805623725669</v>
      </c>
      <c r="CG7" s="175">
        <f t="shared" si="16"/>
        <v>16.123095762331374</v>
      </c>
      <c r="CH7" s="175">
        <f t="shared" si="17"/>
        <v>16.23638590093708</v>
      </c>
      <c r="CI7" s="175">
        <f t="shared" si="18"/>
        <v>16.349676039542782</v>
      </c>
      <c r="CJ7" s="175">
        <f t="shared" si="19"/>
        <v>16.462966178148484</v>
      </c>
      <c r="CK7" s="175">
        <f t="shared" si="20"/>
        <v>16.57625631675419</v>
      </c>
      <c r="CL7" s="175">
        <f t="shared" si="21"/>
        <v>16.689546455359896</v>
      </c>
      <c r="CM7" s="175">
        <f t="shared" si="22"/>
        <v>16.802836593965601</v>
      </c>
      <c r="CN7" s="175">
        <f t="shared" si="23"/>
        <v>16.916126732571307</v>
      </c>
      <c r="CO7" s="175"/>
      <c r="CP7" s="175">
        <f>IFERROR(IF(AH7,($AE7-$AF7)/LN(($AE7-AH$3)/($AF7-AH$3)),0),"")</f>
        <v>0</v>
      </c>
      <c r="CQ7" s="175">
        <f>IFERROR(IF(AI7,($AE7-$AF7)/LN(($AE7-AI$3)/($AF7-AI$3)),0),"")</f>
        <v>0</v>
      </c>
      <c r="CR7" s="175">
        <f>IFERROR(IF(AJ7,($AE7-$AF7)/LN(($AE7-AJ$3)/($AF7-AJ$3)),0),"")</f>
        <v>0</v>
      </c>
      <c r="CS7" s="175">
        <f>IFERROR(IF(AK7,($AE7-$AF7)/LN(($AE7-AK$3)/($AF7-AK$3)),0),"")</f>
        <v>-2.1640425613334453</v>
      </c>
      <c r="CT7" s="175">
        <f>IFERROR(IF(AL7,($AE7-$AF7)/LN(($AE7-AL$3)/($AF7-AL$3)),0),"")</f>
        <v>-3.2740700038118744</v>
      </c>
      <c r="CU7" s="175">
        <f>IFERROR(IF(AM7,($AE7-$AF7)/LN(($AE7-AM$3)/($AF7-AM$3)),0),"")</f>
        <v>-4.3280851226668906</v>
      </c>
      <c r="CV7" s="175">
        <f>IFERROR(IF(AN7,($AE7-$AF7)/LN(($AE7-AN$3)/($AF7-AN$3)),0),"")</f>
        <v>-5.3608208786743301</v>
      </c>
      <c r="CW7" s="175">
        <f>IFERROR(IF(AO7,($AE7-$AF7)/LN(($AE7-AO$3)/($AF7-AO$3)),0),"")</f>
        <v>-6.3829294357033293</v>
      </c>
      <c r="CX7" s="175">
        <f>IFERROR(IF(AP7,($AE7-$AF7)/LN(($AE7-AP$3)/($AF7-AP$3)),0),"")</f>
        <v>-7.3989103871292947</v>
      </c>
      <c r="CY7" s="175">
        <f>IFERROR(IF(AQ7,($AE7-$AF7)/LN(($AE7-AQ$3)/($AF7-AQ$3)),0),"")</f>
        <v>-8.4110197561713864</v>
      </c>
      <c r="CZ7" s="175">
        <f>IFERROR(IF(AR7,($AE7-$AF7)/LN(($AE7-AR$3)/($AF7-AR$3)),0),"")</f>
        <v>-9.4205208067835216</v>
      </c>
      <c r="DA7" s="175">
        <f>IFERROR(IF(AS7,($AE7-$AF7)/LN(($AE7-AS$3)/($AF7-AS$3)),0),"")</f>
        <v>-10.428178490346623</v>
      </c>
      <c r="DB7" s="175">
        <f>IFERROR(IF(AT7,($AE7-$AF7)/LN(($AE7-AT$3)/($AF7-AT$3)),0),"")</f>
        <v>-11.434484060125204</v>
      </c>
      <c r="DC7" s="175">
        <f>IFERROR(IF(AU7,($AE7-$AF7)/LN(($AE7-AU$3)/($AF7-AU$3)),0),"")</f>
        <v>-12.439767845726537</v>
      </c>
      <c r="DD7" s="175"/>
      <c r="DE7" s="175">
        <f t="shared" si="24"/>
        <v>0</v>
      </c>
      <c r="DF7" s="175">
        <f t="shared" si="5"/>
        <v>0</v>
      </c>
      <c r="DG7" s="175">
        <f t="shared" si="5"/>
        <v>0</v>
      </c>
      <c r="DH7" s="175">
        <f t="shared" si="5"/>
        <v>6.7497072896772323</v>
      </c>
      <c r="DI7" s="175">
        <f t="shared" si="5"/>
        <v>10.450166183905836</v>
      </c>
      <c r="DJ7" s="175">
        <f t="shared" si="5"/>
        <v>14.030795858252944</v>
      </c>
      <c r="DK7" s="175">
        <f t="shared" si="5"/>
        <v>17.587103364932027</v>
      </c>
      <c r="DL7" s="175">
        <f t="shared" si="5"/>
        <v>21.144844524276177</v>
      </c>
      <c r="DM7" s="175">
        <f t="shared" si="5"/>
        <v>24.712987441956766</v>
      </c>
      <c r="DN7" s="175">
        <f t="shared" si="5"/>
        <v>28.294860658847163</v>
      </c>
      <c r="DO7" s="175">
        <f t="shared" si="5"/>
        <v>31.891556965231477</v>
      </c>
      <c r="DP7" s="175">
        <f t="shared" si="5"/>
        <v>35.50320037224089</v>
      </c>
      <c r="DQ7" s="175">
        <f t="shared" si="5"/>
        <v>39.129479688894762</v>
      </c>
      <c r="DR7" s="175">
        <f t="shared" si="5"/>
        <v>42.76989221236574</v>
      </c>
      <c r="DS7" s="175"/>
      <c r="DT7" s="175">
        <f>IFERROR(IF(AH7,IF($AD7,8.5855*ABS(CP7)^1.0557,6.1969*ABS(CP7)^1.0614),0),"")</f>
        <v>0</v>
      </c>
      <c r="DU7" s="175">
        <f>IFERROR(IF(AI7,IF($AD7,8.5855*ABS(CQ7)^1.0557,6.1969*ABS(CQ7)^1.0614),0),"")</f>
        <v>0</v>
      </c>
      <c r="DV7" s="175">
        <f>IFERROR(IF(AJ7,IF($AD7,8.5855*ABS(CR7)^1.0557,6.1969*ABS(CR7)^1.0614),0),"")</f>
        <v>0</v>
      </c>
      <c r="DW7" s="175">
        <f>IFERROR(IF(AK7,IF($AD7,8.5855*ABS(CS7)^1.0557,6.1969*ABS(CS7)^1.0614),0),"")</f>
        <v>19.395710602520783</v>
      </c>
      <c r="DX7" s="175">
        <f>IFERROR(IF(AL7,IF($AD7,8.5855*ABS(CT7)^1.0557,6.1969*ABS(CT7)^1.0614),0),"")</f>
        <v>30.029213172143209</v>
      </c>
      <c r="DY7" s="175">
        <f>IFERROR(IF(AM7,IF($AD7,8.5855*ABS(CU7)^1.0557,6.1969*ABS(CU7)^1.0614),0),"")</f>
        <v>40.318378903025703</v>
      </c>
      <c r="DZ7" s="175">
        <f>IFERROR(IF(AN7,IF($AD7,8.5855*ABS(CV7)^1.0557,6.1969*ABS(CV7)^1.0614),0),"")</f>
        <v>50.537653347505824</v>
      </c>
      <c r="EA7" s="175">
        <f>IFERROR(IF(AO7,IF($AD7,8.5855*ABS(CW7)^1.0557,6.1969*ABS(CW7)^1.0614),0),"")</f>
        <v>60.76104748355224</v>
      </c>
      <c r="EB7" s="175">
        <f>IFERROR(IF(AP7,IF($AD7,8.5855*ABS(CX7)^1.0557,6.1969*ABS(CX7)^1.0614),0),"")</f>
        <v>71.014331729760826</v>
      </c>
      <c r="EC7" s="175">
        <f>IFERROR(IF(AQ7,IF($AD7,8.5855*ABS(CY7)^1.0557,6.1969*ABS(CY7)^1.0614),0),"")</f>
        <v>81.307070858756219</v>
      </c>
      <c r="ED7" s="175">
        <f>IFERROR(IF(AR7,IF($AD7,8.5855*ABS(CZ7)^1.0557,6.1969*ABS(CZ7)^1.0614),0),"")</f>
        <v>91.642405072504246</v>
      </c>
      <c r="EE7" s="175">
        <f>IFERROR(IF(AS7,IF($AD7,8.5855*ABS(DA7)^1.0557,6.1969*ABS(DA7)^1.0614),0),"")</f>
        <v>102.02069072483016</v>
      </c>
      <c r="EF7" s="175">
        <f>IFERROR(IF(AT7,IF($AD7,8.5855*ABS(DB7)^1.0557,6.1969*ABS(DB7)^1.0614),0),"")</f>
        <v>112.44103358877805</v>
      </c>
      <c r="EG7" s="175">
        <f>IFERROR(IF(AU7,IF($AD7,8.5855*ABS(DC7)^1.0557,6.1969*ABS(DC7)^1.0614),0),"")</f>
        <v>122.90198911599352</v>
      </c>
      <c r="EH7" s="175"/>
      <c r="EI7" s="127"/>
      <c r="EJ7" s="127"/>
      <c r="EK7" s="127"/>
      <c r="EL7" s="127"/>
      <c r="EM7" s="127"/>
      <c r="EN7" s="127"/>
      <c r="EO7" s="127"/>
    </row>
    <row r="8" spans="1:145" customFormat="1" ht="20.100000000000001" customHeight="1" x14ac:dyDescent="0.3">
      <c r="B8" s="122" t="s">
        <v>96</v>
      </c>
      <c r="C8" s="186">
        <v>10</v>
      </c>
      <c r="D8" s="123" t="s">
        <v>79</v>
      </c>
      <c r="E8" s="130"/>
      <c r="F8" s="131">
        <f t="shared" si="6"/>
        <v>16</v>
      </c>
      <c r="G8" s="131">
        <f>IF(F8&lt;&gt;"",IF(AD8,F8+$C$16,F8-$C$15),"")</f>
        <v>19</v>
      </c>
      <c r="H8" s="133" t="str">
        <f>IFERROR(IF(AH8,ABS(DT8),""),"")</f>
        <v/>
      </c>
      <c r="I8" s="133" t="str">
        <f>IFERROR(IF(AI8,ABS(DU8),""),"")</f>
        <v/>
      </c>
      <c r="J8" s="133" t="str">
        <f>IFERROR(IF(AJ8,ABS(DV8),""),"")</f>
        <v/>
      </c>
      <c r="K8" s="133" t="str">
        <f>IFERROR(IF(AK8,ABS(DW8),""),"")</f>
        <v/>
      </c>
      <c r="L8" s="133" t="str">
        <f>IFERROR(IF(AL8,ABS(DX8),""),"")</f>
        <v/>
      </c>
      <c r="M8" s="133">
        <f>IFERROR(IF(AM8,ABS(DY8),""),"")</f>
        <v>19.395710602520783</v>
      </c>
      <c r="N8" s="133">
        <f>IFERROR(IF(AN8,ABS(DZ8),""),"")</f>
        <v>30.029213172143209</v>
      </c>
      <c r="O8" s="133">
        <f>IFERROR(IF(AO8,ABS(EA8),""),"")</f>
        <v>40.318378903025703</v>
      </c>
      <c r="P8" s="133">
        <f>IFERROR(IF(AP8,ABS(EB8),""),"")</f>
        <v>50.537653347505824</v>
      </c>
      <c r="Q8" s="133">
        <f>IFERROR(IF(AQ8,ABS(EC8),""),"")</f>
        <v>60.76104748355224</v>
      </c>
      <c r="R8" s="133">
        <f>IFERROR(IF(AR8,ABS(ED8),""),"")</f>
        <v>71.014331729760826</v>
      </c>
      <c r="S8" s="133">
        <f>IFERROR(IF(AS8,ABS(EE8),""),"")</f>
        <v>81.307070858756219</v>
      </c>
      <c r="T8" s="133">
        <f>IFERROR(IF(AT8,ABS(EF8),""),"")</f>
        <v>91.642405072504246</v>
      </c>
      <c r="U8" s="133">
        <f>IFERROR(IF(AU8,ABS(EG8),""),"")</f>
        <v>102.02069072483016</v>
      </c>
      <c r="W8" s="135" t="s">
        <v>165</v>
      </c>
      <c r="X8" s="179">
        <f>X2*PI()*Hossz*0.001</f>
        <v>2.3247785636564475E-2</v>
      </c>
      <c r="Y8" s="177" t="s">
        <v>105</v>
      </c>
      <c r="Z8" s="177"/>
      <c r="AA8" s="177"/>
      <c r="AB8" s="175"/>
      <c r="AC8" s="175">
        <f>MOD(ROW(A8),4)</f>
        <v>0</v>
      </c>
      <c r="AD8" s="175" t="b">
        <f>IF(MOD(ROW(A8),2)=0,ABS(F8-MAX(C23:C36))&gt;ABS(F8-MIN(C23:C36)),AD7)</f>
        <v>1</v>
      </c>
      <c r="AE8" s="178">
        <f>IF(MOD(ROW(A8),2)=0,F8,F7)</f>
        <v>16</v>
      </c>
      <c r="AF8" s="178">
        <f>IF(MOD(ROW(B8),2)=0,G8,G7)</f>
        <v>19</v>
      </c>
      <c r="AG8" s="178">
        <f t="shared" si="7"/>
        <v>17.5</v>
      </c>
      <c r="AH8" s="175" t="b">
        <f>OR(AND($AD8,$AE8&lt;AH$3,$AF8&lt;AH$3),AND(NOT($AD8),$AE8&gt;AH$3,$AF8&gt;AH$3))</f>
        <v>0</v>
      </c>
      <c r="AI8" s="175" t="b">
        <f>OR(AND($AD8,$AE8&lt;AI$3,$AF8&lt;AI$3),AND(NOT($AD8),$AE8&gt;AI$3,$AF8&gt;AI$3))</f>
        <v>0</v>
      </c>
      <c r="AJ8" s="175" t="b">
        <f>OR(AND($AD8,$AE8&lt;AJ$3,$AF8&lt;AJ$3),AND(NOT($AD8),$AE8&gt;AJ$3,$AF8&gt;AJ$3))</f>
        <v>0</v>
      </c>
      <c r="AK8" s="175" t="b">
        <f>OR(AND($AD8,$AE8&lt;AK$3,$AF8&lt;AK$3),AND(NOT($AD8),$AE8&gt;AK$3,$AF8&gt;AK$3))</f>
        <v>0</v>
      </c>
      <c r="AL8" s="175" t="b">
        <f>OR(AND($AD8,$AE8&lt;AL$3,$AF8&lt;AL$3),AND(NOT($AD8),$AE8&gt;AL$3,$AF8&gt;AL$3))</f>
        <v>0</v>
      </c>
      <c r="AM8" s="175" t="b">
        <f>OR(AND($AD8,$AE8&lt;AM$3,$AF8&lt;AM$3),AND(NOT($AD8),$AE8&gt;AM$3,$AF8&gt;AM$3))</f>
        <v>1</v>
      </c>
      <c r="AN8" s="175" t="b">
        <f>OR(AND($AD8,$AE8&lt;AN$3,$AF8&lt;AN$3),AND(NOT($AD8),$AE8&gt;AN$3,$AF8&gt;AN$3))</f>
        <v>1</v>
      </c>
      <c r="AO8" s="175" t="b">
        <f>OR(AND($AD8,$AE8&lt;AO$3,$AF8&lt;AO$3),AND(NOT($AD8),$AE8&gt;AO$3,$AF8&gt;AO$3))</f>
        <v>1</v>
      </c>
      <c r="AP8" s="175" t="b">
        <f>OR(AND($AD8,$AE8&lt;AP$3,$AF8&lt;AP$3),AND(NOT($AD8),$AE8&gt;AP$3,$AF8&gt;AP$3))</f>
        <v>1</v>
      </c>
      <c r="AQ8" s="175" t="b">
        <f>OR(AND($AD8,$AE8&lt;AQ$3,$AF8&lt;AQ$3),AND(NOT($AD8),$AE8&gt;AQ$3,$AF8&gt;AQ$3))</f>
        <v>1</v>
      </c>
      <c r="AR8" s="175" t="b">
        <f>OR(AND($AD8,$AE8&lt;AR$3,$AF8&lt;AR$3),AND(NOT($AD8),$AE8&gt;AR$3,$AF8&gt;AR$3))</f>
        <v>1</v>
      </c>
      <c r="AS8" s="175" t="b">
        <f>OR(AND($AD8,$AE8&lt;AS$3,$AF8&lt;AS$3),AND(NOT($AD8),$AE8&gt;AS$3,$AF8&gt;AS$3))</f>
        <v>1</v>
      </c>
      <c r="AT8" s="175" t="b">
        <f>OR(AND($AD8,$AE8&lt;AT$3,$AF8&lt;AT$3),AND(NOT($AD8),$AE8&gt;AT$3,$AF8&gt;AT$3))</f>
        <v>1</v>
      </c>
      <c r="AU8" s="175" t="b">
        <f>OR(AND($AD8,$AE8&lt;AU$3,$AF8&lt;AU$3),AND(NOT($AD8),$AE8&gt;AU$3,$AF8&gt;AU$3))</f>
        <v>1</v>
      </c>
      <c r="AV8" s="175"/>
      <c r="AW8" s="175">
        <f t="shared" si="8"/>
        <v>0</v>
      </c>
      <c r="AX8" s="175">
        <f t="shared" si="2"/>
        <v>0</v>
      </c>
      <c r="AY8" s="175">
        <f t="shared" si="2"/>
        <v>0</v>
      </c>
      <c r="AZ8" s="175">
        <f t="shared" si="2"/>
        <v>0</v>
      </c>
      <c r="BA8" s="175">
        <f t="shared" si="2"/>
        <v>0</v>
      </c>
      <c r="BB8" s="175">
        <f t="shared" si="2"/>
        <v>-0.81915683318788313</v>
      </c>
      <c r="BC8" s="175">
        <f t="shared" si="2"/>
        <v>-1.1468195664630363</v>
      </c>
      <c r="BD8" s="175">
        <f t="shared" si="2"/>
        <v>-1.4744822997381897</v>
      </c>
      <c r="BE8" s="175">
        <f t="shared" si="2"/>
        <v>-1.8021450330133428</v>
      </c>
      <c r="BF8" s="175">
        <f t="shared" si="2"/>
        <v>-2.1298077662884962</v>
      </c>
      <c r="BG8" s="175">
        <f t="shared" si="2"/>
        <v>-2.4574704995636494</v>
      </c>
      <c r="BH8" s="175">
        <f t="shared" si="2"/>
        <v>-2.7851332328388025</v>
      </c>
      <c r="BI8" s="175">
        <f t="shared" si="2"/>
        <v>-3.1127959661139557</v>
      </c>
      <c r="BJ8" s="175">
        <f t="shared" si="2"/>
        <v>-3.4404586993891093</v>
      </c>
      <c r="BK8" s="175"/>
      <c r="BL8" s="175">
        <f t="shared" si="9"/>
        <v>0</v>
      </c>
      <c r="BM8" s="175">
        <f t="shared" si="3"/>
        <v>0</v>
      </c>
      <c r="BN8" s="175">
        <f t="shared" si="3"/>
        <v>0</v>
      </c>
      <c r="BO8" s="175">
        <f t="shared" si="3"/>
        <v>0</v>
      </c>
      <c r="BP8" s="175">
        <f t="shared" si="3"/>
        <v>0</v>
      </c>
      <c r="BQ8" s="175">
        <f t="shared" si="3"/>
        <v>17.729795238802417</v>
      </c>
      <c r="BR8" s="175">
        <f t="shared" si="3"/>
        <v>17.821713334323384</v>
      </c>
      <c r="BS8" s="175">
        <f t="shared" si="3"/>
        <v>17.913631429844354</v>
      </c>
      <c r="BT8" s="175">
        <f t="shared" si="3"/>
        <v>18.005549525365321</v>
      </c>
      <c r="BU8" s="175">
        <f t="shared" si="3"/>
        <v>18.097467620886288</v>
      </c>
      <c r="BV8" s="175">
        <f t="shared" si="3"/>
        <v>18.189385716407255</v>
      </c>
      <c r="BW8" s="175">
        <f t="shared" si="3"/>
        <v>18.281303811928222</v>
      </c>
      <c r="BX8" s="175">
        <f t="shared" si="3"/>
        <v>18.373221907449189</v>
      </c>
      <c r="BY8" s="175">
        <f t="shared" si="3"/>
        <v>18.465140002970156</v>
      </c>
      <c r="BZ8" s="175"/>
      <c r="CA8" s="175">
        <f t="shared" si="10"/>
        <v>0</v>
      </c>
      <c r="CB8" s="175">
        <f t="shared" si="11"/>
        <v>0</v>
      </c>
      <c r="CC8" s="175">
        <f t="shared" si="12"/>
        <v>0</v>
      </c>
      <c r="CD8" s="175">
        <f t="shared" si="13"/>
        <v>0</v>
      </c>
      <c r="CE8" s="175">
        <f t="shared" si="14"/>
        <v>0</v>
      </c>
      <c r="CF8" s="175">
        <f t="shared" si="15"/>
        <v>17.783225346514261</v>
      </c>
      <c r="CG8" s="175">
        <f t="shared" si="16"/>
        <v>17.896515485119963</v>
      </c>
      <c r="CH8" s="175">
        <f t="shared" si="17"/>
        <v>18.009805623725672</v>
      </c>
      <c r="CI8" s="175">
        <f t="shared" si="18"/>
        <v>18.123095762331374</v>
      </c>
      <c r="CJ8" s="175">
        <f t="shared" si="19"/>
        <v>18.23638590093708</v>
      </c>
      <c r="CK8" s="175">
        <f t="shared" si="20"/>
        <v>18.349676039542782</v>
      </c>
      <c r="CL8" s="175">
        <f t="shared" si="21"/>
        <v>18.462966178148484</v>
      </c>
      <c r="CM8" s="175">
        <f t="shared" si="22"/>
        <v>18.57625631675419</v>
      </c>
      <c r="CN8" s="175">
        <f t="shared" si="23"/>
        <v>18.689546455359896</v>
      </c>
      <c r="CO8" s="175"/>
      <c r="CP8" s="175">
        <f>IFERROR(IF(AH8,($AE8-$AF8)/LN(($AE8-AH$3)/($AF8-AH$3)),0),"")</f>
        <v>0</v>
      </c>
      <c r="CQ8" s="175">
        <f>IFERROR(IF(AI8,($AE8-$AF8)/LN(($AE8-AI$3)/($AF8-AI$3)),0),"")</f>
        <v>0</v>
      </c>
      <c r="CR8" s="175">
        <f>IFERROR(IF(AJ8,($AE8-$AF8)/LN(($AE8-AJ$3)/($AF8-AJ$3)),0),"")</f>
        <v>0</v>
      </c>
      <c r="CS8" s="175">
        <f>IFERROR(IF(AK8,($AE8-$AF8)/LN(($AE8-AK$3)/($AF8-AK$3)),0),"")</f>
        <v>0</v>
      </c>
      <c r="CT8" s="175">
        <f>IFERROR(IF(AL8,($AE8-$AF8)/LN(($AE8-AL$3)/($AF8-AL$3)),0),"")</f>
        <v>0</v>
      </c>
      <c r="CU8" s="175">
        <f>IFERROR(IF(AM8,($AE8-$AF8)/LN(($AE8-AM$3)/($AF8-AM$3)),0),"")</f>
        <v>-2.1640425613334453</v>
      </c>
      <c r="CV8" s="175">
        <f>IFERROR(IF(AN8,($AE8-$AF8)/LN(($AE8-AN$3)/($AF8-AN$3)),0),"")</f>
        <v>-3.2740700038118744</v>
      </c>
      <c r="CW8" s="175">
        <f>IFERROR(IF(AO8,($AE8-$AF8)/LN(($AE8-AO$3)/($AF8-AO$3)),0),"")</f>
        <v>-4.3280851226668906</v>
      </c>
      <c r="CX8" s="175">
        <f>IFERROR(IF(AP8,($AE8-$AF8)/LN(($AE8-AP$3)/($AF8-AP$3)),0),"")</f>
        <v>-5.3608208786743301</v>
      </c>
      <c r="CY8" s="175">
        <f>IFERROR(IF(AQ8,($AE8-$AF8)/LN(($AE8-AQ$3)/($AF8-AQ$3)),0),"")</f>
        <v>-6.3829294357033293</v>
      </c>
      <c r="CZ8" s="175">
        <f>IFERROR(IF(AR8,($AE8-$AF8)/LN(($AE8-AR$3)/($AF8-AR$3)),0),"")</f>
        <v>-7.3989103871292947</v>
      </c>
      <c r="DA8" s="175">
        <f>IFERROR(IF(AS8,($AE8-$AF8)/LN(($AE8-AS$3)/($AF8-AS$3)),0),"")</f>
        <v>-8.4110197561713864</v>
      </c>
      <c r="DB8" s="175">
        <f>IFERROR(IF(AT8,($AE8-$AF8)/LN(($AE8-AT$3)/($AF8-AT$3)),0),"")</f>
        <v>-9.4205208067835216</v>
      </c>
      <c r="DC8" s="175">
        <f>IFERROR(IF(AU8,($AE8-$AF8)/LN(($AE8-AU$3)/($AF8-AU$3)),0),"")</f>
        <v>-10.428178490346623</v>
      </c>
      <c r="DD8" s="175"/>
      <c r="DE8" s="175">
        <f t="shared" si="24"/>
        <v>0</v>
      </c>
      <c r="DF8" s="175">
        <f t="shared" si="5"/>
        <v>0</v>
      </c>
      <c r="DG8" s="175">
        <f t="shared" si="5"/>
        <v>0</v>
      </c>
      <c r="DH8" s="175">
        <f t="shared" si="5"/>
        <v>0</v>
      </c>
      <c r="DI8" s="175">
        <f t="shared" si="5"/>
        <v>0</v>
      </c>
      <c r="DJ8" s="175">
        <f t="shared" si="5"/>
        <v>6.7497072896772323</v>
      </c>
      <c r="DK8" s="175">
        <f t="shared" si="5"/>
        <v>10.450166183905836</v>
      </c>
      <c r="DL8" s="175">
        <f t="shared" si="5"/>
        <v>14.030795858252944</v>
      </c>
      <c r="DM8" s="175">
        <f t="shared" si="5"/>
        <v>17.587103364932027</v>
      </c>
      <c r="DN8" s="175">
        <f t="shared" si="5"/>
        <v>21.144844524276177</v>
      </c>
      <c r="DO8" s="175">
        <f t="shared" si="5"/>
        <v>24.712987441956766</v>
      </c>
      <c r="DP8" s="175">
        <f t="shared" si="5"/>
        <v>28.294860658847163</v>
      </c>
      <c r="DQ8" s="175">
        <f t="shared" si="5"/>
        <v>31.891556965231477</v>
      </c>
      <c r="DR8" s="175">
        <f t="shared" si="5"/>
        <v>35.50320037224089</v>
      </c>
      <c r="DS8" s="175"/>
      <c r="DT8" s="175">
        <f>IFERROR(IF(AH8,IF($AD8,8.5855*ABS(CP8)^1.0557,6.1969*ABS(CP8)^1.0614),0),"")</f>
        <v>0</v>
      </c>
      <c r="DU8" s="175">
        <f>IFERROR(IF(AI8,IF($AD8,8.5855*ABS(CQ8)^1.0557,6.1969*ABS(CQ8)^1.0614),0),"")</f>
        <v>0</v>
      </c>
      <c r="DV8" s="175">
        <f>IFERROR(IF(AJ8,IF($AD8,8.5855*ABS(CR8)^1.0557,6.1969*ABS(CR8)^1.0614),0),"")</f>
        <v>0</v>
      </c>
      <c r="DW8" s="175">
        <f>IFERROR(IF(AK8,IF($AD8,8.5855*ABS(CS8)^1.0557,6.1969*ABS(CS8)^1.0614),0),"")</f>
        <v>0</v>
      </c>
      <c r="DX8" s="175">
        <f>IFERROR(IF(AL8,IF($AD8,8.5855*ABS(CT8)^1.0557,6.1969*ABS(CT8)^1.0614),0),"")</f>
        <v>0</v>
      </c>
      <c r="DY8" s="175">
        <f>IFERROR(IF(AM8,IF($AD8,8.5855*ABS(CU8)^1.0557,6.1969*ABS(CU8)^1.0614),0),"")</f>
        <v>19.395710602520783</v>
      </c>
      <c r="DZ8" s="175">
        <f>IFERROR(IF(AN8,IF($AD8,8.5855*ABS(CV8)^1.0557,6.1969*ABS(CV8)^1.0614),0),"")</f>
        <v>30.029213172143209</v>
      </c>
      <c r="EA8" s="175">
        <f>IFERROR(IF(AO8,IF($AD8,8.5855*ABS(CW8)^1.0557,6.1969*ABS(CW8)^1.0614),0),"")</f>
        <v>40.318378903025703</v>
      </c>
      <c r="EB8" s="175">
        <f>IFERROR(IF(AP8,IF($AD8,8.5855*ABS(CX8)^1.0557,6.1969*ABS(CX8)^1.0614),0),"")</f>
        <v>50.537653347505824</v>
      </c>
      <c r="EC8" s="175">
        <f>IFERROR(IF(AQ8,IF($AD8,8.5855*ABS(CY8)^1.0557,6.1969*ABS(CY8)^1.0614),0),"")</f>
        <v>60.76104748355224</v>
      </c>
      <c r="ED8" s="175">
        <f>IFERROR(IF(AR8,IF($AD8,8.5855*ABS(CZ8)^1.0557,6.1969*ABS(CZ8)^1.0614),0),"")</f>
        <v>71.014331729760826</v>
      </c>
      <c r="EE8" s="175">
        <f>IFERROR(IF(AS8,IF($AD8,8.5855*ABS(DA8)^1.0557,6.1969*ABS(DA8)^1.0614),0),"")</f>
        <v>81.307070858756219</v>
      </c>
      <c r="EF8" s="175">
        <f>IFERROR(IF(AT8,IF($AD8,8.5855*ABS(DB8)^1.0557,6.1969*ABS(DB8)^1.0614),0),"")</f>
        <v>91.642405072504246</v>
      </c>
      <c r="EG8" s="175">
        <f>IFERROR(IF(AU8,IF($AD8,8.5855*ABS(DC8)^1.0557,6.1969*ABS(DC8)^1.0614),0),"")</f>
        <v>102.02069072483016</v>
      </c>
      <c r="EH8" s="175"/>
      <c r="EI8" s="127"/>
      <c r="EJ8" s="127"/>
      <c r="EK8" s="127"/>
      <c r="EL8" s="127"/>
      <c r="EM8" s="127"/>
      <c r="EN8" s="127"/>
      <c r="EO8" s="127"/>
    </row>
    <row r="9" spans="1:145" customFormat="1" ht="20.100000000000001" customHeight="1" x14ac:dyDescent="0.3">
      <c r="B9" s="122" t="s">
        <v>80</v>
      </c>
      <c r="C9" s="186">
        <v>37</v>
      </c>
      <c r="D9" s="123" t="s">
        <v>79</v>
      </c>
      <c r="E9" s="130"/>
      <c r="F9" s="131" t="str">
        <f t="shared" si="6"/>
        <v/>
      </c>
      <c r="G9" s="131" t="str">
        <f>IF(F9&lt;&gt;"",IF(AD9,F9+$C$16,F9-$C$15),"")</f>
        <v/>
      </c>
      <c r="H9" s="133" t="str">
        <f>IFERROR(IF(AH9,ABS(CA9),""),"")</f>
        <v/>
      </c>
      <c r="I9" s="133" t="str">
        <f>IFERROR(IF(AI9,ABS(CB9),""),"")</f>
        <v/>
      </c>
      <c r="J9" s="133" t="str">
        <f>IFERROR(IF(AJ9,ABS(CC9),""),"")</f>
        <v/>
      </c>
      <c r="K9" s="133" t="str">
        <f>IFERROR(IF(AK9,ABS(CD9),""),"")</f>
        <v/>
      </c>
      <c r="L9" s="133" t="str">
        <f>IFERROR(IF(AL9,ABS(CE9),""),"")</f>
        <v/>
      </c>
      <c r="M9" s="133">
        <f>IFERROR(IF(AM9,ABS(CF9),""),"")</f>
        <v>17.783225346514261</v>
      </c>
      <c r="N9" s="133">
        <f>IFERROR(IF(AN9,ABS(CG9),""),"")</f>
        <v>17.896515485119963</v>
      </c>
      <c r="O9" s="133">
        <f>IFERROR(IF(AO9,ABS(CH9),""),"")</f>
        <v>18.009805623725672</v>
      </c>
      <c r="P9" s="133">
        <f>IFERROR(IF(AP9,ABS(CI9),""),"")</f>
        <v>18.123095762331374</v>
      </c>
      <c r="Q9" s="133">
        <f>IFERROR(IF(AQ9,ABS(CJ9),""),"")</f>
        <v>18.23638590093708</v>
      </c>
      <c r="R9" s="133">
        <f>IFERROR(IF(AR9,ABS(CK9),""),"")</f>
        <v>18.349676039542782</v>
      </c>
      <c r="S9" s="133">
        <f>IFERROR(IF(AS9,ABS(CL9),""),"")</f>
        <v>18.462966178148484</v>
      </c>
      <c r="T9" s="133">
        <f>IFERROR(IF(AT9,ABS(CM9),""),"")</f>
        <v>18.57625631675419</v>
      </c>
      <c r="U9" s="133">
        <f>IFERROR(IF(AU9,ABS(CN9),""),"")</f>
        <v>18.689546455359896</v>
      </c>
      <c r="W9" s="135" t="s">
        <v>166</v>
      </c>
      <c r="X9" s="179">
        <f>X3*PI()*Hossz*0.001</f>
        <v>3.1415926535897934E-2</v>
      </c>
      <c r="Y9" s="177" t="s">
        <v>106</v>
      </c>
      <c r="Z9" s="177"/>
      <c r="AA9" s="177"/>
      <c r="AB9" s="175"/>
      <c r="AC9" s="175">
        <f>MOD(ROW(A9),4)</f>
        <v>1</v>
      </c>
      <c r="AD9" s="175" t="b">
        <f>IF(MOD(ROW(A9),2)=0,ABS(F9-MAX(C24:C37))&gt;ABS(F9-MIN(C24:C37)),AD8)</f>
        <v>1</v>
      </c>
      <c r="AE9" s="178">
        <f>IF(MOD(ROW(A9),2)=0,F9,F8)</f>
        <v>16</v>
      </c>
      <c r="AF9" s="178">
        <f>IF(MOD(ROW(B9),2)=0,G9,G8)</f>
        <v>19</v>
      </c>
      <c r="AG9" s="178">
        <f t="shared" si="7"/>
        <v>17.5</v>
      </c>
      <c r="AH9" s="175" t="b">
        <f>OR(AND($AD9,$AE9&lt;AH$3,$AF9&lt;AH$3),AND(NOT($AD9),$AE9&gt;AH$3,$AF9&gt;AH$3))</f>
        <v>0</v>
      </c>
      <c r="AI9" s="175" t="b">
        <f>OR(AND($AD9,$AE9&lt;AI$3,$AF9&lt;AI$3),AND(NOT($AD9),$AE9&gt;AI$3,$AF9&gt;AI$3))</f>
        <v>0</v>
      </c>
      <c r="AJ9" s="175" t="b">
        <f>OR(AND($AD9,$AE9&lt;AJ$3,$AF9&lt;AJ$3),AND(NOT($AD9),$AE9&gt;AJ$3,$AF9&gt;AJ$3))</f>
        <v>0</v>
      </c>
      <c r="AK9" s="175" t="b">
        <f>OR(AND($AD9,$AE9&lt;AK$3,$AF9&lt;AK$3),AND(NOT($AD9),$AE9&gt;AK$3,$AF9&gt;AK$3))</f>
        <v>0</v>
      </c>
      <c r="AL9" s="175" t="b">
        <f>OR(AND($AD9,$AE9&lt;AL$3,$AF9&lt;AL$3),AND(NOT($AD9),$AE9&gt;AL$3,$AF9&gt;AL$3))</f>
        <v>0</v>
      </c>
      <c r="AM9" s="175" t="b">
        <f>OR(AND($AD9,$AE9&lt;AM$3,$AF9&lt;AM$3),AND(NOT($AD9),$AE9&gt;AM$3,$AF9&gt;AM$3))</f>
        <v>1</v>
      </c>
      <c r="AN9" s="175" t="b">
        <f>OR(AND($AD9,$AE9&lt;AN$3,$AF9&lt;AN$3),AND(NOT($AD9),$AE9&gt;AN$3,$AF9&gt;AN$3))</f>
        <v>1</v>
      </c>
      <c r="AO9" s="175" t="b">
        <f>OR(AND($AD9,$AE9&lt;AO$3,$AF9&lt;AO$3),AND(NOT($AD9),$AE9&gt;AO$3,$AF9&gt;AO$3))</f>
        <v>1</v>
      </c>
      <c r="AP9" s="175" t="b">
        <f>OR(AND($AD9,$AE9&lt;AP$3,$AF9&lt;AP$3),AND(NOT($AD9),$AE9&gt;AP$3,$AF9&gt;AP$3))</f>
        <v>1</v>
      </c>
      <c r="AQ9" s="175" t="b">
        <f>OR(AND($AD9,$AE9&lt;AQ$3,$AF9&lt;AQ$3),AND(NOT($AD9),$AE9&gt;AQ$3,$AF9&gt;AQ$3))</f>
        <v>1</v>
      </c>
      <c r="AR9" s="175" t="b">
        <f>OR(AND($AD9,$AE9&lt;AR$3,$AF9&lt;AR$3),AND(NOT($AD9),$AE9&gt;AR$3,$AF9&gt;AR$3))</f>
        <v>1</v>
      </c>
      <c r="AS9" s="175" t="b">
        <f>OR(AND($AD9,$AE9&lt;AS$3,$AF9&lt;AS$3),AND(NOT($AD9),$AE9&gt;AS$3,$AF9&gt;AS$3))</f>
        <v>1</v>
      </c>
      <c r="AT9" s="175" t="b">
        <f>OR(AND($AD9,$AE9&lt;AT$3,$AF9&lt;AT$3),AND(NOT($AD9),$AE9&gt;AT$3,$AF9&gt;AT$3))</f>
        <v>1</v>
      </c>
      <c r="AU9" s="175" t="b">
        <f>OR(AND($AD9,$AE9&lt;AU$3,$AF9&lt;AU$3),AND(NOT($AD9),$AE9&gt;AU$3,$AF9&gt;AU$3))</f>
        <v>1</v>
      </c>
      <c r="AV9" s="175"/>
      <c r="AW9" s="175">
        <f t="shared" si="8"/>
        <v>0</v>
      </c>
      <c r="AX9" s="175">
        <f t="shared" si="2"/>
        <v>0</v>
      </c>
      <c r="AY9" s="175">
        <f t="shared" si="2"/>
        <v>0</v>
      </c>
      <c r="AZ9" s="175">
        <f t="shared" si="2"/>
        <v>0</v>
      </c>
      <c r="BA9" s="175">
        <f t="shared" si="2"/>
        <v>0</v>
      </c>
      <c r="BB9" s="175">
        <f t="shared" si="2"/>
        <v>-0.81915683318788313</v>
      </c>
      <c r="BC9" s="175">
        <f t="shared" si="2"/>
        <v>-1.1468195664630363</v>
      </c>
      <c r="BD9" s="175">
        <f t="shared" si="2"/>
        <v>-1.4744822997381897</v>
      </c>
      <c r="BE9" s="175">
        <f t="shared" si="2"/>
        <v>-1.8021450330133428</v>
      </c>
      <c r="BF9" s="175">
        <f t="shared" si="2"/>
        <v>-2.1298077662884962</v>
      </c>
      <c r="BG9" s="175">
        <f t="shared" si="2"/>
        <v>-2.4574704995636494</v>
      </c>
      <c r="BH9" s="175">
        <f t="shared" si="2"/>
        <v>-2.7851332328388025</v>
      </c>
      <c r="BI9" s="175">
        <f t="shared" si="2"/>
        <v>-3.1127959661139557</v>
      </c>
      <c r="BJ9" s="175">
        <f t="shared" si="2"/>
        <v>-3.4404586993891093</v>
      </c>
      <c r="BK9" s="175"/>
      <c r="BL9" s="175">
        <f t="shared" si="9"/>
        <v>0</v>
      </c>
      <c r="BM9" s="175">
        <f t="shared" si="3"/>
        <v>0</v>
      </c>
      <c r="BN9" s="175">
        <f t="shared" si="3"/>
        <v>0</v>
      </c>
      <c r="BO9" s="175">
        <f t="shared" si="3"/>
        <v>0</v>
      </c>
      <c r="BP9" s="175">
        <f t="shared" si="3"/>
        <v>0</v>
      </c>
      <c r="BQ9" s="175">
        <f t="shared" si="3"/>
        <v>17.729795238802417</v>
      </c>
      <c r="BR9" s="175">
        <f t="shared" si="3"/>
        <v>17.821713334323384</v>
      </c>
      <c r="BS9" s="175">
        <f t="shared" si="3"/>
        <v>17.913631429844354</v>
      </c>
      <c r="BT9" s="175">
        <f t="shared" si="3"/>
        <v>18.005549525365321</v>
      </c>
      <c r="BU9" s="175">
        <f t="shared" si="3"/>
        <v>18.097467620886288</v>
      </c>
      <c r="BV9" s="175">
        <f t="shared" si="3"/>
        <v>18.189385716407255</v>
      </c>
      <c r="BW9" s="175">
        <f t="shared" si="3"/>
        <v>18.281303811928222</v>
      </c>
      <c r="BX9" s="175">
        <f t="shared" si="3"/>
        <v>18.373221907449189</v>
      </c>
      <c r="BY9" s="175">
        <f t="shared" si="3"/>
        <v>18.465140002970156</v>
      </c>
      <c r="BZ9" s="175"/>
      <c r="CA9" s="175">
        <f t="shared" si="10"/>
        <v>0</v>
      </c>
      <c r="CB9" s="175">
        <f t="shared" si="11"/>
        <v>0</v>
      </c>
      <c r="CC9" s="175">
        <f t="shared" si="12"/>
        <v>0</v>
      </c>
      <c r="CD9" s="175">
        <f t="shared" si="13"/>
        <v>0</v>
      </c>
      <c r="CE9" s="175">
        <f t="shared" si="14"/>
        <v>0</v>
      </c>
      <c r="CF9" s="175">
        <f t="shared" si="15"/>
        <v>17.783225346514261</v>
      </c>
      <c r="CG9" s="175">
        <f t="shared" si="16"/>
        <v>17.896515485119963</v>
      </c>
      <c r="CH9" s="175">
        <f t="shared" si="17"/>
        <v>18.009805623725672</v>
      </c>
      <c r="CI9" s="175">
        <f t="shared" si="18"/>
        <v>18.123095762331374</v>
      </c>
      <c r="CJ9" s="175">
        <f t="shared" si="19"/>
        <v>18.23638590093708</v>
      </c>
      <c r="CK9" s="175">
        <f t="shared" si="20"/>
        <v>18.349676039542782</v>
      </c>
      <c r="CL9" s="175">
        <f t="shared" si="21"/>
        <v>18.462966178148484</v>
      </c>
      <c r="CM9" s="175">
        <f t="shared" si="22"/>
        <v>18.57625631675419</v>
      </c>
      <c r="CN9" s="175">
        <f t="shared" si="23"/>
        <v>18.689546455359896</v>
      </c>
      <c r="CO9" s="175"/>
      <c r="CP9" s="175">
        <f>IFERROR(IF(AH9,($AE9-$AF9)/LN(($AE9-AH$3)/($AF9-AH$3)),0),"")</f>
        <v>0</v>
      </c>
      <c r="CQ9" s="175">
        <f>IFERROR(IF(AI9,($AE9-$AF9)/LN(($AE9-AI$3)/($AF9-AI$3)),0),"")</f>
        <v>0</v>
      </c>
      <c r="CR9" s="175">
        <f>IFERROR(IF(AJ9,($AE9-$AF9)/LN(($AE9-AJ$3)/($AF9-AJ$3)),0),"")</f>
        <v>0</v>
      </c>
      <c r="CS9" s="175">
        <f>IFERROR(IF(AK9,($AE9-$AF9)/LN(($AE9-AK$3)/($AF9-AK$3)),0),"")</f>
        <v>0</v>
      </c>
      <c r="CT9" s="175">
        <f>IFERROR(IF(AL9,($AE9-$AF9)/LN(($AE9-AL$3)/($AF9-AL$3)),0),"")</f>
        <v>0</v>
      </c>
      <c r="CU9" s="175">
        <f>IFERROR(IF(AM9,($AE9-$AF9)/LN(($AE9-AM$3)/($AF9-AM$3)),0),"")</f>
        <v>-2.1640425613334453</v>
      </c>
      <c r="CV9" s="175">
        <f>IFERROR(IF(AN9,($AE9-$AF9)/LN(($AE9-AN$3)/($AF9-AN$3)),0),"")</f>
        <v>-3.2740700038118744</v>
      </c>
      <c r="CW9" s="175">
        <f>IFERROR(IF(AO9,($AE9-$AF9)/LN(($AE9-AO$3)/($AF9-AO$3)),0),"")</f>
        <v>-4.3280851226668906</v>
      </c>
      <c r="CX9" s="175">
        <f>IFERROR(IF(AP9,($AE9-$AF9)/LN(($AE9-AP$3)/($AF9-AP$3)),0),"")</f>
        <v>-5.3608208786743301</v>
      </c>
      <c r="CY9" s="175">
        <f>IFERROR(IF(AQ9,($AE9-$AF9)/LN(($AE9-AQ$3)/($AF9-AQ$3)),0),"")</f>
        <v>-6.3829294357033293</v>
      </c>
      <c r="CZ9" s="175">
        <f>IFERROR(IF(AR9,($AE9-$AF9)/LN(($AE9-AR$3)/($AF9-AR$3)),0),"")</f>
        <v>-7.3989103871292947</v>
      </c>
      <c r="DA9" s="175">
        <f>IFERROR(IF(AS9,($AE9-$AF9)/LN(($AE9-AS$3)/($AF9-AS$3)),0),"")</f>
        <v>-8.4110197561713864</v>
      </c>
      <c r="DB9" s="175">
        <f>IFERROR(IF(AT9,($AE9-$AF9)/LN(($AE9-AT$3)/($AF9-AT$3)),0),"")</f>
        <v>-9.4205208067835216</v>
      </c>
      <c r="DC9" s="175">
        <f>IFERROR(IF(AU9,($AE9-$AF9)/LN(($AE9-AU$3)/($AF9-AU$3)),0),"")</f>
        <v>-10.428178490346623</v>
      </c>
      <c r="DD9" s="175"/>
      <c r="DE9" s="175">
        <f t="shared" si="24"/>
        <v>0</v>
      </c>
      <c r="DF9" s="175">
        <f t="shared" si="5"/>
        <v>0</v>
      </c>
      <c r="DG9" s="175">
        <f t="shared" si="5"/>
        <v>0</v>
      </c>
      <c r="DH9" s="175">
        <f t="shared" si="5"/>
        <v>0</v>
      </c>
      <c r="DI9" s="175">
        <f t="shared" si="5"/>
        <v>0</v>
      </c>
      <c r="DJ9" s="175">
        <f t="shared" si="5"/>
        <v>6.7497072896772323</v>
      </c>
      <c r="DK9" s="175">
        <f t="shared" si="5"/>
        <v>10.450166183905836</v>
      </c>
      <c r="DL9" s="175">
        <f t="shared" si="5"/>
        <v>14.030795858252944</v>
      </c>
      <c r="DM9" s="175">
        <f t="shared" si="5"/>
        <v>17.587103364932027</v>
      </c>
      <c r="DN9" s="175">
        <f t="shared" si="5"/>
        <v>21.144844524276177</v>
      </c>
      <c r="DO9" s="175">
        <f t="shared" si="5"/>
        <v>24.712987441956766</v>
      </c>
      <c r="DP9" s="175">
        <f t="shared" si="5"/>
        <v>28.294860658847163</v>
      </c>
      <c r="DQ9" s="175">
        <f t="shared" si="5"/>
        <v>31.891556965231477</v>
      </c>
      <c r="DR9" s="175">
        <f t="shared" si="5"/>
        <v>35.50320037224089</v>
      </c>
      <c r="DS9" s="175"/>
      <c r="DT9" s="175">
        <f>IFERROR(IF(AH9,IF($AD9,8.5855*ABS(CP9)^1.0557,6.1969*ABS(CP9)^1.0614),0),"")</f>
        <v>0</v>
      </c>
      <c r="DU9" s="175">
        <f>IFERROR(IF(AI9,IF($AD9,8.5855*ABS(CQ9)^1.0557,6.1969*ABS(CQ9)^1.0614),0),"")</f>
        <v>0</v>
      </c>
      <c r="DV9" s="175">
        <f>IFERROR(IF(AJ9,IF($AD9,8.5855*ABS(CR9)^1.0557,6.1969*ABS(CR9)^1.0614),0),"")</f>
        <v>0</v>
      </c>
      <c r="DW9" s="175">
        <f>IFERROR(IF(AK9,IF($AD9,8.5855*ABS(CS9)^1.0557,6.1969*ABS(CS9)^1.0614),0),"")</f>
        <v>0</v>
      </c>
      <c r="DX9" s="175">
        <f>IFERROR(IF(AL9,IF($AD9,8.5855*ABS(CT9)^1.0557,6.1969*ABS(CT9)^1.0614),0),"")</f>
        <v>0</v>
      </c>
      <c r="DY9" s="175">
        <f>IFERROR(IF(AM9,IF($AD9,8.5855*ABS(CU9)^1.0557,6.1969*ABS(CU9)^1.0614),0),"")</f>
        <v>19.395710602520783</v>
      </c>
      <c r="DZ9" s="175">
        <f>IFERROR(IF(AN9,IF($AD9,8.5855*ABS(CV9)^1.0557,6.1969*ABS(CV9)^1.0614),0),"")</f>
        <v>30.029213172143209</v>
      </c>
      <c r="EA9" s="175">
        <f>IFERROR(IF(AO9,IF($AD9,8.5855*ABS(CW9)^1.0557,6.1969*ABS(CW9)^1.0614),0),"")</f>
        <v>40.318378903025703</v>
      </c>
      <c r="EB9" s="175">
        <f>IFERROR(IF(AP9,IF($AD9,8.5855*ABS(CX9)^1.0557,6.1969*ABS(CX9)^1.0614),0),"")</f>
        <v>50.537653347505824</v>
      </c>
      <c r="EC9" s="175">
        <f>IFERROR(IF(AQ9,IF($AD9,8.5855*ABS(CY9)^1.0557,6.1969*ABS(CY9)^1.0614),0),"")</f>
        <v>60.76104748355224</v>
      </c>
      <c r="ED9" s="175">
        <f>IFERROR(IF(AR9,IF($AD9,8.5855*ABS(CZ9)^1.0557,6.1969*ABS(CZ9)^1.0614),0),"")</f>
        <v>71.014331729760826</v>
      </c>
      <c r="EE9" s="175">
        <f>IFERROR(IF(AS9,IF($AD9,8.5855*ABS(DA9)^1.0557,6.1969*ABS(DA9)^1.0614),0),"")</f>
        <v>81.307070858756219</v>
      </c>
      <c r="EF9" s="175">
        <f>IFERROR(IF(AT9,IF($AD9,8.5855*ABS(DB9)^1.0557,6.1969*ABS(DB9)^1.0614),0),"")</f>
        <v>91.642405072504246</v>
      </c>
      <c r="EG9" s="175">
        <f>IFERROR(IF(AU9,IF($AD9,8.5855*ABS(DC9)^1.0557,6.1969*ABS(DC9)^1.0614),0),"")</f>
        <v>102.02069072483016</v>
      </c>
      <c r="EH9" s="175"/>
      <c r="EI9" s="127"/>
      <c r="EJ9" s="127"/>
      <c r="EK9" s="127"/>
      <c r="EL9" s="127"/>
      <c r="EM9" s="127"/>
      <c r="EN9" s="127"/>
      <c r="EO9" s="127"/>
    </row>
    <row r="10" spans="1:145" customFormat="1" ht="20.100000000000001" customHeight="1" x14ac:dyDescent="0.3">
      <c r="B10" s="122" t="s">
        <v>81</v>
      </c>
      <c r="C10" s="186">
        <v>8</v>
      </c>
      <c r="D10" s="123" t="s">
        <v>82</v>
      </c>
      <c r="E10" s="130"/>
      <c r="F10" s="131">
        <f t="shared" si="6"/>
        <v>18</v>
      </c>
      <c r="G10" s="131">
        <f>IF(F10&lt;&gt;"",IF(AD10,F10+$C$16,F10-$C$15),"")</f>
        <v>21</v>
      </c>
      <c r="H10" s="133" t="str">
        <f>IFERROR(IF(AH10,ABS(DT10),""),"")</f>
        <v/>
      </c>
      <c r="I10" s="133" t="str">
        <f>IFERROR(IF(AI10,ABS(DU10),""),"")</f>
        <v/>
      </c>
      <c r="J10" s="133" t="str">
        <f>IFERROR(IF(AJ10,ABS(DV10),""),"")</f>
        <v/>
      </c>
      <c r="K10" s="133" t="str">
        <f>IFERROR(IF(AK10,ABS(DW10),""),"")</f>
        <v/>
      </c>
      <c r="L10" s="133" t="str">
        <f>IFERROR(IF(AL10,ABS(DX10),""),"")</f>
        <v/>
      </c>
      <c r="M10" s="133" t="str">
        <f>IFERROR(IF(AM10,ABS(DY10),""),"")</f>
        <v/>
      </c>
      <c r="N10" s="133" t="str">
        <f>IFERROR(IF(AN10,ABS(DZ10),""),"")</f>
        <v/>
      </c>
      <c r="O10" s="133">
        <f>IFERROR(IF(AO10,ABS(EA10),""),"")</f>
        <v>19.395710602520783</v>
      </c>
      <c r="P10" s="133">
        <f>IFERROR(IF(AP10,ABS(EB10),""),"")</f>
        <v>30.029213172143209</v>
      </c>
      <c r="Q10" s="133">
        <f>IFERROR(IF(AQ10,ABS(EC10),""),"")</f>
        <v>40.318378903025703</v>
      </c>
      <c r="R10" s="133">
        <f>IFERROR(IF(AR10,ABS(ED10),""),"")</f>
        <v>50.537653347505824</v>
      </c>
      <c r="S10" s="133">
        <f>IFERROR(IF(AS10,ABS(EE10),""),"")</f>
        <v>60.76104748355224</v>
      </c>
      <c r="T10" s="133">
        <f>IFERROR(IF(AT10,ABS(EF10),""),"")</f>
        <v>71.014331729760826</v>
      </c>
      <c r="U10" s="133">
        <f>IFERROR(IF(AU10,ABS(EG10),""),"")</f>
        <v>81.307070858756219</v>
      </c>
      <c r="W10" s="135" t="s">
        <v>167</v>
      </c>
      <c r="X10" s="179">
        <f>X4*PI()*Hossz/1000</f>
        <v>3.5185837720205684E-2</v>
      </c>
      <c r="Y10" s="177" t="s">
        <v>107</v>
      </c>
      <c r="Z10" s="177"/>
      <c r="AA10" s="177"/>
      <c r="AB10" s="175"/>
      <c r="AC10" s="175">
        <f>MOD(ROW(A10),4)</f>
        <v>2</v>
      </c>
      <c r="AD10" s="175" t="b">
        <f>IF(MOD(ROW(A10),2)=0,ABS(F10-MAX(C25:C38))&gt;ABS(F10-MIN(C25:C38)),AD9)</f>
        <v>1</v>
      </c>
      <c r="AE10" s="178">
        <f>IF(MOD(ROW(A10),2)=0,F10,F9)</f>
        <v>18</v>
      </c>
      <c r="AF10" s="178">
        <f>IF(MOD(ROW(B10),2)=0,G10,G9)</f>
        <v>21</v>
      </c>
      <c r="AG10" s="178">
        <f t="shared" si="7"/>
        <v>19.5</v>
      </c>
      <c r="AH10" s="175" t="b">
        <f>OR(AND($AD10,$AE10&lt;AH$3,$AF10&lt;AH$3),AND(NOT($AD10),$AE10&gt;AH$3,$AF10&gt;AH$3))</f>
        <v>0</v>
      </c>
      <c r="AI10" s="175" t="b">
        <f>OR(AND($AD10,$AE10&lt;AI$3,$AF10&lt;AI$3),AND(NOT($AD10),$AE10&gt;AI$3,$AF10&gt;AI$3))</f>
        <v>0</v>
      </c>
      <c r="AJ10" s="175" t="b">
        <f>OR(AND($AD10,$AE10&lt;AJ$3,$AF10&lt;AJ$3),AND(NOT($AD10),$AE10&gt;AJ$3,$AF10&gt;AJ$3))</f>
        <v>0</v>
      </c>
      <c r="AK10" s="175" t="b">
        <f>OR(AND($AD10,$AE10&lt;AK$3,$AF10&lt;AK$3),AND(NOT($AD10),$AE10&gt;AK$3,$AF10&gt;AK$3))</f>
        <v>0</v>
      </c>
      <c r="AL10" s="175" t="b">
        <f>OR(AND($AD10,$AE10&lt;AL$3,$AF10&lt;AL$3),AND(NOT($AD10),$AE10&gt;AL$3,$AF10&gt;AL$3))</f>
        <v>0</v>
      </c>
      <c r="AM10" s="175" t="b">
        <f>OR(AND($AD10,$AE10&lt;AM$3,$AF10&lt;AM$3),AND(NOT($AD10),$AE10&gt;AM$3,$AF10&gt;AM$3))</f>
        <v>0</v>
      </c>
      <c r="AN10" s="175" t="b">
        <f>OR(AND($AD10,$AE10&lt;AN$3,$AF10&lt;AN$3),AND(NOT($AD10),$AE10&gt;AN$3,$AF10&gt;AN$3))</f>
        <v>0</v>
      </c>
      <c r="AO10" s="175" t="b">
        <f>OR(AND($AD10,$AE10&lt;AO$3,$AF10&lt;AO$3),AND(NOT($AD10),$AE10&gt;AO$3,$AF10&gt;AO$3))</f>
        <v>1</v>
      </c>
      <c r="AP10" s="175" t="b">
        <f>OR(AND($AD10,$AE10&lt;AP$3,$AF10&lt;AP$3),AND(NOT($AD10),$AE10&gt;AP$3,$AF10&gt;AP$3))</f>
        <v>1</v>
      </c>
      <c r="AQ10" s="175" t="b">
        <f>OR(AND($AD10,$AE10&lt;AQ$3,$AF10&lt;AQ$3),AND(NOT($AD10),$AE10&gt;AQ$3,$AF10&gt;AQ$3))</f>
        <v>1</v>
      </c>
      <c r="AR10" s="175" t="b">
        <f>OR(AND($AD10,$AE10&lt;AR$3,$AF10&lt;AR$3),AND(NOT($AD10),$AE10&gt;AR$3,$AF10&gt;AR$3))</f>
        <v>1</v>
      </c>
      <c r="AS10" s="175" t="b">
        <f>OR(AND($AD10,$AE10&lt;AS$3,$AF10&lt;AS$3),AND(NOT($AD10),$AE10&gt;AS$3,$AF10&gt;AS$3))</f>
        <v>1</v>
      </c>
      <c r="AT10" s="175" t="b">
        <f>OR(AND($AD10,$AE10&lt;AT$3,$AF10&lt;AT$3),AND(NOT($AD10),$AE10&gt;AT$3,$AF10&gt;AT$3))</f>
        <v>1</v>
      </c>
      <c r="AU10" s="175" t="b">
        <f>OR(AND($AD10,$AE10&lt;AU$3,$AF10&lt;AU$3),AND(NOT($AD10),$AE10&gt;AU$3,$AF10&gt;AU$3))</f>
        <v>1</v>
      </c>
      <c r="AV10" s="175"/>
      <c r="AW10" s="175">
        <f t="shared" si="8"/>
        <v>0</v>
      </c>
      <c r="AX10" s="175">
        <f t="shared" si="2"/>
        <v>0</v>
      </c>
      <c r="AY10" s="175">
        <f t="shared" si="2"/>
        <v>0</v>
      </c>
      <c r="AZ10" s="175">
        <f t="shared" si="2"/>
        <v>0</v>
      </c>
      <c r="BA10" s="175">
        <f t="shared" si="2"/>
        <v>0</v>
      </c>
      <c r="BB10" s="175">
        <f t="shared" si="2"/>
        <v>0</v>
      </c>
      <c r="BC10" s="175">
        <f t="shared" si="2"/>
        <v>0</v>
      </c>
      <c r="BD10" s="175">
        <f t="shared" si="2"/>
        <v>-0.81915683318788313</v>
      </c>
      <c r="BE10" s="175">
        <f t="shared" si="2"/>
        <v>-1.1468195664630363</v>
      </c>
      <c r="BF10" s="175">
        <f t="shared" si="2"/>
        <v>-1.4744822997381897</v>
      </c>
      <c r="BG10" s="175">
        <f t="shared" si="2"/>
        <v>-1.8021450330133428</v>
      </c>
      <c r="BH10" s="175">
        <f t="shared" si="2"/>
        <v>-2.1298077662884962</v>
      </c>
      <c r="BI10" s="175">
        <f t="shared" si="2"/>
        <v>-2.4574704995636494</v>
      </c>
      <c r="BJ10" s="175">
        <f t="shared" si="2"/>
        <v>-2.7851332328388025</v>
      </c>
      <c r="BK10" s="175"/>
      <c r="BL10" s="175">
        <f t="shared" si="9"/>
        <v>0</v>
      </c>
      <c r="BM10" s="175">
        <f t="shared" si="3"/>
        <v>0</v>
      </c>
      <c r="BN10" s="175">
        <f t="shared" si="3"/>
        <v>0</v>
      </c>
      <c r="BO10" s="175">
        <f t="shared" si="3"/>
        <v>0</v>
      </c>
      <c r="BP10" s="175">
        <f t="shared" si="3"/>
        <v>0</v>
      </c>
      <c r="BQ10" s="175">
        <f t="shared" si="3"/>
        <v>0</v>
      </c>
      <c r="BR10" s="175">
        <f t="shared" si="3"/>
        <v>0</v>
      </c>
      <c r="BS10" s="175">
        <f t="shared" si="3"/>
        <v>19.729795238802417</v>
      </c>
      <c r="BT10" s="175">
        <f t="shared" si="3"/>
        <v>19.821713334323384</v>
      </c>
      <c r="BU10" s="175">
        <f t="shared" si="3"/>
        <v>19.913631429844354</v>
      </c>
      <c r="BV10" s="175">
        <f t="shared" si="3"/>
        <v>20.005549525365321</v>
      </c>
      <c r="BW10" s="175">
        <f t="shared" si="3"/>
        <v>20.097467620886288</v>
      </c>
      <c r="BX10" s="175">
        <f t="shared" si="3"/>
        <v>20.189385716407255</v>
      </c>
      <c r="BY10" s="175">
        <f t="shared" si="3"/>
        <v>20.281303811928222</v>
      </c>
      <c r="BZ10" s="175"/>
      <c r="CA10" s="175">
        <f t="shared" si="10"/>
        <v>0</v>
      </c>
      <c r="CB10" s="175">
        <f t="shared" si="11"/>
        <v>0</v>
      </c>
      <c r="CC10" s="175">
        <f t="shared" si="12"/>
        <v>0</v>
      </c>
      <c r="CD10" s="175">
        <f t="shared" si="13"/>
        <v>0</v>
      </c>
      <c r="CE10" s="175">
        <f t="shared" si="14"/>
        <v>0</v>
      </c>
      <c r="CF10" s="175">
        <f t="shared" si="15"/>
        <v>0</v>
      </c>
      <c r="CG10" s="175">
        <f t="shared" si="16"/>
        <v>0</v>
      </c>
      <c r="CH10" s="175">
        <f t="shared" si="17"/>
        <v>19.783225346514261</v>
      </c>
      <c r="CI10" s="175">
        <f t="shared" si="18"/>
        <v>19.896515485119963</v>
      </c>
      <c r="CJ10" s="175">
        <f t="shared" si="19"/>
        <v>20.009805623725672</v>
      </c>
      <c r="CK10" s="175">
        <f t="shared" si="20"/>
        <v>20.123095762331374</v>
      </c>
      <c r="CL10" s="175">
        <f t="shared" si="21"/>
        <v>20.23638590093708</v>
      </c>
      <c r="CM10" s="175">
        <f t="shared" si="22"/>
        <v>20.349676039542782</v>
      </c>
      <c r="CN10" s="175">
        <f t="shared" si="23"/>
        <v>20.462966178148484</v>
      </c>
      <c r="CO10" s="175"/>
      <c r="CP10" s="175">
        <f>IFERROR(IF(AH10,($AE10-$AF10)/LN(($AE10-AH$3)/($AF10-AH$3)),0),"")</f>
        <v>0</v>
      </c>
      <c r="CQ10" s="175">
        <f>IFERROR(IF(AI10,($AE10-$AF10)/LN(($AE10-AI$3)/($AF10-AI$3)),0),"")</f>
        <v>0</v>
      </c>
      <c r="CR10" s="175">
        <f>IFERROR(IF(AJ10,($AE10-$AF10)/LN(($AE10-AJ$3)/($AF10-AJ$3)),0),"")</f>
        <v>0</v>
      </c>
      <c r="CS10" s="175">
        <f>IFERROR(IF(AK10,($AE10-$AF10)/LN(($AE10-AK$3)/($AF10-AK$3)),0),"")</f>
        <v>0</v>
      </c>
      <c r="CT10" s="175">
        <f>IFERROR(IF(AL10,($AE10-$AF10)/LN(($AE10-AL$3)/($AF10-AL$3)),0),"")</f>
        <v>0</v>
      </c>
      <c r="CU10" s="175">
        <f>IFERROR(IF(AM10,($AE10-$AF10)/LN(($AE10-AM$3)/($AF10-AM$3)),0),"")</f>
        <v>0</v>
      </c>
      <c r="CV10" s="175">
        <f>IFERROR(IF(AN10,($AE10-$AF10)/LN(($AE10-AN$3)/($AF10-AN$3)),0),"")</f>
        <v>0</v>
      </c>
      <c r="CW10" s="175">
        <f>IFERROR(IF(AO10,($AE10-$AF10)/LN(($AE10-AO$3)/($AF10-AO$3)),0),"")</f>
        <v>-2.1640425613334453</v>
      </c>
      <c r="CX10" s="175">
        <f>IFERROR(IF(AP10,($AE10-$AF10)/LN(($AE10-AP$3)/($AF10-AP$3)),0),"")</f>
        <v>-3.2740700038118744</v>
      </c>
      <c r="CY10" s="175">
        <f>IFERROR(IF(AQ10,($AE10-$AF10)/LN(($AE10-AQ$3)/($AF10-AQ$3)),0),"")</f>
        <v>-4.3280851226668906</v>
      </c>
      <c r="CZ10" s="175">
        <f>IFERROR(IF(AR10,($AE10-$AF10)/LN(($AE10-AR$3)/($AF10-AR$3)),0),"")</f>
        <v>-5.3608208786743301</v>
      </c>
      <c r="DA10" s="175">
        <f>IFERROR(IF(AS10,($AE10-$AF10)/LN(($AE10-AS$3)/($AF10-AS$3)),0),"")</f>
        <v>-6.3829294357033293</v>
      </c>
      <c r="DB10" s="175">
        <f>IFERROR(IF(AT10,($AE10-$AF10)/LN(($AE10-AT$3)/($AF10-AT$3)),0),"")</f>
        <v>-7.3989103871292947</v>
      </c>
      <c r="DC10" s="175">
        <f>IFERROR(IF(AU10,($AE10-$AF10)/LN(($AE10-AU$3)/($AF10-AU$3)),0),"")</f>
        <v>-8.4110197561713864</v>
      </c>
      <c r="DD10" s="175"/>
      <c r="DE10" s="175">
        <f t="shared" si="24"/>
        <v>0</v>
      </c>
      <c r="DF10" s="175">
        <f t="shared" si="5"/>
        <v>0</v>
      </c>
      <c r="DG10" s="175">
        <f t="shared" si="5"/>
        <v>0</v>
      </c>
      <c r="DH10" s="175">
        <f t="shared" si="5"/>
        <v>0</v>
      </c>
      <c r="DI10" s="175">
        <f t="shared" si="5"/>
        <v>0</v>
      </c>
      <c r="DJ10" s="175">
        <f t="shared" si="5"/>
        <v>0</v>
      </c>
      <c r="DK10" s="175">
        <f t="shared" si="5"/>
        <v>0</v>
      </c>
      <c r="DL10" s="175">
        <f t="shared" si="5"/>
        <v>6.7497072896772323</v>
      </c>
      <c r="DM10" s="175">
        <f t="shared" si="5"/>
        <v>10.450166183905836</v>
      </c>
      <c r="DN10" s="175">
        <f t="shared" si="5"/>
        <v>14.030795858252944</v>
      </c>
      <c r="DO10" s="175">
        <f t="shared" si="5"/>
        <v>17.587103364932027</v>
      </c>
      <c r="DP10" s="175">
        <f t="shared" si="5"/>
        <v>21.144844524276177</v>
      </c>
      <c r="DQ10" s="175">
        <f t="shared" si="5"/>
        <v>24.712987441956766</v>
      </c>
      <c r="DR10" s="175">
        <f t="shared" si="5"/>
        <v>28.294860658847163</v>
      </c>
      <c r="DS10" s="175"/>
      <c r="DT10" s="175">
        <f>IFERROR(IF(AH10,IF($AD10,8.5855*ABS(CP10)^1.0557,6.1969*ABS(CP10)^1.0614),0),"")</f>
        <v>0</v>
      </c>
      <c r="DU10" s="175">
        <f>IFERROR(IF(AI10,IF($AD10,8.5855*ABS(CQ10)^1.0557,6.1969*ABS(CQ10)^1.0614),0),"")</f>
        <v>0</v>
      </c>
      <c r="DV10" s="175">
        <f>IFERROR(IF(AJ10,IF($AD10,8.5855*ABS(CR10)^1.0557,6.1969*ABS(CR10)^1.0614),0),"")</f>
        <v>0</v>
      </c>
      <c r="DW10" s="175">
        <f>IFERROR(IF(AK10,IF($AD10,8.5855*ABS(CS10)^1.0557,6.1969*ABS(CS10)^1.0614),0),"")</f>
        <v>0</v>
      </c>
      <c r="DX10" s="175">
        <f>IFERROR(IF(AL10,IF($AD10,8.5855*ABS(CT10)^1.0557,6.1969*ABS(CT10)^1.0614),0),"")</f>
        <v>0</v>
      </c>
      <c r="DY10" s="175">
        <f>IFERROR(IF(AM10,IF($AD10,8.5855*ABS(CU10)^1.0557,6.1969*ABS(CU10)^1.0614),0),"")</f>
        <v>0</v>
      </c>
      <c r="DZ10" s="175">
        <f>IFERROR(IF(AN10,IF($AD10,8.5855*ABS(CV10)^1.0557,6.1969*ABS(CV10)^1.0614),0),"")</f>
        <v>0</v>
      </c>
      <c r="EA10" s="175">
        <f>IFERROR(IF(AO10,IF($AD10,8.5855*ABS(CW10)^1.0557,6.1969*ABS(CW10)^1.0614),0),"")</f>
        <v>19.395710602520783</v>
      </c>
      <c r="EB10" s="175">
        <f>IFERROR(IF(AP10,IF($AD10,8.5855*ABS(CX10)^1.0557,6.1969*ABS(CX10)^1.0614),0),"")</f>
        <v>30.029213172143209</v>
      </c>
      <c r="EC10" s="175">
        <f>IFERROR(IF(AQ10,IF($AD10,8.5855*ABS(CY10)^1.0557,6.1969*ABS(CY10)^1.0614),0),"")</f>
        <v>40.318378903025703</v>
      </c>
      <c r="ED10" s="175">
        <f>IFERROR(IF(AR10,IF($AD10,8.5855*ABS(CZ10)^1.0557,6.1969*ABS(CZ10)^1.0614),0),"")</f>
        <v>50.537653347505824</v>
      </c>
      <c r="EE10" s="175">
        <f>IFERROR(IF(AS10,IF($AD10,8.5855*ABS(DA10)^1.0557,6.1969*ABS(DA10)^1.0614),0),"")</f>
        <v>60.76104748355224</v>
      </c>
      <c r="EF10" s="175">
        <f>IFERROR(IF(AT10,IF($AD10,8.5855*ABS(DB10)^1.0557,6.1969*ABS(DB10)^1.0614),0),"")</f>
        <v>71.014331729760826</v>
      </c>
      <c r="EG10" s="175">
        <f>IFERROR(IF(AU10,IF($AD10,8.5855*ABS(DC10)^1.0557,6.1969*ABS(DC10)^1.0614),0),"")</f>
        <v>81.307070858756219</v>
      </c>
      <c r="EH10" s="175"/>
      <c r="EI10" s="127"/>
      <c r="EJ10" s="127"/>
      <c r="EK10" s="127"/>
      <c r="EL10" s="127"/>
      <c r="EM10" s="127"/>
      <c r="EN10" s="127"/>
      <c r="EO10" s="127"/>
    </row>
    <row r="11" spans="1:145" customFormat="1" ht="20.100000000000001" customHeight="1" x14ac:dyDescent="0.3">
      <c r="B11" s="122" t="s">
        <v>83</v>
      </c>
      <c r="C11" s="186">
        <v>1000</v>
      </c>
      <c r="D11" s="123" t="s">
        <v>79</v>
      </c>
      <c r="E11" s="130"/>
      <c r="F11" s="131" t="str">
        <f t="shared" si="6"/>
        <v/>
      </c>
      <c r="G11" s="131" t="str">
        <f>IF(F11&lt;&gt;"",IF(AD11,F11+$C$16,F11-$C$15),"")</f>
        <v/>
      </c>
      <c r="H11" s="133" t="str">
        <f>IFERROR(IF(AH11,ABS(CA11),""),"")</f>
        <v/>
      </c>
      <c r="I11" s="133" t="str">
        <f>IFERROR(IF(AI11,ABS(CB11),""),"")</f>
        <v/>
      </c>
      <c r="J11" s="133" t="str">
        <f>IFERROR(IF(AJ11,ABS(CC11),""),"")</f>
        <v/>
      </c>
      <c r="K11" s="133" t="str">
        <f>IFERROR(IF(AK11,ABS(CD11),""),"")</f>
        <v/>
      </c>
      <c r="L11" s="133" t="str">
        <f>IFERROR(IF(AL11,ABS(CE11),""),"")</f>
        <v/>
      </c>
      <c r="M11" s="133" t="str">
        <f>IFERROR(IF(AM11,ABS(CF11),""),"")</f>
        <v/>
      </c>
      <c r="N11" s="133" t="str">
        <f>IFERROR(IF(AN11,ABS(CG11),""),"")</f>
        <v/>
      </c>
      <c r="O11" s="133">
        <f>IFERROR(IF(AO11,ABS(CH11),""),"")</f>
        <v>19.783225346514261</v>
      </c>
      <c r="P11" s="133">
        <f>IFERROR(IF(AP11,ABS(CI11),""),"")</f>
        <v>19.896515485119963</v>
      </c>
      <c r="Q11" s="133">
        <f>IFERROR(IF(AQ11,ABS(CJ11),""),"")</f>
        <v>20.009805623725672</v>
      </c>
      <c r="R11" s="133">
        <f>IFERROR(IF(AR11,ABS(CK11),""),"")</f>
        <v>20.123095762331374</v>
      </c>
      <c r="S11" s="133">
        <f>IFERROR(IF(AS11,ABS(CL11),""),"")</f>
        <v>20.23638590093708</v>
      </c>
      <c r="T11" s="133">
        <f>IFERROR(IF(AT11,ABS(CM11),""),"")</f>
        <v>20.349676039542782</v>
      </c>
      <c r="U11" s="133">
        <f>IFERROR(IF(AU11,ABS(CN11),""),"")</f>
        <v>20.462966178148484</v>
      </c>
      <c r="W11" s="135" t="s">
        <v>168</v>
      </c>
      <c r="X11" s="179">
        <f>(Csőköz*Csőszám*Hossz)/1000000</f>
        <v>0.29599999999999999</v>
      </c>
      <c r="Y11" s="177" t="s">
        <v>108</v>
      </c>
      <c r="Z11" s="177"/>
      <c r="AA11" s="177"/>
      <c r="AB11" s="175"/>
      <c r="AC11" s="175">
        <f>MOD(ROW(A11),4)</f>
        <v>3</v>
      </c>
      <c r="AD11" s="175" t="b">
        <f>IF(MOD(ROW(A11),2)=0,ABS(F11-MAX(C26:C39))&gt;ABS(F11-MIN(C26:C39)),AD10)</f>
        <v>1</v>
      </c>
      <c r="AE11" s="178">
        <f>IF(MOD(ROW(A11),2)=0,F11,F10)</f>
        <v>18</v>
      </c>
      <c r="AF11" s="178">
        <f>IF(MOD(ROW(B11),2)=0,G11,G10)</f>
        <v>21</v>
      </c>
      <c r="AG11" s="178">
        <f t="shared" si="7"/>
        <v>19.5</v>
      </c>
      <c r="AH11" s="175" t="b">
        <f>OR(AND($AD11,$AE11&lt;AH$3,$AF11&lt;AH$3),AND(NOT($AD11),$AE11&gt;AH$3,$AF11&gt;AH$3))</f>
        <v>0</v>
      </c>
      <c r="AI11" s="175" t="b">
        <f>OR(AND($AD11,$AE11&lt;AI$3,$AF11&lt;AI$3),AND(NOT($AD11),$AE11&gt;AI$3,$AF11&gt;AI$3))</f>
        <v>0</v>
      </c>
      <c r="AJ11" s="175" t="b">
        <f>OR(AND($AD11,$AE11&lt;AJ$3,$AF11&lt;AJ$3),AND(NOT($AD11),$AE11&gt;AJ$3,$AF11&gt;AJ$3))</f>
        <v>0</v>
      </c>
      <c r="AK11" s="175" t="b">
        <f>OR(AND($AD11,$AE11&lt;AK$3,$AF11&lt;AK$3),AND(NOT($AD11),$AE11&gt;AK$3,$AF11&gt;AK$3))</f>
        <v>0</v>
      </c>
      <c r="AL11" s="175" t="b">
        <f>OR(AND($AD11,$AE11&lt;AL$3,$AF11&lt;AL$3),AND(NOT($AD11),$AE11&gt;AL$3,$AF11&gt;AL$3))</f>
        <v>0</v>
      </c>
      <c r="AM11" s="175" t="b">
        <f>OR(AND($AD11,$AE11&lt;AM$3,$AF11&lt;AM$3),AND(NOT($AD11),$AE11&gt;AM$3,$AF11&gt;AM$3))</f>
        <v>0</v>
      </c>
      <c r="AN11" s="175" t="b">
        <f>OR(AND($AD11,$AE11&lt;AN$3,$AF11&lt;AN$3),AND(NOT($AD11),$AE11&gt;AN$3,$AF11&gt;AN$3))</f>
        <v>0</v>
      </c>
      <c r="AO11" s="175" t="b">
        <f>OR(AND($AD11,$AE11&lt;AO$3,$AF11&lt;AO$3),AND(NOT($AD11),$AE11&gt;AO$3,$AF11&gt;AO$3))</f>
        <v>1</v>
      </c>
      <c r="AP11" s="175" t="b">
        <f>OR(AND($AD11,$AE11&lt;AP$3,$AF11&lt;AP$3),AND(NOT($AD11),$AE11&gt;AP$3,$AF11&gt;AP$3))</f>
        <v>1</v>
      </c>
      <c r="AQ11" s="175" t="b">
        <f>OR(AND($AD11,$AE11&lt;AQ$3,$AF11&lt;AQ$3),AND(NOT($AD11),$AE11&gt;AQ$3,$AF11&gt;AQ$3))</f>
        <v>1</v>
      </c>
      <c r="AR11" s="175" t="b">
        <f>OR(AND($AD11,$AE11&lt;AR$3,$AF11&lt;AR$3),AND(NOT($AD11),$AE11&gt;AR$3,$AF11&gt;AR$3))</f>
        <v>1</v>
      </c>
      <c r="AS11" s="175" t="b">
        <f>OR(AND($AD11,$AE11&lt;AS$3,$AF11&lt;AS$3),AND(NOT($AD11),$AE11&gt;AS$3,$AF11&gt;AS$3))</f>
        <v>1</v>
      </c>
      <c r="AT11" s="175" t="b">
        <f>OR(AND($AD11,$AE11&lt;AT$3,$AF11&lt;AT$3),AND(NOT($AD11),$AE11&gt;AT$3,$AF11&gt;AT$3))</f>
        <v>1</v>
      </c>
      <c r="AU11" s="175" t="b">
        <f>OR(AND($AD11,$AE11&lt;AU$3,$AF11&lt;AU$3),AND(NOT($AD11),$AE11&gt;AU$3,$AF11&gt;AU$3))</f>
        <v>1</v>
      </c>
      <c r="AV11" s="175"/>
      <c r="AW11" s="175">
        <f t="shared" si="8"/>
        <v>0</v>
      </c>
      <c r="AX11" s="175">
        <f t="shared" si="2"/>
        <v>0</v>
      </c>
      <c r="AY11" s="175">
        <f t="shared" si="2"/>
        <v>0</v>
      </c>
      <c r="AZ11" s="175">
        <f t="shared" si="2"/>
        <v>0</v>
      </c>
      <c r="BA11" s="175">
        <f t="shared" si="2"/>
        <v>0</v>
      </c>
      <c r="BB11" s="175">
        <f t="shared" si="2"/>
        <v>0</v>
      </c>
      <c r="BC11" s="175">
        <f t="shared" si="2"/>
        <v>0</v>
      </c>
      <c r="BD11" s="175">
        <f t="shared" si="2"/>
        <v>-0.81915683318788313</v>
      </c>
      <c r="BE11" s="175">
        <f t="shared" si="2"/>
        <v>-1.1468195664630363</v>
      </c>
      <c r="BF11" s="175">
        <f t="shared" si="2"/>
        <v>-1.4744822997381897</v>
      </c>
      <c r="BG11" s="175">
        <f t="shared" si="2"/>
        <v>-1.8021450330133428</v>
      </c>
      <c r="BH11" s="175">
        <f t="shared" si="2"/>
        <v>-2.1298077662884962</v>
      </c>
      <c r="BI11" s="175">
        <f t="shared" si="2"/>
        <v>-2.4574704995636494</v>
      </c>
      <c r="BJ11" s="175">
        <f t="shared" si="2"/>
        <v>-2.7851332328388025</v>
      </c>
      <c r="BK11" s="175"/>
      <c r="BL11" s="175">
        <f t="shared" si="9"/>
        <v>0</v>
      </c>
      <c r="BM11" s="175">
        <f t="shared" si="3"/>
        <v>0</v>
      </c>
      <c r="BN11" s="175">
        <f t="shared" si="3"/>
        <v>0</v>
      </c>
      <c r="BO11" s="175">
        <f t="shared" si="3"/>
        <v>0</v>
      </c>
      <c r="BP11" s="175">
        <f t="shared" si="3"/>
        <v>0</v>
      </c>
      <c r="BQ11" s="175">
        <f t="shared" si="3"/>
        <v>0</v>
      </c>
      <c r="BR11" s="175">
        <f t="shared" si="3"/>
        <v>0</v>
      </c>
      <c r="BS11" s="175">
        <f t="shared" si="3"/>
        <v>19.729795238802417</v>
      </c>
      <c r="BT11" s="175">
        <f t="shared" si="3"/>
        <v>19.821713334323384</v>
      </c>
      <c r="BU11" s="175">
        <f t="shared" si="3"/>
        <v>19.913631429844354</v>
      </c>
      <c r="BV11" s="175">
        <f t="shared" si="3"/>
        <v>20.005549525365321</v>
      </c>
      <c r="BW11" s="175">
        <f t="shared" si="3"/>
        <v>20.097467620886288</v>
      </c>
      <c r="BX11" s="175">
        <f t="shared" si="3"/>
        <v>20.189385716407255</v>
      </c>
      <c r="BY11" s="175">
        <f t="shared" si="3"/>
        <v>20.281303811928222</v>
      </c>
      <c r="BZ11" s="175"/>
      <c r="CA11" s="175">
        <f t="shared" si="10"/>
        <v>0</v>
      </c>
      <c r="CB11" s="175">
        <f t="shared" si="11"/>
        <v>0</v>
      </c>
      <c r="CC11" s="175">
        <f t="shared" si="12"/>
        <v>0</v>
      </c>
      <c r="CD11" s="175">
        <f t="shared" si="13"/>
        <v>0</v>
      </c>
      <c r="CE11" s="175">
        <f t="shared" si="14"/>
        <v>0</v>
      </c>
      <c r="CF11" s="175">
        <f t="shared" si="15"/>
        <v>0</v>
      </c>
      <c r="CG11" s="175">
        <f t="shared" si="16"/>
        <v>0</v>
      </c>
      <c r="CH11" s="175">
        <f t="shared" si="17"/>
        <v>19.783225346514261</v>
      </c>
      <c r="CI11" s="175">
        <f t="shared" si="18"/>
        <v>19.896515485119963</v>
      </c>
      <c r="CJ11" s="175">
        <f t="shared" si="19"/>
        <v>20.009805623725672</v>
      </c>
      <c r="CK11" s="175">
        <f t="shared" si="20"/>
        <v>20.123095762331374</v>
      </c>
      <c r="CL11" s="175">
        <f t="shared" si="21"/>
        <v>20.23638590093708</v>
      </c>
      <c r="CM11" s="175">
        <f t="shared" si="22"/>
        <v>20.349676039542782</v>
      </c>
      <c r="CN11" s="175">
        <f t="shared" si="23"/>
        <v>20.462966178148484</v>
      </c>
      <c r="CO11" s="175"/>
      <c r="CP11" s="175">
        <f>IFERROR(IF(AH11,($AE11-$AF11)/LN(($AE11-AH$3)/($AF11-AH$3)),0),"")</f>
        <v>0</v>
      </c>
      <c r="CQ11" s="175">
        <f>IFERROR(IF(AI11,($AE11-$AF11)/LN(($AE11-AI$3)/($AF11-AI$3)),0),"")</f>
        <v>0</v>
      </c>
      <c r="CR11" s="175">
        <f>IFERROR(IF(AJ11,($AE11-$AF11)/LN(($AE11-AJ$3)/($AF11-AJ$3)),0),"")</f>
        <v>0</v>
      </c>
      <c r="CS11" s="175">
        <f>IFERROR(IF(AK11,($AE11-$AF11)/LN(($AE11-AK$3)/($AF11-AK$3)),0),"")</f>
        <v>0</v>
      </c>
      <c r="CT11" s="175">
        <f>IFERROR(IF(AL11,($AE11-$AF11)/LN(($AE11-AL$3)/($AF11-AL$3)),0),"")</f>
        <v>0</v>
      </c>
      <c r="CU11" s="175">
        <f>IFERROR(IF(AM11,($AE11-$AF11)/LN(($AE11-AM$3)/($AF11-AM$3)),0),"")</f>
        <v>0</v>
      </c>
      <c r="CV11" s="175">
        <f>IFERROR(IF(AN11,($AE11-$AF11)/LN(($AE11-AN$3)/($AF11-AN$3)),0),"")</f>
        <v>0</v>
      </c>
      <c r="CW11" s="175">
        <f>IFERROR(IF(AO11,($AE11-$AF11)/LN(($AE11-AO$3)/($AF11-AO$3)),0),"")</f>
        <v>-2.1640425613334453</v>
      </c>
      <c r="CX11" s="175">
        <f>IFERROR(IF(AP11,($AE11-$AF11)/LN(($AE11-AP$3)/($AF11-AP$3)),0),"")</f>
        <v>-3.2740700038118744</v>
      </c>
      <c r="CY11" s="175">
        <f>IFERROR(IF(AQ11,($AE11-$AF11)/LN(($AE11-AQ$3)/($AF11-AQ$3)),0),"")</f>
        <v>-4.3280851226668906</v>
      </c>
      <c r="CZ11" s="175">
        <f>IFERROR(IF(AR11,($AE11-$AF11)/LN(($AE11-AR$3)/($AF11-AR$3)),0),"")</f>
        <v>-5.3608208786743301</v>
      </c>
      <c r="DA11" s="175">
        <f>IFERROR(IF(AS11,($AE11-$AF11)/LN(($AE11-AS$3)/($AF11-AS$3)),0),"")</f>
        <v>-6.3829294357033293</v>
      </c>
      <c r="DB11" s="175">
        <f>IFERROR(IF(AT11,($AE11-$AF11)/LN(($AE11-AT$3)/($AF11-AT$3)),0),"")</f>
        <v>-7.3989103871292947</v>
      </c>
      <c r="DC11" s="175">
        <f>IFERROR(IF(AU11,($AE11-$AF11)/LN(($AE11-AU$3)/($AF11-AU$3)),0),"")</f>
        <v>-8.4110197561713864</v>
      </c>
      <c r="DD11" s="175"/>
      <c r="DE11" s="175">
        <f t="shared" si="24"/>
        <v>0</v>
      </c>
      <c r="DF11" s="175">
        <f t="shared" si="5"/>
        <v>0</v>
      </c>
      <c r="DG11" s="175">
        <f t="shared" si="5"/>
        <v>0</v>
      </c>
      <c r="DH11" s="175">
        <f t="shared" si="5"/>
        <v>0</v>
      </c>
      <c r="DI11" s="175">
        <f t="shared" si="5"/>
        <v>0</v>
      </c>
      <c r="DJ11" s="175">
        <f t="shared" si="5"/>
        <v>0</v>
      </c>
      <c r="DK11" s="175">
        <f t="shared" si="5"/>
        <v>0</v>
      </c>
      <c r="DL11" s="175">
        <f t="shared" si="5"/>
        <v>6.7497072896772323</v>
      </c>
      <c r="DM11" s="175">
        <f t="shared" si="5"/>
        <v>10.450166183905836</v>
      </c>
      <c r="DN11" s="175">
        <f t="shared" si="5"/>
        <v>14.030795858252944</v>
      </c>
      <c r="DO11" s="175">
        <f t="shared" si="5"/>
        <v>17.587103364932027</v>
      </c>
      <c r="DP11" s="175">
        <f t="shared" si="5"/>
        <v>21.144844524276177</v>
      </c>
      <c r="DQ11" s="175">
        <f t="shared" si="5"/>
        <v>24.712987441956766</v>
      </c>
      <c r="DR11" s="175">
        <f t="shared" si="5"/>
        <v>28.294860658847163</v>
      </c>
      <c r="DS11" s="175"/>
      <c r="DT11" s="175">
        <f>IFERROR(IF(AH11,IF($AD11,8.5855*ABS(CP11)^1.0557,6.1969*ABS(CP11)^1.0614),0),"")</f>
        <v>0</v>
      </c>
      <c r="DU11" s="175">
        <f>IFERROR(IF(AI11,IF($AD11,8.5855*ABS(CQ11)^1.0557,6.1969*ABS(CQ11)^1.0614),0),"")</f>
        <v>0</v>
      </c>
      <c r="DV11" s="175">
        <f>IFERROR(IF(AJ11,IF($AD11,8.5855*ABS(CR11)^1.0557,6.1969*ABS(CR11)^1.0614),0),"")</f>
        <v>0</v>
      </c>
      <c r="DW11" s="175">
        <f>IFERROR(IF(AK11,IF($AD11,8.5855*ABS(CS11)^1.0557,6.1969*ABS(CS11)^1.0614),0),"")</f>
        <v>0</v>
      </c>
      <c r="DX11" s="175">
        <f>IFERROR(IF(AL11,IF($AD11,8.5855*ABS(CT11)^1.0557,6.1969*ABS(CT11)^1.0614),0),"")</f>
        <v>0</v>
      </c>
      <c r="DY11" s="175">
        <f>IFERROR(IF(AM11,IF($AD11,8.5855*ABS(CU11)^1.0557,6.1969*ABS(CU11)^1.0614),0),"")</f>
        <v>0</v>
      </c>
      <c r="DZ11" s="175">
        <f>IFERROR(IF(AN11,IF($AD11,8.5855*ABS(CV11)^1.0557,6.1969*ABS(CV11)^1.0614),0),"")</f>
        <v>0</v>
      </c>
      <c r="EA11" s="175">
        <f>IFERROR(IF(AO11,IF($AD11,8.5855*ABS(CW11)^1.0557,6.1969*ABS(CW11)^1.0614),0),"")</f>
        <v>19.395710602520783</v>
      </c>
      <c r="EB11" s="175">
        <f>IFERROR(IF(AP11,IF($AD11,8.5855*ABS(CX11)^1.0557,6.1969*ABS(CX11)^1.0614),0),"")</f>
        <v>30.029213172143209</v>
      </c>
      <c r="EC11" s="175">
        <f>IFERROR(IF(AQ11,IF($AD11,8.5855*ABS(CY11)^1.0557,6.1969*ABS(CY11)^1.0614),0),"")</f>
        <v>40.318378903025703</v>
      </c>
      <c r="ED11" s="175">
        <f>IFERROR(IF(AR11,IF($AD11,8.5855*ABS(CZ11)^1.0557,6.1969*ABS(CZ11)^1.0614),0),"")</f>
        <v>50.537653347505824</v>
      </c>
      <c r="EE11" s="175">
        <f>IFERROR(IF(AS11,IF($AD11,8.5855*ABS(DA11)^1.0557,6.1969*ABS(DA11)^1.0614),0),"")</f>
        <v>60.76104748355224</v>
      </c>
      <c r="EF11" s="175">
        <f>IFERROR(IF(AT11,IF($AD11,8.5855*ABS(DB11)^1.0557,6.1969*ABS(DB11)^1.0614),0),"")</f>
        <v>71.014331729760826</v>
      </c>
      <c r="EG11" s="175">
        <f>IFERROR(IF(AU11,IF($AD11,8.5855*ABS(DC11)^1.0557,6.1969*ABS(DC11)^1.0614),0),"")</f>
        <v>81.307070858756219</v>
      </c>
      <c r="EH11" s="175"/>
      <c r="EI11" s="127"/>
      <c r="EJ11" s="127"/>
      <c r="EK11" s="127"/>
      <c r="EL11" s="127"/>
      <c r="EM11" s="127"/>
      <c r="EN11" s="127"/>
      <c r="EO11" s="127"/>
    </row>
    <row r="12" spans="1:145" customFormat="1" ht="20.100000000000001" customHeight="1" x14ac:dyDescent="0.3">
      <c r="B12" s="122" t="s">
        <v>84</v>
      </c>
      <c r="C12" s="186">
        <v>400</v>
      </c>
      <c r="D12" s="123" t="s">
        <v>79</v>
      </c>
      <c r="E12" s="130"/>
      <c r="F12" s="131">
        <f t="shared" si="6"/>
        <v>20</v>
      </c>
      <c r="G12" s="131">
        <f>IF(F12&lt;&gt;"",IF(AD12,F12+$C$16,F12-$C$15),"")</f>
        <v>23</v>
      </c>
      <c r="H12" s="133" t="str">
        <f t="shared" ref="H12:H30" si="25">IFERROR(IF(AH12,ABS(DT12),""),"")</f>
        <v/>
      </c>
      <c r="I12" s="133" t="str">
        <f t="shared" ref="I12:I30" si="26">IFERROR(IF(AI12,ABS(DU12),""),"")</f>
        <v/>
      </c>
      <c r="J12" s="133" t="str">
        <f t="shared" ref="J12:J30" si="27">IFERROR(IF(AJ12,ABS(DV12),""),"")</f>
        <v/>
      </c>
      <c r="K12" s="133" t="str">
        <f t="shared" ref="K12:K30" si="28">IFERROR(IF(AK12,ABS(DW12),""),"")</f>
        <v/>
      </c>
      <c r="L12" s="133" t="str">
        <f t="shared" ref="L12:L30" si="29">IFERROR(IF(AL12,ABS(DX12),""),"")</f>
        <v/>
      </c>
      <c r="M12" s="133" t="str">
        <f t="shared" ref="M12:M30" si="30">IFERROR(IF(AM12,ABS(DY12),""),"")</f>
        <v/>
      </c>
      <c r="N12" s="133" t="str">
        <f t="shared" ref="N12:N30" si="31">IFERROR(IF(AN12,ABS(DZ12),""),"")</f>
        <v/>
      </c>
      <c r="O12" s="133" t="str">
        <f t="shared" ref="O12:O30" si="32">IFERROR(IF(AO12,ABS(EA12),""),"")</f>
        <v/>
      </c>
      <c r="P12" s="133" t="str">
        <f t="shared" ref="P12:P30" si="33">IFERROR(IF(AP12,ABS(EB12),""),"")</f>
        <v/>
      </c>
      <c r="Q12" s="133">
        <f t="shared" ref="Q12:Q30" si="34">IFERROR(IF(AQ12,ABS(EC12),""),"")</f>
        <v>19.395710602520783</v>
      </c>
      <c r="R12" s="133">
        <f t="shared" ref="R12:R30" si="35">IFERROR(IF(AR12,ABS(ED12),""),"")</f>
        <v>30.029213172143209</v>
      </c>
      <c r="S12" s="133">
        <f t="shared" ref="S12:S30" si="36">IFERROR(IF(AS12,ABS(EE12),""),"")</f>
        <v>40.318378903025703</v>
      </c>
      <c r="T12" s="133">
        <f t="shared" ref="T12:T30" si="37">IFERROR(IF(AT12,ABS(EF12),""),"")</f>
        <v>50.537653347505824</v>
      </c>
      <c r="U12" s="133">
        <f t="shared" ref="U12:U30" si="38">IFERROR(IF(AU12,ABS(EG12),""),"")</f>
        <v>60.76104748355224</v>
      </c>
      <c r="W12" s="135" t="s">
        <v>169</v>
      </c>
      <c r="X12" s="179">
        <f>Hossz*Szélesség/1000000</f>
        <v>0.4</v>
      </c>
      <c r="Y12" s="177" t="s">
        <v>109</v>
      </c>
      <c r="Z12" s="177"/>
      <c r="AA12" s="177"/>
      <c r="AB12" s="175"/>
      <c r="AC12" s="175">
        <f>MOD(ROW(A12),4)</f>
        <v>0</v>
      </c>
      <c r="AD12" s="175" t="b">
        <f>IF(MOD(ROW(A12),2)=0,ABS(F12-MAX(C27:C40))&gt;ABS(F12-MIN(C27:C40)),AD11)</f>
        <v>1</v>
      </c>
      <c r="AE12" s="178">
        <f>IF(MOD(ROW(A12),2)=0,F12,F11)</f>
        <v>20</v>
      </c>
      <c r="AF12" s="178">
        <f>IF(MOD(ROW(B12),2)=0,G12,G11)</f>
        <v>23</v>
      </c>
      <c r="AG12" s="178">
        <f t="shared" si="7"/>
        <v>21.5</v>
      </c>
      <c r="AH12" s="175" t="b">
        <f>OR(AND($AD12,$AE12&lt;AH$3,$AF12&lt;AH$3),AND(NOT($AD12),$AE12&gt;AH$3,$AF12&gt;AH$3))</f>
        <v>0</v>
      </c>
      <c r="AI12" s="175" t="b">
        <f>OR(AND($AD12,$AE12&lt;AI$3,$AF12&lt;AI$3),AND(NOT($AD12),$AE12&gt;AI$3,$AF12&gt;AI$3))</f>
        <v>0</v>
      </c>
      <c r="AJ12" s="175" t="b">
        <f>OR(AND($AD12,$AE12&lt;AJ$3,$AF12&lt;AJ$3),AND(NOT($AD12),$AE12&gt;AJ$3,$AF12&gt;AJ$3))</f>
        <v>0</v>
      </c>
      <c r="AK12" s="175" t="b">
        <f>OR(AND($AD12,$AE12&lt;AK$3,$AF12&lt;AK$3),AND(NOT($AD12),$AE12&gt;AK$3,$AF12&gt;AK$3))</f>
        <v>0</v>
      </c>
      <c r="AL12" s="175" t="b">
        <f>OR(AND($AD12,$AE12&lt;AL$3,$AF12&lt;AL$3),AND(NOT($AD12),$AE12&gt;AL$3,$AF12&gt;AL$3))</f>
        <v>0</v>
      </c>
      <c r="AM12" s="175" t="b">
        <f>OR(AND($AD12,$AE12&lt;AM$3,$AF12&lt;AM$3),AND(NOT($AD12),$AE12&gt;AM$3,$AF12&gt;AM$3))</f>
        <v>0</v>
      </c>
      <c r="AN12" s="175" t="b">
        <f>OR(AND($AD12,$AE12&lt;AN$3,$AF12&lt;AN$3),AND(NOT($AD12),$AE12&gt;AN$3,$AF12&gt;AN$3))</f>
        <v>0</v>
      </c>
      <c r="AO12" s="175" t="b">
        <f>OR(AND($AD12,$AE12&lt;AO$3,$AF12&lt;AO$3),AND(NOT($AD12),$AE12&gt;AO$3,$AF12&gt;AO$3))</f>
        <v>0</v>
      </c>
      <c r="AP12" s="175" t="b">
        <f>OR(AND($AD12,$AE12&lt;AP$3,$AF12&lt;AP$3),AND(NOT($AD12),$AE12&gt;AP$3,$AF12&gt;AP$3))</f>
        <v>0</v>
      </c>
      <c r="AQ12" s="175" t="b">
        <f>OR(AND($AD12,$AE12&lt;AQ$3,$AF12&lt;AQ$3),AND(NOT($AD12),$AE12&gt;AQ$3,$AF12&gt;AQ$3))</f>
        <v>1</v>
      </c>
      <c r="AR12" s="175" t="b">
        <f>OR(AND($AD12,$AE12&lt;AR$3,$AF12&lt;AR$3),AND(NOT($AD12),$AE12&gt;AR$3,$AF12&gt;AR$3))</f>
        <v>1</v>
      </c>
      <c r="AS12" s="175" t="b">
        <f>OR(AND($AD12,$AE12&lt;AS$3,$AF12&lt;AS$3),AND(NOT($AD12),$AE12&gt;AS$3,$AF12&gt;AS$3))</f>
        <v>1</v>
      </c>
      <c r="AT12" s="175" t="b">
        <f>OR(AND($AD12,$AE12&lt;AT$3,$AF12&lt;AT$3),AND(NOT($AD12),$AE12&gt;AT$3,$AF12&gt;AT$3))</f>
        <v>1</v>
      </c>
      <c r="AU12" s="175" t="b">
        <f>OR(AND($AD12,$AE12&lt;AU$3,$AF12&lt;AU$3),AND(NOT($AD12),$AE12&gt;AU$3,$AF12&gt;AU$3))</f>
        <v>1</v>
      </c>
      <c r="AV12" s="175"/>
      <c r="AW12" s="175">
        <f t="shared" si="8"/>
        <v>0</v>
      </c>
      <c r="AX12" s="175">
        <f t="shared" si="2"/>
        <v>0</v>
      </c>
      <c r="AY12" s="175">
        <f t="shared" si="2"/>
        <v>0</v>
      </c>
      <c r="AZ12" s="175">
        <f t="shared" si="2"/>
        <v>0</v>
      </c>
      <c r="BA12" s="175">
        <f t="shared" si="2"/>
        <v>0</v>
      </c>
      <c r="BB12" s="175">
        <f t="shared" si="2"/>
        <v>0</v>
      </c>
      <c r="BC12" s="175">
        <f t="shared" si="2"/>
        <v>0</v>
      </c>
      <c r="BD12" s="175">
        <f t="shared" si="2"/>
        <v>0</v>
      </c>
      <c r="BE12" s="175">
        <f t="shared" si="2"/>
        <v>0</v>
      </c>
      <c r="BF12" s="175">
        <f t="shared" si="2"/>
        <v>-0.81915683318788313</v>
      </c>
      <c r="BG12" s="175">
        <f t="shared" si="2"/>
        <v>-1.1468195664630363</v>
      </c>
      <c r="BH12" s="175">
        <f t="shared" si="2"/>
        <v>-1.4744822997381897</v>
      </c>
      <c r="BI12" s="175">
        <f t="shared" si="2"/>
        <v>-1.8021450330133428</v>
      </c>
      <c r="BJ12" s="175">
        <f t="shared" si="2"/>
        <v>-2.1298077662884962</v>
      </c>
      <c r="BK12" s="175"/>
      <c r="BL12" s="175">
        <f t="shared" si="9"/>
        <v>0</v>
      </c>
      <c r="BM12" s="175">
        <f t="shared" si="3"/>
        <v>0</v>
      </c>
      <c r="BN12" s="175">
        <f t="shared" si="3"/>
        <v>0</v>
      </c>
      <c r="BO12" s="175">
        <f t="shared" si="3"/>
        <v>0</v>
      </c>
      <c r="BP12" s="175">
        <f t="shared" si="3"/>
        <v>0</v>
      </c>
      <c r="BQ12" s="175">
        <f t="shared" si="3"/>
        <v>0</v>
      </c>
      <c r="BR12" s="175">
        <f t="shared" si="3"/>
        <v>0</v>
      </c>
      <c r="BS12" s="175">
        <f t="shared" si="3"/>
        <v>0</v>
      </c>
      <c r="BT12" s="175">
        <f t="shared" si="3"/>
        <v>0</v>
      </c>
      <c r="BU12" s="175">
        <f t="shared" si="3"/>
        <v>21.729795238802417</v>
      </c>
      <c r="BV12" s="175">
        <f t="shared" si="3"/>
        <v>21.821713334323384</v>
      </c>
      <c r="BW12" s="175">
        <f t="shared" si="3"/>
        <v>21.913631429844354</v>
      </c>
      <c r="BX12" s="175">
        <f t="shared" si="3"/>
        <v>22.005549525365321</v>
      </c>
      <c r="BY12" s="175">
        <f t="shared" si="3"/>
        <v>22.097467620886288</v>
      </c>
      <c r="BZ12" s="175"/>
      <c r="CA12" s="175">
        <f>IFERROR(IF(AH12,AH$3+(BL12-AH$3)*TANH($X$26*$X$27)/($X$26*$X$27),0),"")</f>
        <v>0</v>
      </c>
      <c r="CB12" s="175">
        <f>IFERROR(IF(AI12,AI$3+(BM12-AI$3)*TANH($X$26*$X$27)/($X$26*$X$27),0),"")</f>
        <v>0</v>
      </c>
      <c r="CC12" s="175">
        <f>IFERROR(IF(AJ12,AJ$3+(BN12-AJ$3)*TANH($X$26*$X$27)/($X$26*$X$27),0),"")</f>
        <v>0</v>
      </c>
      <c r="CD12" s="175">
        <f>IFERROR(IF(AK12,AK$3+(BO12-AK$3)*TANH($X$26*$X$27)/($X$26*$X$27),0),"")</f>
        <v>0</v>
      </c>
      <c r="CE12" s="175">
        <f>IFERROR(IF(AL12,AL$3+(BP12-AL$3)*TANH($X$26*$X$27)/($X$26*$X$27),0),"")</f>
        <v>0</v>
      </c>
      <c r="CF12" s="175">
        <f>IFERROR(IF(AM12,AM$3+(BQ12-AM$3)*TANH($X$26*$X$27)/($X$26*$X$27),0),"")</f>
        <v>0</v>
      </c>
      <c r="CG12" s="175">
        <f>IFERROR(IF(AN12,AN$3+(BR12-AN$3)*TANH($X$26*$X$27)/($X$26*$X$27),0),"")</f>
        <v>0</v>
      </c>
      <c r="CH12" s="175">
        <f>IFERROR(IF(AO12,AO$3+(BS12-AO$3)*TANH($X$26*$X$27)/($X$26*$X$27),0),"")</f>
        <v>0</v>
      </c>
      <c r="CI12" s="175">
        <f>IFERROR(IF(AP12,AP$3+(BT12-AP$3)*TANH($X$26*$X$27)/($X$26*$X$27),0),"")</f>
        <v>0</v>
      </c>
      <c r="CJ12" s="175">
        <f>IFERROR(IF(AQ12,AQ$3+(BU12-AQ$3)*TANH($X$26*$X$27)/($X$26*$X$27),0),"")</f>
        <v>21.783225346514261</v>
      </c>
      <c r="CK12" s="175">
        <f>IFERROR(IF(AR12,AR$3+(BV12-AR$3)*TANH($X$26*$X$27)/($X$26*$X$27),0),"")</f>
        <v>21.896515485119963</v>
      </c>
      <c r="CL12" s="175">
        <f>IFERROR(IF(AS12,AS$3+(BW12-AS$3)*TANH($X$26*$X$27)/($X$26*$X$27),0),"")</f>
        <v>22.009805623725672</v>
      </c>
      <c r="CM12" s="175">
        <f>IFERROR(IF(AT12,AT$3+(BX12-AT$3)*TANH($X$26*$X$27)/($X$26*$X$27),0),"")</f>
        <v>22.123095762331374</v>
      </c>
      <c r="CN12" s="175">
        <f>IFERROR(IF(AU12,AU$3+(BY12-AU$3)*TANH($X$26*$X$27)/($X$26*$X$27),0),"")</f>
        <v>22.23638590093708</v>
      </c>
      <c r="CO12" s="175"/>
      <c r="CP12" s="175">
        <f>IFERROR(IF(AH12,($AE12-$AF12)/LN(($AE12-AH$3)/($AF12-AH$3)),0),"")</f>
        <v>0</v>
      </c>
      <c r="CQ12" s="175">
        <f>IFERROR(IF(AI12,($AE12-$AF12)/LN(($AE12-AI$3)/($AF12-AI$3)),0),"")</f>
        <v>0</v>
      </c>
      <c r="CR12" s="175">
        <f>IFERROR(IF(AJ12,($AE12-$AF12)/LN(($AE12-AJ$3)/($AF12-AJ$3)),0),"")</f>
        <v>0</v>
      </c>
      <c r="CS12" s="175">
        <f>IFERROR(IF(AK12,($AE12-$AF12)/LN(($AE12-AK$3)/($AF12-AK$3)),0),"")</f>
        <v>0</v>
      </c>
      <c r="CT12" s="175">
        <f>IFERROR(IF(AL12,($AE12-$AF12)/LN(($AE12-AL$3)/($AF12-AL$3)),0),"")</f>
        <v>0</v>
      </c>
      <c r="CU12" s="175">
        <f>IFERROR(IF(AM12,($AE12-$AF12)/LN(($AE12-AM$3)/($AF12-AM$3)),0),"")</f>
        <v>0</v>
      </c>
      <c r="CV12" s="175">
        <f>IFERROR(IF(AN12,($AE12-$AF12)/LN(($AE12-AN$3)/($AF12-AN$3)),0),"")</f>
        <v>0</v>
      </c>
      <c r="CW12" s="175">
        <f>IFERROR(IF(AO12,($AE12-$AF12)/LN(($AE12-AO$3)/($AF12-AO$3)),0),"")</f>
        <v>0</v>
      </c>
      <c r="CX12" s="175">
        <f>IFERROR(IF(AP12,($AE12-$AF12)/LN(($AE12-AP$3)/($AF12-AP$3)),0),"")</f>
        <v>0</v>
      </c>
      <c r="CY12" s="175">
        <f>IFERROR(IF(AQ12,($AE12-$AF12)/LN(($AE12-AQ$3)/($AF12-AQ$3)),0),"")</f>
        <v>-2.1640425613334453</v>
      </c>
      <c r="CZ12" s="175">
        <f>IFERROR(IF(AR12,($AE12-$AF12)/LN(($AE12-AR$3)/($AF12-AR$3)),0),"")</f>
        <v>-3.2740700038118744</v>
      </c>
      <c r="DA12" s="175">
        <f>IFERROR(IF(AS12,($AE12-$AF12)/LN(($AE12-AS$3)/($AF12-AS$3)),0),"")</f>
        <v>-4.3280851226668906</v>
      </c>
      <c r="DB12" s="175">
        <f>IFERROR(IF(AT12,($AE12-$AF12)/LN(($AE12-AT$3)/($AF12-AT$3)),0),"")</f>
        <v>-5.3608208786743301</v>
      </c>
      <c r="DC12" s="175">
        <f>IFERROR(IF(AU12,($AE12-$AF12)/LN(($AE12-AU$3)/($AF12-AU$3)),0),"")</f>
        <v>-6.3829294357033293</v>
      </c>
      <c r="DD12" s="175"/>
      <c r="DE12" s="175">
        <f t="shared" si="24"/>
        <v>0</v>
      </c>
      <c r="DF12" s="175">
        <f t="shared" si="5"/>
        <v>0</v>
      </c>
      <c r="DG12" s="175">
        <f t="shared" si="5"/>
        <v>0</v>
      </c>
      <c r="DH12" s="175">
        <f t="shared" si="5"/>
        <v>0</v>
      </c>
      <c r="DI12" s="175">
        <f t="shared" si="5"/>
        <v>0</v>
      </c>
      <c r="DJ12" s="175">
        <f t="shared" si="5"/>
        <v>0</v>
      </c>
      <c r="DK12" s="175">
        <f t="shared" si="5"/>
        <v>0</v>
      </c>
      <c r="DL12" s="175">
        <f t="shared" si="5"/>
        <v>0</v>
      </c>
      <c r="DM12" s="175">
        <f t="shared" si="5"/>
        <v>0</v>
      </c>
      <c r="DN12" s="175">
        <f t="shared" si="5"/>
        <v>6.7497072896772323</v>
      </c>
      <c r="DO12" s="175">
        <f t="shared" si="5"/>
        <v>10.450166183905836</v>
      </c>
      <c r="DP12" s="175">
        <f t="shared" si="5"/>
        <v>14.030795858252944</v>
      </c>
      <c r="DQ12" s="175">
        <f t="shared" si="5"/>
        <v>17.587103364932027</v>
      </c>
      <c r="DR12" s="175">
        <f t="shared" si="5"/>
        <v>21.144844524276177</v>
      </c>
      <c r="DS12" s="175"/>
      <c r="DT12" s="175">
        <f t="shared" ref="DT12:DT31" si="39">IFERROR(IF(AH12,IF($AD12,8.5855*ABS(CP12)^1.0557,6.1969*ABS(CP12)^1.0614),0),"")</f>
        <v>0</v>
      </c>
      <c r="DU12" s="175">
        <f t="shared" ref="DU12:EG19" si="40">IFERROR(IF(AI12,IF($AD12,8.5855*ABS(CQ12)^1.0557,6.1969*ABS(CQ12)^1.0614),0),"")</f>
        <v>0</v>
      </c>
      <c r="DV12" s="175">
        <f t="shared" si="40"/>
        <v>0</v>
      </c>
      <c r="DW12" s="175">
        <f t="shared" si="40"/>
        <v>0</v>
      </c>
      <c r="DX12" s="175">
        <f t="shared" si="40"/>
        <v>0</v>
      </c>
      <c r="DY12" s="175">
        <f t="shared" si="40"/>
        <v>0</v>
      </c>
      <c r="DZ12" s="175">
        <f t="shared" si="40"/>
        <v>0</v>
      </c>
      <c r="EA12" s="175">
        <f t="shared" si="40"/>
        <v>0</v>
      </c>
      <c r="EB12" s="175">
        <f t="shared" si="40"/>
        <v>0</v>
      </c>
      <c r="EC12" s="175">
        <f t="shared" si="40"/>
        <v>19.395710602520783</v>
      </c>
      <c r="ED12" s="175">
        <f t="shared" si="40"/>
        <v>30.029213172143209</v>
      </c>
      <c r="EE12" s="175">
        <f t="shared" si="40"/>
        <v>40.318378903025703</v>
      </c>
      <c r="EF12" s="175">
        <f t="shared" si="40"/>
        <v>50.537653347505824</v>
      </c>
      <c r="EG12" s="175">
        <f t="shared" si="40"/>
        <v>60.76104748355224</v>
      </c>
      <c r="EH12" s="175"/>
      <c r="EI12" s="127"/>
      <c r="EJ12" s="127"/>
      <c r="EK12" s="127"/>
      <c r="EL12" s="127"/>
      <c r="EM12" s="127"/>
      <c r="EN12" s="127"/>
      <c r="EO12" s="127"/>
    </row>
    <row r="13" spans="1:145" customFormat="1" ht="20.100000000000001" customHeight="1" x14ac:dyDescent="0.3">
      <c r="B13" s="122" t="s">
        <v>85</v>
      </c>
      <c r="C13" s="187">
        <v>0.6</v>
      </c>
      <c r="D13" s="123" t="s">
        <v>79</v>
      </c>
      <c r="E13" s="130"/>
      <c r="F13" s="131" t="str">
        <f t="shared" si="6"/>
        <v/>
      </c>
      <c r="G13" s="131" t="str">
        <f>IF(F13&lt;&gt;"",IF(AD13,F13+$C$16,F13-$C$15),"")</f>
        <v/>
      </c>
      <c r="H13" s="133" t="str">
        <f t="shared" ref="H13:U13" si="41">IFERROR(IF(AH13,ABS(CA13),""),"")</f>
        <v/>
      </c>
      <c r="I13" s="133" t="str">
        <f t="shared" si="41"/>
        <v/>
      </c>
      <c r="J13" s="133" t="str">
        <f t="shared" si="41"/>
        <v/>
      </c>
      <c r="K13" s="133" t="str">
        <f t="shared" si="41"/>
        <v/>
      </c>
      <c r="L13" s="133" t="str">
        <f t="shared" si="41"/>
        <v/>
      </c>
      <c r="M13" s="133" t="str">
        <f t="shared" si="41"/>
        <v/>
      </c>
      <c r="N13" s="133" t="str">
        <f t="shared" si="41"/>
        <v/>
      </c>
      <c r="O13" s="133" t="str">
        <f t="shared" si="41"/>
        <v/>
      </c>
      <c r="P13" s="133" t="str">
        <f t="shared" si="41"/>
        <v/>
      </c>
      <c r="Q13" s="133">
        <f t="shared" si="41"/>
        <v>21.783225346514261</v>
      </c>
      <c r="R13" s="133">
        <f t="shared" si="41"/>
        <v>21.896515485119963</v>
      </c>
      <c r="S13" s="133">
        <f t="shared" si="41"/>
        <v>22.009805623725672</v>
      </c>
      <c r="T13" s="133">
        <f t="shared" si="41"/>
        <v>22.123095762331374</v>
      </c>
      <c r="U13" s="133">
        <f t="shared" si="41"/>
        <v>22.23638590093708</v>
      </c>
      <c r="W13" s="175"/>
      <c r="X13" s="175"/>
      <c r="Y13" s="175"/>
      <c r="Z13" s="175"/>
      <c r="AA13" s="175"/>
      <c r="AB13" s="175"/>
      <c r="AC13" s="175">
        <f>MOD(ROW(A13),4)</f>
        <v>1</v>
      </c>
      <c r="AD13" s="175" t="b">
        <f>IF(MOD(ROW(A13),2)=0,ABS(F13-MAX(C28:C41))&gt;ABS(F13-MIN(C28:C41)),AD12)</f>
        <v>1</v>
      </c>
      <c r="AE13" s="178">
        <f>IF(MOD(ROW(A13),2)=0,F13,F12)</f>
        <v>20</v>
      </c>
      <c r="AF13" s="178">
        <f>IF(MOD(ROW(B13),2)=0,G13,G12)</f>
        <v>23</v>
      </c>
      <c r="AG13" s="178">
        <f t="shared" si="7"/>
        <v>21.5</v>
      </c>
      <c r="AH13" s="175" t="b">
        <f>OR(AND($AD13,$AE13&lt;AH$3,$AF13&lt;AH$3),AND(NOT($AD13),$AE13&gt;AH$3,$AF13&gt;AH$3))</f>
        <v>0</v>
      </c>
      <c r="AI13" s="175" t="b">
        <f>OR(AND($AD13,$AE13&lt;AI$3,$AF13&lt;AI$3),AND(NOT($AD13),$AE13&gt;AI$3,$AF13&gt;AI$3))</f>
        <v>0</v>
      </c>
      <c r="AJ13" s="175" t="b">
        <f>OR(AND($AD13,$AE13&lt;AJ$3,$AF13&lt;AJ$3),AND(NOT($AD13),$AE13&gt;AJ$3,$AF13&gt;AJ$3))</f>
        <v>0</v>
      </c>
      <c r="AK13" s="175" t="b">
        <f>OR(AND($AD13,$AE13&lt;AK$3,$AF13&lt;AK$3),AND(NOT($AD13),$AE13&gt;AK$3,$AF13&gt;AK$3))</f>
        <v>0</v>
      </c>
      <c r="AL13" s="175" t="b">
        <f>OR(AND($AD13,$AE13&lt;AL$3,$AF13&lt;AL$3),AND(NOT($AD13),$AE13&gt;AL$3,$AF13&gt;AL$3))</f>
        <v>0</v>
      </c>
      <c r="AM13" s="175" t="b">
        <f>OR(AND($AD13,$AE13&lt;AM$3,$AF13&lt;AM$3),AND(NOT($AD13),$AE13&gt;AM$3,$AF13&gt;AM$3))</f>
        <v>0</v>
      </c>
      <c r="AN13" s="175" t="b">
        <f>OR(AND($AD13,$AE13&lt;AN$3,$AF13&lt;AN$3),AND(NOT($AD13),$AE13&gt;AN$3,$AF13&gt;AN$3))</f>
        <v>0</v>
      </c>
      <c r="AO13" s="175" t="b">
        <f>OR(AND($AD13,$AE13&lt;AO$3,$AF13&lt;AO$3),AND(NOT($AD13),$AE13&gt;AO$3,$AF13&gt;AO$3))</f>
        <v>0</v>
      </c>
      <c r="AP13" s="175" t="b">
        <f>OR(AND($AD13,$AE13&lt;AP$3,$AF13&lt;AP$3),AND(NOT($AD13),$AE13&gt;AP$3,$AF13&gt;AP$3))</f>
        <v>0</v>
      </c>
      <c r="AQ13" s="175" t="b">
        <f>OR(AND($AD13,$AE13&lt;AQ$3,$AF13&lt;AQ$3),AND(NOT($AD13),$AE13&gt;AQ$3,$AF13&gt;AQ$3))</f>
        <v>1</v>
      </c>
      <c r="AR13" s="175" t="b">
        <f>OR(AND($AD13,$AE13&lt;AR$3,$AF13&lt;AR$3),AND(NOT($AD13),$AE13&gt;AR$3,$AF13&gt;AR$3))</f>
        <v>1</v>
      </c>
      <c r="AS13" s="175" t="b">
        <f>OR(AND($AD13,$AE13&lt;AS$3,$AF13&lt;AS$3),AND(NOT($AD13),$AE13&gt;AS$3,$AF13&gt;AS$3))</f>
        <v>1</v>
      </c>
      <c r="AT13" s="175" t="b">
        <f>OR(AND($AD13,$AE13&lt;AT$3,$AF13&lt;AT$3),AND(NOT($AD13),$AE13&gt;AT$3,$AF13&gt;AT$3))</f>
        <v>1</v>
      </c>
      <c r="AU13" s="175" t="b">
        <f>OR(AND($AD13,$AE13&lt;AU$3,$AF13&lt;AU$3),AND(NOT($AD13),$AE13&gt;AU$3,$AF13&gt;AU$3))</f>
        <v>1</v>
      </c>
      <c r="AV13" s="175"/>
      <c r="AW13" s="175">
        <f t="shared" si="8"/>
        <v>0</v>
      </c>
      <c r="AX13" s="175">
        <f t="shared" si="2"/>
        <v>0</v>
      </c>
      <c r="AY13" s="175">
        <f t="shared" si="2"/>
        <v>0</v>
      </c>
      <c r="AZ13" s="175">
        <f t="shared" si="2"/>
        <v>0</v>
      </c>
      <c r="BA13" s="175">
        <f t="shared" si="2"/>
        <v>0</v>
      </c>
      <c r="BB13" s="175">
        <f t="shared" si="2"/>
        <v>0</v>
      </c>
      <c r="BC13" s="175">
        <f t="shared" si="2"/>
        <v>0</v>
      </c>
      <c r="BD13" s="175">
        <f t="shared" si="2"/>
        <v>0</v>
      </c>
      <c r="BE13" s="175">
        <f t="shared" si="2"/>
        <v>0</v>
      </c>
      <c r="BF13" s="175">
        <f t="shared" si="2"/>
        <v>-0.81915683318788313</v>
      </c>
      <c r="BG13" s="175">
        <f t="shared" si="2"/>
        <v>-1.1468195664630363</v>
      </c>
      <c r="BH13" s="175">
        <f t="shared" si="2"/>
        <v>-1.4744822997381897</v>
      </c>
      <c r="BI13" s="175">
        <f t="shared" si="2"/>
        <v>-1.8021450330133428</v>
      </c>
      <c r="BJ13" s="175">
        <f t="shared" si="2"/>
        <v>-2.1298077662884962</v>
      </c>
      <c r="BK13" s="175"/>
      <c r="BL13" s="175">
        <f t="shared" si="9"/>
        <v>0</v>
      </c>
      <c r="BM13" s="175">
        <f t="shared" si="3"/>
        <v>0</v>
      </c>
      <c r="BN13" s="175">
        <f t="shared" si="3"/>
        <v>0</v>
      </c>
      <c r="BO13" s="175">
        <f t="shared" si="3"/>
        <v>0</v>
      </c>
      <c r="BP13" s="175">
        <f t="shared" si="3"/>
        <v>0</v>
      </c>
      <c r="BQ13" s="175">
        <f t="shared" si="3"/>
        <v>0</v>
      </c>
      <c r="BR13" s="175">
        <f t="shared" si="3"/>
        <v>0</v>
      </c>
      <c r="BS13" s="175">
        <f t="shared" si="3"/>
        <v>0</v>
      </c>
      <c r="BT13" s="175">
        <f t="shared" si="3"/>
        <v>0</v>
      </c>
      <c r="BU13" s="175">
        <f t="shared" si="3"/>
        <v>21.729795238802417</v>
      </c>
      <c r="BV13" s="175">
        <f t="shared" si="3"/>
        <v>21.821713334323384</v>
      </c>
      <c r="BW13" s="175">
        <f t="shared" si="3"/>
        <v>21.913631429844354</v>
      </c>
      <c r="BX13" s="175">
        <f t="shared" si="3"/>
        <v>22.005549525365321</v>
      </c>
      <c r="BY13" s="175">
        <f t="shared" si="3"/>
        <v>22.097467620886288</v>
      </c>
      <c r="BZ13" s="175"/>
      <c r="CA13" s="175">
        <f>IFERROR(IF(AH13,AH$3+(BL13-AH$3)*TANH($X$26*$X$27)/($X$26*$X$27),0),"")</f>
        <v>0</v>
      </c>
      <c r="CB13" s="175">
        <f>IFERROR(IF(AI13,AI$3+(BM13-AI$3)*TANH($X$26*$X$27)/($X$26*$X$27),0),"")</f>
        <v>0</v>
      </c>
      <c r="CC13" s="175">
        <f>IFERROR(IF(AJ13,AJ$3+(BN13-AJ$3)*TANH($X$26*$X$27)/($X$26*$X$27),0),"")</f>
        <v>0</v>
      </c>
      <c r="CD13" s="175">
        <f>IFERROR(IF(AK13,AK$3+(BO13-AK$3)*TANH($X$26*$X$27)/($X$26*$X$27),0),"")</f>
        <v>0</v>
      </c>
      <c r="CE13" s="175">
        <f>IFERROR(IF(AL13,AL$3+(BP13-AL$3)*TANH($X$26*$X$27)/($X$26*$X$27),0),"")</f>
        <v>0</v>
      </c>
      <c r="CF13" s="175">
        <f>IFERROR(IF(AM13,AM$3+(BQ13-AM$3)*TANH($X$26*$X$27)/($X$26*$X$27),0),"")</f>
        <v>0</v>
      </c>
      <c r="CG13" s="175">
        <f>IFERROR(IF(AN13,AN$3+(BR13-AN$3)*TANH($X$26*$X$27)/($X$26*$X$27),0),"")</f>
        <v>0</v>
      </c>
      <c r="CH13" s="175">
        <f>IFERROR(IF(AO13,AO$3+(BS13-AO$3)*TANH($X$26*$X$27)/($X$26*$X$27),0),"")</f>
        <v>0</v>
      </c>
      <c r="CI13" s="175">
        <f>IFERROR(IF(AP13,AP$3+(BT13-AP$3)*TANH($X$26*$X$27)/($X$26*$X$27),0),"")</f>
        <v>0</v>
      </c>
      <c r="CJ13" s="175">
        <f>IFERROR(IF(AQ13,AQ$3+(BU13-AQ$3)*TANH($X$26*$X$27)/($X$26*$X$27),0),"")</f>
        <v>21.783225346514261</v>
      </c>
      <c r="CK13" s="175">
        <f>IFERROR(IF(AR13,AR$3+(BV13-AR$3)*TANH($X$26*$X$27)/($X$26*$X$27),0),"")</f>
        <v>21.896515485119963</v>
      </c>
      <c r="CL13" s="175">
        <f>IFERROR(IF(AS13,AS$3+(BW13-AS$3)*TANH($X$26*$X$27)/($X$26*$X$27),0),"")</f>
        <v>22.009805623725672</v>
      </c>
      <c r="CM13" s="175">
        <f>IFERROR(IF(AT13,AT$3+(BX13-AT$3)*TANH($X$26*$X$27)/($X$26*$X$27),0),"")</f>
        <v>22.123095762331374</v>
      </c>
      <c r="CN13" s="175">
        <f>IFERROR(IF(AU13,AU$3+(BY13-AU$3)*TANH($X$26*$X$27)/($X$26*$X$27),0),"")</f>
        <v>22.23638590093708</v>
      </c>
      <c r="CO13" s="175"/>
      <c r="CP13" s="175">
        <f>IFERROR(IF(AH13,($AE13-$AF13)/LN(($AE13-AH$3)/($AF13-AH$3)),0),"")</f>
        <v>0</v>
      </c>
      <c r="CQ13" s="175">
        <f>IFERROR(IF(AI13,($AE13-$AF13)/LN(($AE13-AI$3)/($AF13-AI$3)),0),"")</f>
        <v>0</v>
      </c>
      <c r="CR13" s="175">
        <f>IFERROR(IF(AJ13,($AE13-$AF13)/LN(($AE13-AJ$3)/($AF13-AJ$3)),0),"")</f>
        <v>0</v>
      </c>
      <c r="CS13" s="175">
        <f>IFERROR(IF(AK13,($AE13-$AF13)/LN(($AE13-AK$3)/($AF13-AK$3)),0),"")</f>
        <v>0</v>
      </c>
      <c r="CT13" s="175">
        <f>IFERROR(IF(AL13,($AE13-$AF13)/LN(($AE13-AL$3)/($AF13-AL$3)),0),"")</f>
        <v>0</v>
      </c>
      <c r="CU13" s="175">
        <f>IFERROR(IF(AM13,($AE13-$AF13)/LN(($AE13-AM$3)/($AF13-AM$3)),0),"")</f>
        <v>0</v>
      </c>
      <c r="CV13" s="175">
        <f>IFERROR(IF(AN13,($AE13-$AF13)/LN(($AE13-AN$3)/($AF13-AN$3)),0),"")</f>
        <v>0</v>
      </c>
      <c r="CW13" s="175">
        <f>IFERROR(IF(AO13,($AE13-$AF13)/LN(($AE13-AO$3)/($AF13-AO$3)),0),"")</f>
        <v>0</v>
      </c>
      <c r="CX13" s="175">
        <f>IFERROR(IF(AP13,($AE13-$AF13)/LN(($AE13-AP$3)/($AF13-AP$3)),0),"")</f>
        <v>0</v>
      </c>
      <c r="CY13" s="175">
        <f>IFERROR(IF(AQ13,($AE13-$AF13)/LN(($AE13-AQ$3)/($AF13-AQ$3)),0),"")</f>
        <v>-2.1640425613334453</v>
      </c>
      <c r="CZ13" s="175">
        <f>IFERROR(IF(AR13,($AE13-$AF13)/LN(($AE13-AR$3)/($AF13-AR$3)),0),"")</f>
        <v>-3.2740700038118744</v>
      </c>
      <c r="DA13" s="175">
        <f>IFERROR(IF(AS13,($AE13-$AF13)/LN(($AE13-AS$3)/($AF13-AS$3)),0),"")</f>
        <v>-4.3280851226668906</v>
      </c>
      <c r="DB13" s="175">
        <f>IFERROR(IF(AT13,($AE13-$AF13)/LN(($AE13-AT$3)/($AF13-AT$3)),0),"")</f>
        <v>-5.3608208786743301</v>
      </c>
      <c r="DC13" s="175">
        <f>IFERROR(IF(AU13,($AE13-$AF13)/LN(($AE13-AU$3)/($AF13-AU$3)),0),"")</f>
        <v>-6.3829294357033293</v>
      </c>
      <c r="DD13" s="175"/>
      <c r="DE13" s="175">
        <f t="shared" si="24"/>
        <v>0</v>
      </c>
      <c r="DF13" s="175">
        <f t="shared" si="5"/>
        <v>0</v>
      </c>
      <c r="DG13" s="175">
        <f t="shared" si="5"/>
        <v>0</v>
      </c>
      <c r="DH13" s="175">
        <f t="shared" si="5"/>
        <v>0</v>
      </c>
      <c r="DI13" s="175">
        <f t="shared" si="5"/>
        <v>0</v>
      </c>
      <c r="DJ13" s="175">
        <f t="shared" si="5"/>
        <v>0</v>
      </c>
      <c r="DK13" s="175">
        <f t="shared" si="5"/>
        <v>0</v>
      </c>
      <c r="DL13" s="175">
        <f t="shared" si="5"/>
        <v>0</v>
      </c>
      <c r="DM13" s="175">
        <f t="shared" si="5"/>
        <v>0</v>
      </c>
      <c r="DN13" s="175">
        <f t="shared" si="5"/>
        <v>6.7497072896772323</v>
      </c>
      <c r="DO13" s="175">
        <f t="shared" si="5"/>
        <v>10.450166183905836</v>
      </c>
      <c r="DP13" s="175">
        <f t="shared" si="5"/>
        <v>14.030795858252944</v>
      </c>
      <c r="DQ13" s="175">
        <f t="shared" si="5"/>
        <v>17.587103364932027</v>
      </c>
      <c r="DR13" s="175">
        <f t="shared" si="5"/>
        <v>21.144844524276177</v>
      </c>
      <c r="DS13" s="175"/>
      <c r="DT13" s="175">
        <f t="shared" si="39"/>
        <v>0</v>
      </c>
      <c r="DU13" s="175">
        <f t="shared" si="40"/>
        <v>0</v>
      </c>
      <c r="DV13" s="175">
        <f t="shared" si="40"/>
        <v>0</v>
      </c>
      <c r="DW13" s="175">
        <f t="shared" si="40"/>
        <v>0</v>
      </c>
      <c r="DX13" s="175">
        <f t="shared" si="40"/>
        <v>0</v>
      </c>
      <c r="DY13" s="175">
        <f t="shared" si="40"/>
        <v>0</v>
      </c>
      <c r="DZ13" s="175">
        <f t="shared" si="40"/>
        <v>0</v>
      </c>
      <c r="EA13" s="175">
        <f t="shared" si="40"/>
        <v>0</v>
      </c>
      <c r="EB13" s="175">
        <f t="shared" si="40"/>
        <v>0</v>
      </c>
      <c r="EC13" s="175">
        <f t="shared" si="40"/>
        <v>19.395710602520783</v>
      </c>
      <c r="ED13" s="175">
        <f t="shared" si="40"/>
        <v>30.029213172143209</v>
      </c>
      <c r="EE13" s="175">
        <f t="shared" si="40"/>
        <v>40.318378903025703</v>
      </c>
      <c r="EF13" s="175">
        <f t="shared" si="40"/>
        <v>50.537653347505824</v>
      </c>
      <c r="EG13" s="175">
        <f t="shared" si="40"/>
        <v>60.76104748355224</v>
      </c>
      <c r="EH13" s="175"/>
      <c r="EI13" s="127"/>
      <c r="EJ13" s="127"/>
      <c r="EK13" s="127"/>
      <c r="EL13" s="127"/>
      <c r="EM13" s="127"/>
      <c r="EN13" s="127"/>
      <c r="EO13" s="127"/>
    </row>
    <row r="14" spans="1:145" customFormat="1" ht="20.100000000000001" customHeight="1" x14ac:dyDescent="0.3">
      <c r="B14" s="122" t="s">
        <v>86</v>
      </c>
      <c r="C14" s="186">
        <v>10</v>
      </c>
      <c r="D14" s="123" t="s">
        <v>79</v>
      </c>
      <c r="E14" s="130"/>
      <c r="F14" s="131">
        <f t="shared" si="6"/>
        <v>30</v>
      </c>
      <c r="G14" s="131">
        <f>IF(F14&lt;&gt;"",IF(AD14,F14+$C$16,F14-$C$15),"")</f>
        <v>25</v>
      </c>
      <c r="H14" s="133">
        <f t="shared" si="25"/>
        <v>89.161921458666242</v>
      </c>
      <c r="I14" s="133">
        <f t="shared" si="26"/>
        <v>81.392522621985322</v>
      </c>
      <c r="J14" s="133">
        <f t="shared" si="27"/>
        <v>73.643187303375427</v>
      </c>
      <c r="K14" s="133">
        <f t="shared" si="28"/>
        <v>65.910700570239854</v>
      </c>
      <c r="L14" s="133">
        <f t="shared" si="29"/>
        <v>58.189083701346313</v>
      </c>
      <c r="M14" s="133">
        <f t="shared" si="30"/>
        <v>50.467187931335516</v>
      </c>
      <c r="N14" s="133">
        <f t="shared" si="31"/>
        <v>42.723436828423495</v>
      </c>
      <c r="O14" s="133">
        <f t="shared" si="32"/>
        <v>34.91274569880337</v>
      </c>
      <c r="P14" s="133">
        <f t="shared" si="33"/>
        <v>26.92670376309465</v>
      </c>
      <c r="Q14" s="133">
        <f t="shared" si="34"/>
        <v>18.41747835483427</v>
      </c>
      <c r="R14" s="133" t="str">
        <f t="shared" si="35"/>
        <v/>
      </c>
      <c r="S14" s="133" t="str">
        <f t="shared" si="36"/>
        <v/>
      </c>
      <c r="T14" s="133" t="str">
        <f t="shared" si="37"/>
        <v/>
      </c>
      <c r="U14" s="133" t="str">
        <f t="shared" si="38"/>
        <v/>
      </c>
      <c r="V14" s="132"/>
      <c r="W14" s="135" t="s">
        <v>170</v>
      </c>
      <c r="X14" s="180">
        <f>alfa_belső</f>
        <v>300</v>
      </c>
      <c r="Y14" s="177" t="s">
        <v>116</v>
      </c>
      <c r="Z14" s="135" t="s">
        <v>170</v>
      </c>
      <c r="AA14" s="180">
        <f>alfa_belső</f>
        <v>300</v>
      </c>
      <c r="AB14" s="177" t="s">
        <v>116</v>
      </c>
      <c r="AC14" s="175">
        <f>MOD(ROW(A14),4)</f>
        <v>2</v>
      </c>
      <c r="AD14" s="175" t="b">
        <f>IF(MOD(ROW(A14),2)=0,ABS(F14-MAX(C29:C42))&gt;ABS(F14-MIN(C29:C42)),AD13)</f>
        <v>0</v>
      </c>
      <c r="AE14" s="178">
        <f>IF(MOD(ROW(A14),2)=0,F14,F13)</f>
        <v>30</v>
      </c>
      <c r="AF14" s="178">
        <f>IF(MOD(ROW(B14),2)=0,G14,G13)</f>
        <v>25</v>
      </c>
      <c r="AG14" s="178">
        <f t="shared" si="7"/>
        <v>27.5</v>
      </c>
      <c r="AH14" s="175" t="b">
        <f>OR(AND($AD14,$AE14&lt;AH$3,$AF14&lt;AH$3),AND(NOT($AD14),$AE14&gt;AH$3,$AF14&gt;AH$3))</f>
        <v>1</v>
      </c>
      <c r="AI14" s="175" t="b">
        <f>OR(AND($AD14,$AE14&lt;AI$3,$AF14&lt;AI$3),AND(NOT($AD14),$AE14&gt;AI$3,$AF14&gt;AI$3))</f>
        <v>1</v>
      </c>
      <c r="AJ14" s="175" t="b">
        <f>OR(AND($AD14,$AE14&lt;AJ$3,$AF14&lt;AJ$3),AND(NOT($AD14),$AE14&gt;AJ$3,$AF14&gt;AJ$3))</f>
        <v>1</v>
      </c>
      <c r="AK14" s="175" t="b">
        <f>OR(AND($AD14,$AE14&lt;AK$3,$AF14&lt;AK$3),AND(NOT($AD14),$AE14&gt;AK$3,$AF14&gt;AK$3))</f>
        <v>1</v>
      </c>
      <c r="AL14" s="175" t="b">
        <f>OR(AND($AD14,$AE14&lt;AL$3,$AF14&lt;AL$3),AND(NOT($AD14),$AE14&gt;AL$3,$AF14&gt;AL$3))</f>
        <v>1</v>
      </c>
      <c r="AM14" s="175" t="b">
        <f>OR(AND($AD14,$AE14&lt;AM$3,$AF14&lt;AM$3),AND(NOT($AD14),$AE14&gt;AM$3,$AF14&gt;AM$3))</f>
        <v>1</v>
      </c>
      <c r="AN14" s="175" t="b">
        <f>OR(AND($AD14,$AE14&lt;AN$3,$AF14&lt;AN$3),AND(NOT($AD14),$AE14&gt;AN$3,$AF14&gt;AN$3))</f>
        <v>1</v>
      </c>
      <c r="AO14" s="175" t="b">
        <f>OR(AND($AD14,$AE14&lt;AO$3,$AF14&lt;AO$3),AND(NOT($AD14),$AE14&gt;AO$3,$AF14&gt;AO$3))</f>
        <v>1</v>
      </c>
      <c r="AP14" s="175" t="b">
        <f>OR(AND($AD14,$AE14&lt;AP$3,$AF14&lt;AP$3),AND(NOT($AD14),$AE14&gt;AP$3,$AF14&gt;AP$3))</f>
        <v>1</v>
      </c>
      <c r="AQ14" s="175" t="b">
        <f>OR(AND($AD14,$AE14&lt;AQ$3,$AF14&lt;AQ$3),AND(NOT($AD14),$AE14&gt;AQ$3,$AF14&gt;AQ$3))</f>
        <v>1</v>
      </c>
      <c r="AR14" s="175" t="b">
        <f>OR(AND($AD14,$AE14&lt;AR$3,$AF14&lt;AR$3),AND(NOT($AD14),$AE14&gt;AR$3,$AF14&gt;AR$3))</f>
        <v>0</v>
      </c>
      <c r="AS14" s="175" t="b">
        <f>OR(AND($AD14,$AE14&lt;AS$3,$AF14&lt;AS$3),AND(NOT($AD14),$AE14&gt;AS$3,$AF14&gt;AS$3))</f>
        <v>0</v>
      </c>
      <c r="AT14" s="175" t="b">
        <f>OR(AND($AD14,$AE14&lt;AT$3,$AF14&lt;AT$3),AND(NOT($AD14),$AE14&gt;AT$3,$AF14&gt;AT$3))</f>
        <v>0</v>
      </c>
      <c r="AU14" s="175" t="b">
        <f>OR(AND($AD14,$AE14&lt;AU$3,$AF14&lt;AU$3),AND(NOT($AD14),$AE14&gt;AU$3,$AF14&gt;AU$3))</f>
        <v>0</v>
      </c>
      <c r="AV14" s="175"/>
      <c r="AW14" s="175">
        <f t="shared" si="8"/>
        <v>2.9226162380366785</v>
      </c>
      <c r="AX14" s="175">
        <f t="shared" si="2"/>
        <v>2.6888069389937441</v>
      </c>
      <c r="AY14" s="175">
        <f t="shared" si="2"/>
        <v>2.4549976399508098</v>
      </c>
      <c r="AZ14" s="175">
        <f t="shared" si="2"/>
        <v>2.2211883409078754</v>
      </c>
      <c r="BA14" s="175">
        <f t="shared" si="2"/>
        <v>1.9873790418649413</v>
      </c>
      <c r="BB14" s="175">
        <f t="shared" si="2"/>
        <v>1.7535697428220072</v>
      </c>
      <c r="BC14" s="175">
        <f t="shared" si="2"/>
        <v>1.5197604437790728</v>
      </c>
      <c r="BD14" s="175">
        <f t="shared" si="2"/>
        <v>1.2859511447361385</v>
      </c>
      <c r="BE14" s="175">
        <f t="shared" si="2"/>
        <v>1.0521418456932043</v>
      </c>
      <c r="BF14" s="175">
        <f t="shared" si="2"/>
        <v>0.81833254665027</v>
      </c>
      <c r="BG14" s="175">
        <f t="shared" si="2"/>
        <v>0</v>
      </c>
      <c r="BH14" s="175">
        <f t="shared" si="2"/>
        <v>0</v>
      </c>
      <c r="BI14" s="175">
        <f t="shared" si="2"/>
        <v>0</v>
      </c>
      <c r="BJ14" s="175">
        <f t="shared" si="2"/>
        <v>0</v>
      </c>
      <c r="BK14" s="175"/>
      <c r="BL14" s="175">
        <f t="shared" si="9"/>
        <v>26.680128555195214</v>
      </c>
      <c r="BM14" s="175">
        <f t="shared" si="3"/>
        <v>26.745718270779594</v>
      </c>
      <c r="BN14" s="175">
        <f t="shared" si="3"/>
        <v>26.811307986363978</v>
      </c>
      <c r="BO14" s="175">
        <f t="shared" si="3"/>
        <v>26.876897701948362</v>
      </c>
      <c r="BP14" s="175">
        <f t="shared" si="3"/>
        <v>26.942487417532746</v>
      </c>
      <c r="BQ14" s="175">
        <f t="shared" si="3"/>
        <v>27.008077133117126</v>
      </c>
      <c r="BR14" s="175">
        <f t="shared" si="3"/>
        <v>27.07366684870151</v>
      </c>
      <c r="BS14" s="175">
        <f t="shared" si="3"/>
        <v>27.139256564285894</v>
      </c>
      <c r="BT14" s="175">
        <f t="shared" si="3"/>
        <v>27.204846279870278</v>
      </c>
      <c r="BU14" s="175">
        <f t="shared" si="3"/>
        <v>27.270435995454658</v>
      </c>
      <c r="BV14" s="175">
        <f t="shared" si="3"/>
        <v>0</v>
      </c>
      <c r="BW14" s="175">
        <f t="shared" si="3"/>
        <v>0</v>
      </c>
      <c r="BX14" s="175">
        <f t="shared" si="3"/>
        <v>0</v>
      </c>
      <c r="BY14" s="175">
        <f t="shared" si="3"/>
        <v>0</v>
      </c>
      <c r="BZ14" s="175"/>
      <c r="CA14" s="175">
        <f>IFERROR(IF(AH14,AH$3+(BL14-AH$3)*TANH($X$26*$X$27)/($X$26*$X$27),0),"")</f>
        <v>26.405232414785822</v>
      </c>
      <c r="CB14" s="175">
        <f>IFERROR(IF(AI14,AI$3+(BM14-AI$3)*TANH($X$26*$X$27)/($X$26*$X$27),0),"")</f>
        <v>26.492813821602951</v>
      </c>
      <c r="CC14" s="175">
        <f>IFERROR(IF(AJ14,AJ$3+(BN14-AJ$3)*TANH($X$26*$X$27)/($X$26*$X$27),0),"")</f>
        <v>26.580395228420088</v>
      </c>
      <c r="CD14" s="175">
        <f>IFERROR(IF(AK14,AK$3+(BO14-AK$3)*TANH($X$26*$X$27)/($X$26*$X$27),0),"")</f>
        <v>26.667976635237221</v>
      </c>
      <c r="CE14" s="175">
        <f>IFERROR(IF(AL14,AL$3+(BP14-AL$3)*TANH($X$26*$X$27)/($X$26*$X$27),0),"")</f>
        <v>26.755558042054357</v>
      </c>
      <c r="CF14" s="175">
        <f>IFERROR(IF(AM14,AM$3+(BQ14-AM$3)*TANH($X$26*$X$27)/($X$26*$X$27),0),"")</f>
        <v>26.84313944887149</v>
      </c>
      <c r="CG14" s="175">
        <f>IFERROR(IF(AN14,AN$3+(BR14-AN$3)*TANH($X$26*$X$27)/($X$26*$X$27),0),"")</f>
        <v>26.930720855688627</v>
      </c>
      <c r="CH14" s="175">
        <f>IFERROR(IF(AO14,AO$3+(BS14-AO$3)*TANH($X$26*$X$27)/($X$26*$X$27),0),"")</f>
        <v>27.01830226250576</v>
      </c>
      <c r="CI14" s="175">
        <f>IFERROR(IF(AP14,AP$3+(BT14-AP$3)*TANH($X$26*$X$27)/($X$26*$X$27),0),"")</f>
        <v>27.105883669322896</v>
      </c>
      <c r="CJ14" s="175">
        <f>IFERROR(IF(AQ14,AQ$3+(BU14-AQ$3)*TANH($X$26*$X$27)/($X$26*$X$27),0),"")</f>
        <v>27.193465076140029</v>
      </c>
      <c r="CK14" s="175">
        <f>IFERROR(IF(AR14,AR$3+(BV14-AR$3)*TANH($X$26*$X$27)/($X$26*$X$27),0),"")</f>
        <v>0</v>
      </c>
      <c r="CL14" s="175">
        <f>IFERROR(IF(AS14,AS$3+(BW14-AS$3)*TANH($X$26*$X$27)/($X$26*$X$27),0),"")</f>
        <v>0</v>
      </c>
      <c r="CM14" s="175">
        <f>IFERROR(IF(AT14,AT$3+(BX14-AT$3)*TANH($X$26*$X$27)/($X$26*$X$27),0),"")</f>
        <v>0</v>
      </c>
      <c r="CN14" s="175">
        <f>IFERROR(IF(AU14,AU$3+(BY14-AU$3)*TANH($X$26*$X$27)/($X$26*$X$27),0),"")</f>
        <v>0</v>
      </c>
      <c r="CO14" s="175"/>
      <c r="CP14" s="175">
        <f>IFERROR(IF(AH14,($AE14-$AF14)/LN(($AE14-AH$3)/($AF14-AH$3)),0),"")</f>
        <v>12.331517311882159</v>
      </c>
      <c r="CQ14" s="175">
        <f>IFERROR(IF(AI14,($AE14-$AF14)/LN(($AE14-AI$3)/($AF14-AI$3)),0),"")</f>
        <v>11.316499227839616</v>
      </c>
      <c r="CR14" s="175">
        <f>IFERROR(IF(AJ14,($AE14-$AF14)/LN(($AE14-AJ$3)/($AF14-AJ$3)),0),"")</f>
        <v>10.298495384568954</v>
      </c>
      <c r="CS14" s="175">
        <f>IFERROR(IF(AK14,($AE14-$AF14)/LN(($AE14-AK$3)/($AF14-AK$3)),0),"")</f>
        <v>9.2764980722569277</v>
      </c>
      <c r="CT14" s="175">
        <f>IFERROR(IF(AL14,($AE14-$AF14)/LN(($AE14-AL$3)/($AF14-AL$3)),0),"")</f>
        <v>8.2489765008906435</v>
      </c>
      <c r="CU14" s="175">
        <f>IFERROR(IF(AM14,($AE14-$AF14)/LN(($AE14-AM$3)/($AF14-AM$3)),0),"")</f>
        <v>7.2134752044448174</v>
      </c>
      <c r="CV14" s="175">
        <f>IFERROR(IF(AN14,($AE14-$AF14)/LN(($AE14-AN$3)/($AF14-AN$3)),0),"")</f>
        <v>6.1657586559410795</v>
      </c>
      <c r="CW14" s="175">
        <f>IFERROR(IF(AO14,($AE14-$AF14)/LN(($AE14-AO$3)/($AF14-AO$3)),0),"")</f>
        <v>5.0977272391163311</v>
      </c>
      <c r="CX14" s="175">
        <f>IFERROR(IF(AP14,($AE14-$AF14)/LN(($AE14-AP$3)/($AF14-AP$3)),0),"")</f>
        <v>3.9911780007396405</v>
      </c>
      <c r="CY14" s="175">
        <f>IFERROR(IF(AQ14,($AE14-$AF14)/LN(($AE14-AQ$3)/($AF14-AQ$3)),0),"")</f>
        <v>2.7905531327562363</v>
      </c>
      <c r="CZ14" s="175">
        <f>IFERROR(IF(AR14,($AE14-$AF14)/LN(($AE14-AR$3)/($AF14-AR$3)),0),"")</f>
        <v>0</v>
      </c>
      <c r="DA14" s="175">
        <f>IFERROR(IF(AS14,($AE14-$AF14)/LN(($AE14-AS$3)/($AF14-AS$3)),0),"")</f>
        <v>0</v>
      </c>
      <c r="DB14" s="175">
        <f>IFERROR(IF(AT14,($AE14-$AF14)/LN(($AE14-AT$3)/($AF14-AT$3)),0),"")</f>
        <v>0</v>
      </c>
      <c r="DC14" s="175">
        <f>IFERROR(IF(AU14,($AE14-$AF14)/LN(($AE14-AU$3)/($AF14-AU$3)),0),"")</f>
        <v>0</v>
      </c>
      <c r="DD14" s="175"/>
      <c r="DE14" s="175">
        <f t="shared" si="24"/>
        <v>31.028348667615852</v>
      </c>
      <c r="DF14" s="175">
        <f t="shared" si="5"/>
        <v>28.324597872450891</v>
      </c>
      <c r="DG14" s="175">
        <f t="shared" si="5"/>
        <v>25.627829181574647</v>
      </c>
      <c r="DH14" s="175">
        <f t="shared" si="5"/>
        <v>22.936923798443466</v>
      </c>
      <c r="DI14" s="175">
        <f t="shared" si="5"/>
        <v>20.249801128068516</v>
      </c>
      <c r="DJ14" s="175">
        <f t="shared" si="5"/>
        <v>17.562581400104758</v>
      </c>
      <c r="DK14" s="175">
        <f t="shared" si="5"/>
        <v>14.867756016291375</v>
      </c>
      <c r="DL14" s="175">
        <f t="shared" si="5"/>
        <v>12.149635503183571</v>
      </c>
      <c r="DM14" s="175">
        <f t="shared" si="5"/>
        <v>9.3704929095569369</v>
      </c>
      <c r="DN14" s="175">
        <f t="shared" si="5"/>
        <v>6.409282467482325</v>
      </c>
      <c r="DO14" s="175">
        <f t="shared" si="5"/>
        <v>0</v>
      </c>
      <c r="DP14" s="175">
        <f t="shared" si="5"/>
        <v>0</v>
      </c>
      <c r="DQ14" s="175">
        <f t="shared" si="5"/>
        <v>0</v>
      </c>
      <c r="DR14" s="175">
        <f t="shared" si="5"/>
        <v>0</v>
      </c>
      <c r="DS14" s="175"/>
      <c r="DT14" s="175">
        <f t="shared" si="39"/>
        <v>89.161921458666242</v>
      </c>
      <c r="DU14" s="175">
        <f t="shared" si="40"/>
        <v>81.392522621985322</v>
      </c>
      <c r="DV14" s="175">
        <f t="shared" si="40"/>
        <v>73.643187303375427</v>
      </c>
      <c r="DW14" s="175">
        <f t="shared" si="40"/>
        <v>65.910700570239854</v>
      </c>
      <c r="DX14" s="175">
        <f t="shared" si="40"/>
        <v>58.189083701346313</v>
      </c>
      <c r="DY14" s="175">
        <f t="shared" si="40"/>
        <v>50.467187931335516</v>
      </c>
      <c r="DZ14" s="175">
        <f t="shared" si="40"/>
        <v>42.723436828423495</v>
      </c>
      <c r="EA14" s="175">
        <f t="shared" si="40"/>
        <v>34.91274569880337</v>
      </c>
      <c r="EB14" s="175">
        <f t="shared" si="40"/>
        <v>26.92670376309465</v>
      </c>
      <c r="EC14" s="175">
        <f t="shared" si="40"/>
        <v>18.41747835483427</v>
      </c>
      <c r="ED14" s="175">
        <f t="shared" si="40"/>
        <v>0</v>
      </c>
      <c r="EE14" s="175">
        <f t="shared" si="40"/>
        <v>0</v>
      </c>
      <c r="EF14" s="175">
        <f t="shared" si="40"/>
        <v>0</v>
      </c>
      <c r="EG14" s="175">
        <f t="shared" si="40"/>
        <v>0</v>
      </c>
      <c r="EH14" s="175"/>
      <c r="EI14" s="127"/>
      <c r="EJ14" s="127"/>
      <c r="EK14" s="127"/>
      <c r="EL14" s="127"/>
      <c r="EM14" s="127"/>
      <c r="EN14" s="127"/>
      <c r="EO14" s="127"/>
    </row>
    <row r="15" spans="1:145" customFormat="1" ht="20.100000000000001" customHeight="1" x14ac:dyDescent="0.3">
      <c r="B15" s="122" t="s">
        <v>97</v>
      </c>
      <c r="C15" s="186">
        <v>5</v>
      </c>
      <c r="D15" s="123" t="s">
        <v>87</v>
      </c>
      <c r="E15" s="130"/>
      <c r="F15" s="131" t="str">
        <f t="shared" si="6"/>
        <v/>
      </c>
      <c r="G15" s="131" t="str">
        <f>IF(F15&lt;&gt;"",IF(AD15,F15+$C$16,F15-$C$15),"")</f>
        <v/>
      </c>
      <c r="H15" s="133">
        <f t="shared" ref="H15:U15" si="42">IFERROR(IF(AH15,ABS(CA15),""),"")</f>
        <v>26.405232414785822</v>
      </c>
      <c r="I15" s="133">
        <f t="shared" si="42"/>
        <v>26.492813821602951</v>
      </c>
      <c r="J15" s="133">
        <f t="shared" si="42"/>
        <v>26.580395228420088</v>
      </c>
      <c r="K15" s="133">
        <f t="shared" si="42"/>
        <v>26.667976635237221</v>
      </c>
      <c r="L15" s="133">
        <f t="shared" si="42"/>
        <v>26.755558042054357</v>
      </c>
      <c r="M15" s="133">
        <f t="shared" si="42"/>
        <v>26.84313944887149</v>
      </c>
      <c r="N15" s="133">
        <f t="shared" si="42"/>
        <v>26.930720855688627</v>
      </c>
      <c r="O15" s="133">
        <f t="shared" si="42"/>
        <v>27.01830226250576</v>
      </c>
      <c r="P15" s="133">
        <f t="shared" si="42"/>
        <v>27.105883669322896</v>
      </c>
      <c r="Q15" s="133">
        <f t="shared" si="42"/>
        <v>27.193465076140029</v>
      </c>
      <c r="R15" s="133" t="str">
        <f t="shared" si="42"/>
        <v/>
      </c>
      <c r="S15" s="133" t="str">
        <f t="shared" si="42"/>
        <v/>
      </c>
      <c r="T15" s="133" t="str">
        <f t="shared" si="42"/>
        <v/>
      </c>
      <c r="U15" s="133" t="str">
        <f t="shared" si="42"/>
        <v/>
      </c>
      <c r="W15" s="135" t="s">
        <v>171</v>
      </c>
      <c r="X15" s="180">
        <f>IF(ISBLANK(alfa_külső),6.5,alfa_külső)</f>
        <v>6.5</v>
      </c>
      <c r="Y15" s="177" t="s">
        <v>117</v>
      </c>
      <c r="Z15" s="135" t="s">
        <v>171</v>
      </c>
      <c r="AA15" s="180">
        <f>IF(ISBLANK(alfa_külső),10.8,alfa_külső)</f>
        <v>10.8</v>
      </c>
      <c r="AB15" s="177" t="s">
        <v>117</v>
      </c>
      <c r="AC15" s="175">
        <f>MOD(ROW(A15),4)</f>
        <v>3</v>
      </c>
      <c r="AD15" s="175" t="b">
        <f>IF(MOD(ROW(A15),2)=0,ABS(F15-MAX(C30:C43))&gt;ABS(F15-MIN(C30:C43)),AD14)</f>
        <v>0</v>
      </c>
      <c r="AE15" s="178">
        <f>IF(MOD(ROW(A15),2)=0,F15,F14)</f>
        <v>30</v>
      </c>
      <c r="AF15" s="178">
        <f>IF(MOD(ROW(B15),2)=0,G15,G14)</f>
        <v>25</v>
      </c>
      <c r="AG15" s="178">
        <f t="shared" si="7"/>
        <v>27.5</v>
      </c>
      <c r="AH15" s="175" t="b">
        <f>OR(AND($AD15,$AE15&lt;AH$3,$AF15&lt;AH$3),AND(NOT($AD15),$AE15&gt;AH$3,$AF15&gt;AH$3))</f>
        <v>1</v>
      </c>
      <c r="AI15" s="175" t="b">
        <f>OR(AND($AD15,$AE15&lt;AI$3,$AF15&lt;AI$3),AND(NOT($AD15),$AE15&gt;AI$3,$AF15&gt;AI$3))</f>
        <v>1</v>
      </c>
      <c r="AJ15" s="175" t="b">
        <f>OR(AND($AD15,$AE15&lt;AJ$3,$AF15&lt;AJ$3),AND(NOT($AD15),$AE15&gt;AJ$3,$AF15&gt;AJ$3))</f>
        <v>1</v>
      </c>
      <c r="AK15" s="175" t="b">
        <f>OR(AND($AD15,$AE15&lt;AK$3,$AF15&lt;AK$3),AND(NOT($AD15),$AE15&gt;AK$3,$AF15&gt;AK$3))</f>
        <v>1</v>
      </c>
      <c r="AL15" s="175" t="b">
        <f>OR(AND($AD15,$AE15&lt;AL$3,$AF15&lt;AL$3),AND(NOT($AD15),$AE15&gt;AL$3,$AF15&gt;AL$3))</f>
        <v>1</v>
      </c>
      <c r="AM15" s="175" t="b">
        <f>OR(AND($AD15,$AE15&lt;AM$3,$AF15&lt;AM$3),AND(NOT($AD15),$AE15&gt;AM$3,$AF15&gt;AM$3))</f>
        <v>1</v>
      </c>
      <c r="AN15" s="175" t="b">
        <f>OR(AND($AD15,$AE15&lt;AN$3,$AF15&lt;AN$3),AND(NOT($AD15),$AE15&gt;AN$3,$AF15&gt;AN$3))</f>
        <v>1</v>
      </c>
      <c r="AO15" s="175" t="b">
        <f>OR(AND($AD15,$AE15&lt;AO$3,$AF15&lt;AO$3),AND(NOT($AD15),$AE15&gt;AO$3,$AF15&gt;AO$3))</f>
        <v>1</v>
      </c>
      <c r="AP15" s="175" t="b">
        <f>OR(AND($AD15,$AE15&lt;AP$3,$AF15&lt;AP$3),AND(NOT($AD15),$AE15&gt;AP$3,$AF15&gt;AP$3))</f>
        <v>1</v>
      </c>
      <c r="AQ15" s="175" t="b">
        <f>OR(AND($AD15,$AE15&lt;AQ$3,$AF15&lt;AQ$3),AND(NOT($AD15),$AE15&gt;AQ$3,$AF15&gt;AQ$3))</f>
        <v>1</v>
      </c>
      <c r="AR15" s="175" t="b">
        <f>OR(AND($AD15,$AE15&lt;AR$3,$AF15&lt;AR$3),AND(NOT($AD15),$AE15&gt;AR$3,$AF15&gt;AR$3))</f>
        <v>0</v>
      </c>
      <c r="AS15" s="175" t="b">
        <f>OR(AND($AD15,$AE15&lt;AS$3,$AF15&lt;AS$3),AND(NOT($AD15),$AE15&gt;AS$3,$AF15&gt;AS$3))</f>
        <v>0</v>
      </c>
      <c r="AT15" s="175" t="b">
        <f>OR(AND($AD15,$AE15&lt;AT$3,$AF15&lt;AT$3),AND(NOT($AD15),$AE15&gt;AT$3,$AF15&gt;AT$3))</f>
        <v>0</v>
      </c>
      <c r="AU15" s="175" t="b">
        <f>OR(AND($AD15,$AE15&lt;AU$3,$AF15&lt;AU$3),AND(NOT($AD15),$AE15&gt;AU$3,$AF15&gt;AU$3))</f>
        <v>0</v>
      </c>
      <c r="AV15" s="175"/>
      <c r="AW15" s="175">
        <f t="shared" si="8"/>
        <v>2.9226162380366785</v>
      </c>
      <c r="AX15" s="175">
        <f t="shared" si="2"/>
        <v>2.6888069389937441</v>
      </c>
      <c r="AY15" s="175">
        <f t="shared" si="2"/>
        <v>2.4549976399508098</v>
      </c>
      <c r="AZ15" s="175">
        <f t="shared" si="2"/>
        <v>2.2211883409078754</v>
      </c>
      <c r="BA15" s="175">
        <f t="shared" si="2"/>
        <v>1.9873790418649413</v>
      </c>
      <c r="BB15" s="175">
        <f t="shared" si="2"/>
        <v>1.7535697428220072</v>
      </c>
      <c r="BC15" s="175">
        <f t="shared" si="2"/>
        <v>1.5197604437790728</v>
      </c>
      <c r="BD15" s="175">
        <f t="shared" si="2"/>
        <v>1.2859511447361385</v>
      </c>
      <c r="BE15" s="175">
        <f t="shared" si="2"/>
        <v>1.0521418456932043</v>
      </c>
      <c r="BF15" s="175">
        <f t="shared" si="2"/>
        <v>0.81833254665027</v>
      </c>
      <c r="BG15" s="175">
        <f t="shared" si="2"/>
        <v>0</v>
      </c>
      <c r="BH15" s="175">
        <f t="shared" si="2"/>
        <v>0</v>
      </c>
      <c r="BI15" s="175">
        <f t="shared" si="2"/>
        <v>0</v>
      </c>
      <c r="BJ15" s="175">
        <f t="shared" si="2"/>
        <v>0</v>
      </c>
      <c r="BK15" s="175"/>
      <c r="BL15" s="175">
        <f t="shared" si="9"/>
        <v>26.680128555195214</v>
      </c>
      <c r="BM15" s="175">
        <f t="shared" si="3"/>
        <v>26.745718270779594</v>
      </c>
      <c r="BN15" s="175">
        <f t="shared" si="3"/>
        <v>26.811307986363978</v>
      </c>
      <c r="BO15" s="175">
        <f t="shared" si="3"/>
        <v>26.876897701948362</v>
      </c>
      <c r="BP15" s="175">
        <f t="shared" si="3"/>
        <v>26.942487417532746</v>
      </c>
      <c r="BQ15" s="175">
        <f t="shared" si="3"/>
        <v>27.008077133117126</v>
      </c>
      <c r="BR15" s="175">
        <f t="shared" si="3"/>
        <v>27.07366684870151</v>
      </c>
      <c r="BS15" s="175">
        <f t="shared" si="3"/>
        <v>27.139256564285894</v>
      </c>
      <c r="BT15" s="175">
        <f t="shared" si="3"/>
        <v>27.204846279870278</v>
      </c>
      <c r="BU15" s="175">
        <f t="shared" si="3"/>
        <v>27.270435995454658</v>
      </c>
      <c r="BV15" s="175">
        <f t="shared" si="3"/>
        <v>0</v>
      </c>
      <c r="BW15" s="175">
        <f t="shared" si="3"/>
        <v>0</v>
      </c>
      <c r="BX15" s="175">
        <f t="shared" si="3"/>
        <v>0</v>
      </c>
      <c r="BY15" s="175">
        <f t="shared" si="3"/>
        <v>0</v>
      </c>
      <c r="BZ15" s="175"/>
      <c r="CA15" s="175">
        <f>IFERROR(IF(AH15,AH$3+(BL15-AH$3)*TANH($X$26*$X$27)/($X$26*$X$27),0),"")</f>
        <v>26.405232414785822</v>
      </c>
      <c r="CB15" s="175">
        <f>IFERROR(IF(AI15,AI$3+(BM15-AI$3)*TANH($X$26*$X$27)/($X$26*$X$27),0),"")</f>
        <v>26.492813821602951</v>
      </c>
      <c r="CC15" s="175">
        <f>IFERROR(IF(AJ15,AJ$3+(BN15-AJ$3)*TANH($X$26*$X$27)/($X$26*$X$27),0),"")</f>
        <v>26.580395228420088</v>
      </c>
      <c r="CD15" s="175">
        <f>IFERROR(IF(AK15,AK$3+(BO15-AK$3)*TANH($X$26*$X$27)/($X$26*$X$27),0),"")</f>
        <v>26.667976635237221</v>
      </c>
      <c r="CE15" s="175">
        <f>IFERROR(IF(AL15,AL$3+(BP15-AL$3)*TANH($X$26*$X$27)/($X$26*$X$27),0),"")</f>
        <v>26.755558042054357</v>
      </c>
      <c r="CF15" s="175">
        <f>IFERROR(IF(AM15,AM$3+(BQ15-AM$3)*TANH($X$26*$X$27)/($X$26*$X$27),0),"")</f>
        <v>26.84313944887149</v>
      </c>
      <c r="CG15" s="175">
        <f>IFERROR(IF(AN15,AN$3+(BR15-AN$3)*TANH($X$26*$X$27)/($X$26*$X$27),0),"")</f>
        <v>26.930720855688627</v>
      </c>
      <c r="CH15" s="175">
        <f>IFERROR(IF(AO15,AO$3+(BS15-AO$3)*TANH($X$26*$X$27)/($X$26*$X$27),0),"")</f>
        <v>27.01830226250576</v>
      </c>
      <c r="CI15" s="175">
        <f>IFERROR(IF(AP15,AP$3+(BT15-AP$3)*TANH($X$26*$X$27)/($X$26*$X$27),0),"")</f>
        <v>27.105883669322896</v>
      </c>
      <c r="CJ15" s="175">
        <f>IFERROR(IF(AQ15,AQ$3+(BU15-AQ$3)*TANH($X$26*$X$27)/($X$26*$X$27),0),"")</f>
        <v>27.193465076140029</v>
      </c>
      <c r="CK15" s="175">
        <f>IFERROR(IF(AR15,AR$3+(BV15-AR$3)*TANH($X$26*$X$27)/($X$26*$X$27),0),"")</f>
        <v>0</v>
      </c>
      <c r="CL15" s="175">
        <f>IFERROR(IF(AS15,AS$3+(BW15-AS$3)*TANH($X$26*$X$27)/($X$26*$X$27),0),"")</f>
        <v>0</v>
      </c>
      <c r="CM15" s="175">
        <f>IFERROR(IF(AT15,AT$3+(BX15-AT$3)*TANH($X$26*$X$27)/($X$26*$X$27),0),"")</f>
        <v>0</v>
      </c>
      <c r="CN15" s="175">
        <f>IFERROR(IF(AU15,AU$3+(BY15-AU$3)*TANH($X$26*$X$27)/($X$26*$X$27),0),"")</f>
        <v>0</v>
      </c>
      <c r="CO15" s="175"/>
      <c r="CP15" s="175">
        <f>IFERROR(IF(AH15,($AE15-$AF15)/LN(($AE15-AH$3)/($AF15-AH$3)),0),"")</f>
        <v>12.331517311882159</v>
      </c>
      <c r="CQ15" s="175">
        <f>IFERROR(IF(AI15,($AE15-$AF15)/LN(($AE15-AI$3)/($AF15-AI$3)),0),"")</f>
        <v>11.316499227839616</v>
      </c>
      <c r="CR15" s="175">
        <f>IFERROR(IF(AJ15,($AE15-$AF15)/LN(($AE15-AJ$3)/($AF15-AJ$3)),0),"")</f>
        <v>10.298495384568954</v>
      </c>
      <c r="CS15" s="175">
        <f>IFERROR(IF(AK15,($AE15-$AF15)/LN(($AE15-AK$3)/($AF15-AK$3)),0),"")</f>
        <v>9.2764980722569277</v>
      </c>
      <c r="CT15" s="175">
        <f>IFERROR(IF(AL15,($AE15-$AF15)/LN(($AE15-AL$3)/($AF15-AL$3)),0),"")</f>
        <v>8.2489765008906435</v>
      </c>
      <c r="CU15" s="175">
        <f>IFERROR(IF(AM15,($AE15-$AF15)/LN(($AE15-AM$3)/($AF15-AM$3)),0),"")</f>
        <v>7.2134752044448174</v>
      </c>
      <c r="CV15" s="175">
        <f>IFERROR(IF(AN15,($AE15-$AF15)/LN(($AE15-AN$3)/($AF15-AN$3)),0),"")</f>
        <v>6.1657586559410795</v>
      </c>
      <c r="CW15" s="175">
        <f>IFERROR(IF(AO15,($AE15-$AF15)/LN(($AE15-AO$3)/($AF15-AO$3)),0),"")</f>
        <v>5.0977272391163311</v>
      </c>
      <c r="CX15" s="175">
        <f>IFERROR(IF(AP15,($AE15-$AF15)/LN(($AE15-AP$3)/($AF15-AP$3)),0),"")</f>
        <v>3.9911780007396405</v>
      </c>
      <c r="CY15" s="175">
        <f>IFERROR(IF(AQ15,($AE15-$AF15)/LN(($AE15-AQ$3)/($AF15-AQ$3)),0),"")</f>
        <v>2.7905531327562363</v>
      </c>
      <c r="CZ15" s="175">
        <f>IFERROR(IF(AR15,($AE15-$AF15)/LN(($AE15-AR$3)/($AF15-AR$3)),0),"")</f>
        <v>0</v>
      </c>
      <c r="DA15" s="175">
        <f>IFERROR(IF(AS15,($AE15-$AF15)/LN(($AE15-AS$3)/($AF15-AS$3)),0),"")</f>
        <v>0</v>
      </c>
      <c r="DB15" s="175">
        <f>IFERROR(IF(AT15,($AE15-$AF15)/LN(($AE15-AT$3)/($AF15-AT$3)),0),"")</f>
        <v>0</v>
      </c>
      <c r="DC15" s="175">
        <f>IFERROR(IF(AU15,($AE15-$AF15)/LN(($AE15-AU$3)/($AF15-AU$3)),0),"")</f>
        <v>0</v>
      </c>
      <c r="DD15" s="175"/>
      <c r="DE15" s="175">
        <f t="shared" si="24"/>
        <v>31.028348667615852</v>
      </c>
      <c r="DF15" s="175">
        <f t="shared" si="5"/>
        <v>28.324597872450891</v>
      </c>
      <c r="DG15" s="175">
        <f t="shared" si="5"/>
        <v>25.627829181574647</v>
      </c>
      <c r="DH15" s="175">
        <f t="shared" si="5"/>
        <v>22.936923798443466</v>
      </c>
      <c r="DI15" s="175">
        <f t="shared" si="5"/>
        <v>20.249801128068516</v>
      </c>
      <c r="DJ15" s="175">
        <f t="shared" si="5"/>
        <v>17.562581400104758</v>
      </c>
      <c r="DK15" s="175">
        <f t="shared" si="5"/>
        <v>14.867756016291375</v>
      </c>
      <c r="DL15" s="175">
        <f t="shared" si="5"/>
        <v>12.149635503183571</v>
      </c>
      <c r="DM15" s="175">
        <f t="shared" si="5"/>
        <v>9.3704929095569369</v>
      </c>
      <c r="DN15" s="175">
        <f t="shared" si="5"/>
        <v>6.409282467482325</v>
      </c>
      <c r="DO15" s="175">
        <f t="shared" si="5"/>
        <v>0</v>
      </c>
      <c r="DP15" s="175">
        <f t="shared" si="5"/>
        <v>0</v>
      </c>
      <c r="DQ15" s="175">
        <f t="shared" si="5"/>
        <v>0</v>
      </c>
      <c r="DR15" s="175">
        <f t="shared" si="5"/>
        <v>0</v>
      </c>
      <c r="DS15" s="175"/>
      <c r="DT15" s="175">
        <f t="shared" si="39"/>
        <v>89.161921458666242</v>
      </c>
      <c r="DU15" s="175">
        <f t="shared" si="40"/>
        <v>81.392522621985322</v>
      </c>
      <c r="DV15" s="175">
        <f t="shared" si="40"/>
        <v>73.643187303375427</v>
      </c>
      <c r="DW15" s="175">
        <f t="shared" si="40"/>
        <v>65.910700570239854</v>
      </c>
      <c r="DX15" s="175">
        <f t="shared" si="40"/>
        <v>58.189083701346313</v>
      </c>
      <c r="DY15" s="175">
        <f t="shared" si="40"/>
        <v>50.467187931335516</v>
      </c>
      <c r="DZ15" s="175">
        <f t="shared" si="40"/>
        <v>42.723436828423495</v>
      </c>
      <c r="EA15" s="175">
        <f t="shared" si="40"/>
        <v>34.91274569880337</v>
      </c>
      <c r="EB15" s="175">
        <f t="shared" si="40"/>
        <v>26.92670376309465</v>
      </c>
      <c r="EC15" s="175">
        <f t="shared" si="40"/>
        <v>18.41747835483427</v>
      </c>
      <c r="ED15" s="175">
        <f t="shared" si="40"/>
        <v>0</v>
      </c>
      <c r="EE15" s="175">
        <f t="shared" si="40"/>
        <v>0</v>
      </c>
      <c r="EF15" s="175">
        <f t="shared" si="40"/>
        <v>0</v>
      </c>
      <c r="EG15" s="175">
        <f t="shared" si="40"/>
        <v>0</v>
      </c>
      <c r="EH15" s="175"/>
      <c r="EI15" s="127"/>
      <c r="EJ15" s="127"/>
      <c r="EK15" s="127"/>
      <c r="EL15" s="127"/>
      <c r="EM15" s="127"/>
      <c r="EN15" s="127"/>
      <c r="EO15" s="127"/>
    </row>
    <row r="16" spans="1:145" customFormat="1" ht="20.100000000000001" customHeight="1" thickBot="1" x14ac:dyDescent="0.35">
      <c r="B16" s="124" t="s">
        <v>98</v>
      </c>
      <c r="C16" s="188">
        <v>3</v>
      </c>
      <c r="D16" s="125" t="s">
        <v>87</v>
      </c>
      <c r="E16" s="130"/>
      <c r="F16" s="131">
        <f t="shared" si="6"/>
        <v>35</v>
      </c>
      <c r="G16" s="131">
        <f>IF(F16&lt;&gt;"",IF(AD16,F16+$C$16,F16-$C$15),"")</f>
        <v>30</v>
      </c>
      <c r="H16" s="133">
        <f t="shared" si="25"/>
        <v>128.34271020074772</v>
      </c>
      <c r="I16" s="133">
        <f t="shared" si="26"/>
        <v>120.46169161948278</v>
      </c>
      <c r="J16" s="133">
        <f t="shared" si="27"/>
        <v>112.60288901500415</v>
      </c>
      <c r="K16" s="133">
        <f t="shared" si="28"/>
        <v>104.76662975158094</v>
      </c>
      <c r="L16" s="133">
        <f t="shared" si="29"/>
        <v>96.953041394588084</v>
      </c>
      <c r="M16" s="133">
        <f t="shared" si="30"/>
        <v>89.161921458666242</v>
      </c>
      <c r="N16" s="133">
        <f t="shared" si="31"/>
        <v>81.392522621985322</v>
      </c>
      <c r="O16" s="133">
        <f t="shared" si="32"/>
        <v>73.643187303375427</v>
      </c>
      <c r="P16" s="133">
        <f t="shared" si="33"/>
        <v>65.910700570239854</v>
      </c>
      <c r="Q16" s="133">
        <f t="shared" si="34"/>
        <v>58.189083701346313</v>
      </c>
      <c r="R16" s="133">
        <f t="shared" si="35"/>
        <v>50.467187931335516</v>
      </c>
      <c r="S16" s="133">
        <f t="shared" si="36"/>
        <v>42.723436828423495</v>
      </c>
      <c r="T16" s="133">
        <f t="shared" si="37"/>
        <v>34.91274569880337</v>
      </c>
      <c r="U16" s="133">
        <f t="shared" si="38"/>
        <v>26.92670376309465</v>
      </c>
      <c r="W16" s="135" t="s">
        <v>172</v>
      </c>
      <c r="X16" s="181">
        <f>1/(X14*X8)</f>
        <v>0.14338283161432011</v>
      </c>
      <c r="Y16" s="177" t="s">
        <v>118</v>
      </c>
      <c r="Z16" s="135" t="s">
        <v>172</v>
      </c>
      <c r="AA16" s="181">
        <f>1/(AA14*X8)</f>
        <v>0.14338283161432011</v>
      </c>
      <c r="AB16" s="177" t="s">
        <v>118</v>
      </c>
      <c r="AC16" s="175">
        <f>MOD(ROW(A16),4)</f>
        <v>0</v>
      </c>
      <c r="AD16" s="175" t="b">
        <f>IF(MOD(ROW(A16),2)=0,ABS(F16-MAX(C31:C44))&gt;ABS(F16-MIN(C31:C44)),AD15)</f>
        <v>0</v>
      </c>
      <c r="AE16" s="178">
        <f>IF(MOD(ROW(A16),2)=0,F16,F15)</f>
        <v>35</v>
      </c>
      <c r="AF16" s="178">
        <f>IF(MOD(ROW(B16),2)=0,G16,G15)</f>
        <v>30</v>
      </c>
      <c r="AG16" s="178">
        <f t="shared" si="7"/>
        <v>32.5</v>
      </c>
      <c r="AH16" s="175" t="b">
        <f>OR(AND($AD16,$AE16&lt;AH$3,$AF16&lt;AH$3),AND(NOT($AD16),$AE16&gt;AH$3,$AF16&gt;AH$3))</f>
        <v>1</v>
      </c>
      <c r="AI16" s="175" t="b">
        <f>OR(AND($AD16,$AE16&lt;AI$3,$AF16&lt;AI$3),AND(NOT($AD16),$AE16&gt;AI$3,$AF16&gt;AI$3))</f>
        <v>1</v>
      </c>
      <c r="AJ16" s="175" t="b">
        <f>OR(AND($AD16,$AE16&lt;AJ$3,$AF16&lt;AJ$3),AND(NOT($AD16),$AE16&gt;AJ$3,$AF16&gt;AJ$3))</f>
        <v>1</v>
      </c>
      <c r="AK16" s="175" t="b">
        <f>OR(AND($AD16,$AE16&lt;AK$3,$AF16&lt;AK$3),AND(NOT($AD16),$AE16&gt;AK$3,$AF16&gt;AK$3))</f>
        <v>1</v>
      </c>
      <c r="AL16" s="175" t="b">
        <f>OR(AND($AD16,$AE16&lt;AL$3,$AF16&lt;AL$3),AND(NOT($AD16),$AE16&gt;AL$3,$AF16&gt;AL$3))</f>
        <v>1</v>
      </c>
      <c r="AM16" s="175" t="b">
        <f>OR(AND($AD16,$AE16&lt;AM$3,$AF16&lt;AM$3),AND(NOT($AD16),$AE16&gt;AM$3,$AF16&gt;AM$3))</f>
        <v>1</v>
      </c>
      <c r="AN16" s="175" t="b">
        <f>OR(AND($AD16,$AE16&lt;AN$3,$AF16&lt;AN$3),AND(NOT($AD16),$AE16&gt;AN$3,$AF16&gt;AN$3))</f>
        <v>1</v>
      </c>
      <c r="AO16" s="175" t="b">
        <f>OR(AND($AD16,$AE16&lt;AO$3,$AF16&lt;AO$3),AND(NOT($AD16),$AE16&gt;AO$3,$AF16&gt;AO$3))</f>
        <v>1</v>
      </c>
      <c r="AP16" s="175" t="b">
        <f>OR(AND($AD16,$AE16&lt;AP$3,$AF16&lt;AP$3),AND(NOT($AD16),$AE16&gt;AP$3,$AF16&gt;AP$3))</f>
        <v>1</v>
      </c>
      <c r="AQ16" s="175" t="b">
        <f>OR(AND($AD16,$AE16&lt;AQ$3,$AF16&lt;AQ$3),AND(NOT($AD16),$AE16&gt;AQ$3,$AF16&gt;AQ$3))</f>
        <v>1</v>
      </c>
      <c r="AR16" s="175" t="b">
        <f>OR(AND($AD16,$AE16&lt;AR$3,$AF16&lt;AR$3),AND(NOT($AD16),$AE16&gt;AR$3,$AF16&gt;AR$3))</f>
        <v>1</v>
      </c>
      <c r="AS16" s="175" t="b">
        <f>OR(AND($AD16,$AE16&lt;AS$3,$AF16&lt;AS$3),AND(NOT($AD16),$AE16&gt;AS$3,$AF16&gt;AS$3))</f>
        <v>1</v>
      </c>
      <c r="AT16" s="175" t="b">
        <f>OR(AND($AD16,$AE16&lt;AT$3,$AF16&lt;AT$3),AND(NOT($AD16),$AE16&gt;AT$3,$AF16&gt;AT$3))</f>
        <v>1</v>
      </c>
      <c r="AU16" s="175" t="b">
        <f>OR(AND($AD16,$AE16&lt;AU$3,$AF16&lt;AU$3),AND(NOT($AD16),$AE16&gt;AU$3,$AF16&gt;AU$3))</f>
        <v>1</v>
      </c>
      <c r="AV16" s="175"/>
      <c r="AW16" s="175">
        <f t="shared" si="8"/>
        <v>4.0916627332513498</v>
      </c>
      <c r="AX16" s="175">
        <f t="shared" si="2"/>
        <v>3.8578534342084154</v>
      </c>
      <c r="AY16" s="175">
        <f t="shared" si="2"/>
        <v>3.6240441351654815</v>
      </c>
      <c r="AZ16" s="175">
        <f t="shared" si="2"/>
        <v>3.3902348361225472</v>
      </c>
      <c r="BA16" s="175">
        <f t="shared" si="2"/>
        <v>3.1564255370796128</v>
      </c>
      <c r="BB16" s="175">
        <f t="shared" si="2"/>
        <v>2.9226162380366785</v>
      </c>
      <c r="BC16" s="175">
        <f t="shared" si="2"/>
        <v>2.6888069389937441</v>
      </c>
      <c r="BD16" s="175">
        <f t="shared" si="2"/>
        <v>2.4549976399508098</v>
      </c>
      <c r="BE16" s="175">
        <f t="shared" si="2"/>
        <v>2.2211883409078754</v>
      </c>
      <c r="BF16" s="175">
        <f t="shared" si="2"/>
        <v>1.9873790418649413</v>
      </c>
      <c r="BG16" s="175">
        <f t="shared" si="2"/>
        <v>1.7535697428220072</v>
      </c>
      <c r="BH16" s="175">
        <f t="shared" si="2"/>
        <v>1.5197604437790728</v>
      </c>
      <c r="BI16" s="175">
        <f t="shared" si="2"/>
        <v>1.2859511447361385</v>
      </c>
      <c r="BJ16" s="175">
        <f t="shared" si="2"/>
        <v>1.0521418456932043</v>
      </c>
      <c r="BK16" s="175"/>
      <c r="BL16" s="175">
        <f t="shared" si="9"/>
        <v>31.352179977273298</v>
      </c>
      <c r="BM16" s="175">
        <f t="shared" si="3"/>
        <v>31.417769692857682</v>
      </c>
      <c r="BN16" s="175">
        <f t="shared" si="3"/>
        <v>31.483359408442062</v>
      </c>
      <c r="BO16" s="175">
        <f t="shared" si="3"/>
        <v>31.548949124026446</v>
      </c>
      <c r="BP16" s="175">
        <f t="shared" si="3"/>
        <v>31.61453883961083</v>
      </c>
      <c r="BQ16" s="175">
        <f t="shared" si="3"/>
        <v>31.680128555195214</v>
      </c>
      <c r="BR16" s="175">
        <f t="shared" si="3"/>
        <v>31.745718270779594</v>
      </c>
      <c r="BS16" s="175">
        <f t="shared" si="3"/>
        <v>31.811307986363978</v>
      </c>
      <c r="BT16" s="175">
        <f t="shared" si="3"/>
        <v>31.876897701948362</v>
      </c>
      <c r="BU16" s="175">
        <f t="shared" si="3"/>
        <v>31.942487417532746</v>
      </c>
      <c r="BV16" s="175">
        <f t="shared" si="3"/>
        <v>32.008077133117126</v>
      </c>
      <c r="BW16" s="175">
        <f t="shared" si="3"/>
        <v>32.073666848701514</v>
      </c>
      <c r="BX16" s="175">
        <f t="shared" si="3"/>
        <v>32.139256564285894</v>
      </c>
      <c r="BY16" s="175">
        <f t="shared" si="3"/>
        <v>32.204846279870274</v>
      </c>
      <c r="BZ16" s="175"/>
      <c r="CA16" s="175">
        <f>IFERROR(IF(AH16,AH$3+(BL16-AH$3)*TANH($X$26*$X$27)/($X$26*$X$27),0),"")</f>
        <v>30.967325380700146</v>
      </c>
      <c r="CB16" s="175">
        <f>IFERROR(IF(AI16,AI$3+(BM16-AI$3)*TANH($X$26*$X$27)/($X$26*$X$27),0),"")</f>
        <v>31.054906787517282</v>
      </c>
      <c r="CC16" s="175">
        <f>IFERROR(IF(AJ16,AJ$3+(BN16-AJ$3)*TANH($X$26*$X$27)/($X$26*$X$27),0),"")</f>
        <v>31.142488194334412</v>
      </c>
      <c r="CD16" s="175">
        <f>IFERROR(IF(AK16,AK$3+(BO16-AK$3)*TANH($X$26*$X$27)/($X$26*$X$27),0),"")</f>
        <v>31.230069601151548</v>
      </c>
      <c r="CE16" s="175">
        <f>IFERROR(IF(AL16,AL$3+(BP16-AL$3)*TANH($X$26*$X$27)/($X$26*$X$27),0),"")</f>
        <v>31.317651007968685</v>
      </c>
      <c r="CF16" s="175">
        <f>IFERROR(IF(AM16,AM$3+(BQ16-AM$3)*TANH($X$26*$X$27)/($X$26*$X$27),0),"")</f>
        <v>31.405232414785822</v>
      </c>
      <c r="CG16" s="175">
        <f>IFERROR(IF(AN16,AN$3+(BR16-AN$3)*TANH($X$26*$X$27)/($X$26*$X$27),0),"")</f>
        <v>31.492813821602951</v>
      </c>
      <c r="CH16" s="175">
        <f>IFERROR(IF(AO16,AO$3+(BS16-AO$3)*TANH($X$26*$X$27)/($X$26*$X$27),0),"")</f>
        <v>31.580395228420088</v>
      </c>
      <c r="CI16" s="175">
        <f>IFERROR(IF(AP16,AP$3+(BT16-AP$3)*TANH($X$26*$X$27)/($X$26*$X$27),0),"")</f>
        <v>31.667976635237221</v>
      </c>
      <c r="CJ16" s="175">
        <f>IFERROR(IF(AQ16,AQ$3+(BU16-AQ$3)*TANH($X$26*$X$27)/($X$26*$X$27),0),"")</f>
        <v>31.755558042054357</v>
      </c>
      <c r="CK16" s="175">
        <f>IFERROR(IF(AR16,AR$3+(BV16-AR$3)*TANH($X$26*$X$27)/($X$26*$X$27),0),"")</f>
        <v>31.84313944887149</v>
      </c>
      <c r="CL16" s="175">
        <f>IFERROR(IF(AS16,AS$3+(BW16-AS$3)*TANH($X$26*$X$27)/($X$26*$X$27),0),"")</f>
        <v>31.930720855688627</v>
      </c>
      <c r="CM16" s="175">
        <f>IFERROR(IF(AT16,AT$3+(BX16-AT$3)*TANH($X$26*$X$27)/($X$26*$X$27),0),"")</f>
        <v>32.018302262505763</v>
      </c>
      <c r="CN16" s="175">
        <f>IFERROR(IF(AU16,AU$3+(BY16-AU$3)*TANH($X$26*$X$27)/($X$26*$X$27),0),"")</f>
        <v>32.105883669322893</v>
      </c>
      <c r="CO16" s="175"/>
      <c r="CP16" s="175">
        <f>IFERROR(IF(AH16,($AE16-$AF16)/LN(($AE16-AH$3)/($AF16-AH$3)),0),"")</f>
        <v>17.38029748391104</v>
      </c>
      <c r="CQ16" s="175">
        <f>IFERROR(IF(AI16,($AE16-$AF16)/LN(($AE16-AI$3)/($AF16-AI$3)),0),"")</f>
        <v>16.37295498059061</v>
      </c>
      <c r="CR16" s="175">
        <f>IFERROR(IF(AJ16,($AE16-$AF16)/LN(($AE16-AJ$3)/($AF16-AJ$3)),0),"")</f>
        <v>15.364646051784067</v>
      </c>
      <c r="CS16" s="175">
        <f>IFERROR(IF(AK16,($AE16-$AF16)/LN(($AE16-AK$3)/($AF16-AK$3)),0),"")</f>
        <v>14.355164808143819</v>
      </c>
      <c r="CT16" s="175">
        <f>IFERROR(IF(AL16,($AE16-$AF16)/LN(($AE16-AL$3)/($AF16-AL$3)),0),"")</f>
        <v>13.344241826095308</v>
      </c>
      <c r="CU16" s="175">
        <f>IFERROR(IF(AM16,($AE16-$AF16)/LN(($AE16-AM$3)/($AF16-AM$3)),0),"")</f>
        <v>12.331517311882159</v>
      </c>
      <c r="CV16" s="175">
        <f>IFERROR(IF(AN16,($AE16-$AF16)/LN(($AE16-AN$3)/($AF16-AN$3)),0),"")</f>
        <v>11.316499227839616</v>
      </c>
      <c r="CW16" s="175">
        <f>IFERROR(IF(AO16,($AE16-$AF16)/LN(($AE16-AO$3)/($AF16-AO$3)),0),"")</f>
        <v>10.298495384568954</v>
      </c>
      <c r="CX16" s="175">
        <f>IFERROR(IF(AP16,($AE16-$AF16)/LN(($AE16-AP$3)/($AF16-AP$3)),0),"")</f>
        <v>9.2764980722569277</v>
      </c>
      <c r="CY16" s="175">
        <f>IFERROR(IF(AQ16,($AE16-$AF16)/LN(($AE16-AQ$3)/($AF16-AQ$3)),0),"")</f>
        <v>8.2489765008906435</v>
      </c>
      <c r="CZ16" s="175">
        <f>IFERROR(IF(AR16,($AE16-$AF16)/LN(($AE16-AR$3)/($AF16-AR$3)),0),"")</f>
        <v>7.2134752044448174</v>
      </c>
      <c r="DA16" s="175">
        <f>IFERROR(IF(AS16,($AE16-$AF16)/LN(($AE16-AS$3)/($AF16-AS$3)),0),"")</f>
        <v>6.1657586559410795</v>
      </c>
      <c r="DB16" s="175">
        <f>IFERROR(IF(AT16,($AE16-$AF16)/LN(($AE16-AT$3)/($AF16-AT$3)),0),"")</f>
        <v>5.0977272391163311</v>
      </c>
      <c r="DC16" s="175">
        <f>IFERROR(IF(AU16,($AE16-$AF16)/LN(($AE16-AU$3)/($AF16-AU$3)),0),"")</f>
        <v>3.9911780007396405</v>
      </c>
      <c r="DD16" s="175"/>
      <c r="DE16" s="175">
        <f t="shared" si="24"/>
        <v>44.6632631498602</v>
      </c>
      <c r="DF16" s="175">
        <f t="shared" si="5"/>
        <v>41.920668683580004</v>
      </c>
      <c r="DG16" s="175">
        <f t="shared" si="5"/>
        <v>39.185805377221442</v>
      </c>
      <c r="DH16" s="175">
        <f t="shared" si="5"/>
        <v>36.458787153550162</v>
      </c>
      <c r="DI16" s="175">
        <f t="shared" si="5"/>
        <v>33.739658405316653</v>
      </c>
      <c r="DJ16" s="175">
        <f t="shared" si="5"/>
        <v>31.028348667615852</v>
      </c>
      <c r="DK16" s="175">
        <f t="shared" si="5"/>
        <v>28.324597872450891</v>
      </c>
      <c r="DL16" s="175">
        <f t="shared" si="5"/>
        <v>25.627829181574647</v>
      </c>
      <c r="DM16" s="175">
        <f t="shared" si="5"/>
        <v>22.936923798443466</v>
      </c>
      <c r="DN16" s="175">
        <f t="shared" si="5"/>
        <v>20.249801128068516</v>
      </c>
      <c r="DO16" s="175">
        <f t="shared" si="5"/>
        <v>17.562581400104758</v>
      </c>
      <c r="DP16" s="175">
        <f t="shared" si="5"/>
        <v>14.867756016291375</v>
      </c>
      <c r="DQ16" s="175">
        <f t="shared" si="5"/>
        <v>12.149635503183571</v>
      </c>
      <c r="DR16" s="175">
        <f t="shared" si="5"/>
        <v>9.3704929095569369</v>
      </c>
      <c r="DS16" s="175"/>
      <c r="DT16" s="175">
        <f t="shared" si="39"/>
        <v>128.34271020074772</v>
      </c>
      <c r="DU16" s="175">
        <f t="shared" si="40"/>
        <v>120.46169161948278</v>
      </c>
      <c r="DV16" s="175">
        <f t="shared" si="40"/>
        <v>112.60288901500415</v>
      </c>
      <c r="DW16" s="175">
        <f t="shared" si="40"/>
        <v>104.76662975158094</v>
      </c>
      <c r="DX16" s="175">
        <f t="shared" si="40"/>
        <v>96.953041394588084</v>
      </c>
      <c r="DY16" s="175">
        <f t="shared" si="40"/>
        <v>89.161921458666242</v>
      </c>
      <c r="DZ16" s="175">
        <f t="shared" si="40"/>
        <v>81.392522621985322</v>
      </c>
      <c r="EA16" s="175">
        <f t="shared" si="40"/>
        <v>73.643187303375427</v>
      </c>
      <c r="EB16" s="175">
        <f t="shared" si="40"/>
        <v>65.910700570239854</v>
      </c>
      <c r="EC16" s="175">
        <f t="shared" si="40"/>
        <v>58.189083701346313</v>
      </c>
      <c r="ED16" s="175">
        <f t="shared" si="40"/>
        <v>50.467187931335516</v>
      </c>
      <c r="EE16" s="175">
        <f t="shared" si="40"/>
        <v>42.723436828423495</v>
      </c>
      <c r="EF16" s="175">
        <f t="shared" si="40"/>
        <v>34.91274569880337</v>
      </c>
      <c r="EG16" s="175">
        <f t="shared" si="40"/>
        <v>26.92670376309465</v>
      </c>
      <c r="EH16" s="175"/>
      <c r="EI16" s="127"/>
      <c r="EJ16" s="127"/>
      <c r="EK16" s="127"/>
      <c r="EL16" s="127"/>
      <c r="EM16" s="127"/>
      <c r="EN16" s="127"/>
      <c r="EO16" s="127"/>
    </row>
    <row r="17" spans="2:145" customFormat="1" ht="20.100000000000001" customHeight="1" x14ac:dyDescent="0.3">
      <c r="B17" s="140" t="s">
        <v>88</v>
      </c>
      <c r="C17" s="142" t="s">
        <v>89</v>
      </c>
      <c r="D17" s="126"/>
      <c r="E17" s="130"/>
      <c r="F17" s="131" t="str">
        <f t="shared" si="6"/>
        <v/>
      </c>
      <c r="G17" s="131" t="str">
        <f>IF(F17&lt;&gt;"",IF(AD17,F17+$C$16,F17-$C$15),"")</f>
        <v/>
      </c>
      <c r="H17" s="133">
        <f t="shared" ref="H17:U17" si="43">IFERROR(IF(AH17,ABS(CA17),""),"")</f>
        <v>30.967325380700146</v>
      </c>
      <c r="I17" s="133">
        <f t="shared" si="43"/>
        <v>31.054906787517282</v>
      </c>
      <c r="J17" s="133">
        <f t="shared" si="43"/>
        <v>31.142488194334412</v>
      </c>
      <c r="K17" s="133">
        <f t="shared" si="43"/>
        <v>31.230069601151548</v>
      </c>
      <c r="L17" s="133">
        <f t="shared" si="43"/>
        <v>31.317651007968685</v>
      </c>
      <c r="M17" s="133">
        <f t="shared" si="43"/>
        <v>31.405232414785822</v>
      </c>
      <c r="N17" s="133">
        <f t="shared" si="43"/>
        <v>31.492813821602951</v>
      </c>
      <c r="O17" s="133">
        <f t="shared" si="43"/>
        <v>31.580395228420088</v>
      </c>
      <c r="P17" s="133">
        <f t="shared" si="43"/>
        <v>31.667976635237221</v>
      </c>
      <c r="Q17" s="133">
        <f t="shared" si="43"/>
        <v>31.755558042054357</v>
      </c>
      <c r="R17" s="133">
        <f t="shared" si="43"/>
        <v>31.84313944887149</v>
      </c>
      <c r="S17" s="133">
        <f t="shared" si="43"/>
        <v>31.930720855688627</v>
      </c>
      <c r="T17" s="133">
        <f t="shared" si="43"/>
        <v>32.018302262505763</v>
      </c>
      <c r="U17" s="133">
        <f t="shared" si="43"/>
        <v>32.105883669322893</v>
      </c>
      <c r="W17" s="135" t="s">
        <v>173</v>
      </c>
      <c r="X17" s="181">
        <f>1/(X15*X12/Csőszám)</f>
        <v>3.0769230769230766</v>
      </c>
      <c r="Y17" s="177" t="s">
        <v>119</v>
      </c>
      <c r="Z17" s="135" t="s">
        <v>173</v>
      </c>
      <c r="AA17" s="181">
        <f>1/(AA15*X12/Csőszám)</f>
        <v>1.8518518518518516</v>
      </c>
      <c r="AB17" s="177" t="s">
        <v>119</v>
      </c>
      <c r="AC17" s="175">
        <f>MOD(ROW(A17),4)</f>
        <v>1</v>
      </c>
      <c r="AD17" s="175" t="b">
        <f>IF(MOD(ROW(A17),2)=0,ABS(F17-MAX(C32:C45))&gt;ABS(F17-MIN(C32:C45)),AD16)</f>
        <v>0</v>
      </c>
      <c r="AE17" s="178">
        <f>IF(MOD(ROW(A17),2)=0,F17,F16)</f>
        <v>35</v>
      </c>
      <c r="AF17" s="178">
        <f>IF(MOD(ROW(B17),2)=0,G17,G16)</f>
        <v>30</v>
      </c>
      <c r="AG17" s="178">
        <f t="shared" si="7"/>
        <v>32.5</v>
      </c>
      <c r="AH17" s="175" t="b">
        <f>OR(AND($AD17,$AE17&lt;AH$3,$AF17&lt;AH$3),AND(NOT($AD17),$AE17&gt;AH$3,$AF17&gt;AH$3))</f>
        <v>1</v>
      </c>
      <c r="AI17" s="175" t="b">
        <f>OR(AND($AD17,$AE17&lt;AI$3,$AF17&lt;AI$3),AND(NOT($AD17),$AE17&gt;AI$3,$AF17&gt;AI$3))</f>
        <v>1</v>
      </c>
      <c r="AJ17" s="175" t="b">
        <f>OR(AND($AD17,$AE17&lt;AJ$3,$AF17&lt;AJ$3),AND(NOT($AD17),$AE17&gt;AJ$3,$AF17&gt;AJ$3))</f>
        <v>1</v>
      </c>
      <c r="AK17" s="175" t="b">
        <f>OR(AND($AD17,$AE17&lt;AK$3,$AF17&lt;AK$3),AND(NOT($AD17),$AE17&gt;AK$3,$AF17&gt;AK$3))</f>
        <v>1</v>
      </c>
      <c r="AL17" s="175" t="b">
        <f>OR(AND($AD17,$AE17&lt;AL$3,$AF17&lt;AL$3),AND(NOT($AD17),$AE17&gt;AL$3,$AF17&gt;AL$3))</f>
        <v>1</v>
      </c>
      <c r="AM17" s="175" t="b">
        <f>OR(AND($AD17,$AE17&lt;AM$3,$AF17&lt;AM$3),AND(NOT($AD17),$AE17&gt;AM$3,$AF17&gt;AM$3))</f>
        <v>1</v>
      </c>
      <c r="AN17" s="175" t="b">
        <f>OR(AND($AD17,$AE17&lt;AN$3,$AF17&lt;AN$3),AND(NOT($AD17),$AE17&gt;AN$3,$AF17&gt;AN$3))</f>
        <v>1</v>
      </c>
      <c r="AO17" s="175" t="b">
        <f>OR(AND($AD17,$AE17&lt;AO$3,$AF17&lt;AO$3),AND(NOT($AD17),$AE17&gt;AO$3,$AF17&gt;AO$3))</f>
        <v>1</v>
      </c>
      <c r="AP17" s="175" t="b">
        <f>OR(AND($AD17,$AE17&lt;AP$3,$AF17&lt;AP$3),AND(NOT($AD17),$AE17&gt;AP$3,$AF17&gt;AP$3))</f>
        <v>1</v>
      </c>
      <c r="AQ17" s="175" t="b">
        <f>OR(AND($AD17,$AE17&lt;AQ$3,$AF17&lt;AQ$3),AND(NOT($AD17),$AE17&gt;AQ$3,$AF17&gt;AQ$3))</f>
        <v>1</v>
      </c>
      <c r="AR17" s="175" t="b">
        <f>OR(AND($AD17,$AE17&lt;AR$3,$AF17&lt;AR$3),AND(NOT($AD17),$AE17&gt;AR$3,$AF17&gt;AR$3))</f>
        <v>1</v>
      </c>
      <c r="AS17" s="175" t="b">
        <f>OR(AND($AD17,$AE17&lt;AS$3,$AF17&lt;AS$3),AND(NOT($AD17),$AE17&gt;AS$3,$AF17&gt;AS$3))</f>
        <v>1</v>
      </c>
      <c r="AT17" s="175" t="b">
        <f>OR(AND($AD17,$AE17&lt;AT$3,$AF17&lt;AT$3),AND(NOT($AD17),$AE17&gt;AT$3,$AF17&gt;AT$3))</f>
        <v>1</v>
      </c>
      <c r="AU17" s="175" t="b">
        <f>OR(AND($AD17,$AE17&lt;AU$3,$AF17&lt;AU$3),AND(NOT($AD17),$AE17&gt;AU$3,$AF17&gt;AU$3))</f>
        <v>1</v>
      </c>
      <c r="AV17" s="175"/>
      <c r="AW17" s="175">
        <f t="shared" si="8"/>
        <v>4.0916627332513498</v>
      </c>
      <c r="AX17" s="175">
        <f t="shared" si="2"/>
        <v>3.8578534342084154</v>
      </c>
      <c r="AY17" s="175">
        <f t="shared" si="2"/>
        <v>3.6240441351654815</v>
      </c>
      <c r="AZ17" s="175">
        <f t="shared" si="2"/>
        <v>3.3902348361225472</v>
      </c>
      <c r="BA17" s="175">
        <f t="shared" si="2"/>
        <v>3.1564255370796128</v>
      </c>
      <c r="BB17" s="175">
        <f t="shared" si="2"/>
        <v>2.9226162380366785</v>
      </c>
      <c r="BC17" s="175">
        <f t="shared" si="2"/>
        <v>2.6888069389937441</v>
      </c>
      <c r="BD17" s="175">
        <f t="shared" si="2"/>
        <v>2.4549976399508098</v>
      </c>
      <c r="BE17" s="175">
        <f t="shared" si="2"/>
        <v>2.2211883409078754</v>
      </c>
      <c r="BF17" s="175">
        <f t="shared" si="2"/>
        <v>1.9873790418649413</v>
      </c>
      <c r="BG17" s="175">
        <f t="shared" si="2"/>
        <v>1.7535697428220072</v>
      </c>
      <c r="BH17" s="175">
        <f t="shared" si="2"/>
        <v>1.5197604437790728</v>
      </c>
      <c r="BI17" s="175">
        <f t="shared" si="2"/>
        <v>1.2859511447361385</v>
      </c>
      <c r="BJ17" s="175">
        <f t="shared" si="2"/>
        <v>1.0521418456932043</v>
      </c>
      <c r="BK17" s="175"/>
      <c r="BL17" s="175">
        <f t="shared" si="9"/>
        <v>31.352179977273298</v>
      </c>
      <c r="BM17" s="175">
        <f t="shared" si="3"/>
        <v>31.417769692857682</v>
      </c>
      <c r="BN17" s="175">
        <f t="shared" si="3"/>
        <v>31.483359408442062</v>
      </c>
      <c r="BO17" s="175">
        <f t="shared" si="3"/>
        <v>31.548949124026446</v>
      </c>
      <c r="BP17" s="175">
        <f t="shared" si="3"/>
        <v>31.61453883961083</v>
      </c>
      <c r="BQ17" s="175">
        <f t="shared" si="3"/>
        <v>31.680128555195214</v>
      </c>
      <c r="BR17" s="175">
        <f t="shared" si="3"/>
        <v>31.745718270779594</v>
      </c>
      <c r="BS17" s="175">
        <f t="shared" si="3"/>
        <v>31.811307986363978</v>
      </c>
      <c r="BT17" s="175">
        <f t="shared" si="3"/>
        <v>31.876897701948362</v>
      </c>
      <c r="BU17" s="175">
        <f t="shared" si="3"/>
        <v>31.942487417532746</v>
      </c>
      <c r="BV17" s="175">
        <f t="shared" si="3"/>
        <v>32.008077133117126</v>
      </c>
      <c r="BW17" s="175">
        <f t="shared" si="3"/>
        <v>32.073666848701514</v>
      </c>
      <c r="BX17" s="175">
        <f t="shared" si="3"/>
        <v>32.139256564285894</v>
      </c>
      <c r="BY17" s="175">
        <f t="shared" si="3"/>
        <v>32.204846279870274</v>
      </c>
      <c r="BZ17" s="175"/>
      <c r="CA17" s="175">
        <f>IFERROR(IF(AH17,AH$3+(BL17-AH$3)*TANH($X$26*$X$27)/($X$26*$X$27),0),"")</f>
        <v>30.967325380700146</v>
      </c>
      <c r="CB17" s="175">
        <f>IFERROR(IF(AI17,AI$3+(BM17-AI$3)*TANH($X$26*$X$27)/($X$26*$X$27),0),"")</f>
        <v>31.054906787517282</v>
      </c>
      <c r="CC17" s="175">
        <f>IFERROR(IF(AJ17,AJ$3+(BN17-AJ$3)*TANH($X$26*$X$27)/($X$26*$X$27),0),"")</f>
        <v>31.142488194334412</v>
      </c>
      <c r="CD17" s="175">
        <f>IFERROR(IF(AK17,AK$3+(BO17-AK$3)*TANH($X$26*$X$27)/($X$26*$X$27),0),"")</f>
        <v>31.230069601151548</v>
      </c>
      <c r="CE17" s="175">
        <f>IFERROR(IF(AL17,AL$3+(BP17-AL$3)*TANH($X$26*$X$27)/($X$26*$X$27),0),"")</f>
        <v>31.317651007968685</v>
      </c>
      <c r="CF17" s="175">
        <f>IFERROR(IF(AM17,AM$3+(BQ17-AM$3)*TANH($X$26*$X$27)/($X$26*$X$27),0),"")</f>
        <v>31.405232414785822</v>
      </c>
      <c r="CG17" s="175">
        <f>IFERROR(IF(AN17,AN$3+(BR17-AN$3)*TANH($X$26*$X$27)/($X$26*$X$27),0),"")</f>
        <v>31.492813821602951</v>
      </c>
      <c r="CH17" s="175">
        <f>IFERROR(IF(AO17,AO$3+(BS17-AO$3)*TANH($X$26*$X$27)/($X$26*$X$27),0),"")</f>
        <v>31.580395228420088</v>
      </c>
      <c r="CI17" s="175">
        <f>IFERROR(IF(AP17,AP$3+(BT17-AP$3)*TANH($X$26*$X$27)/($X$26*$X$27),0),"")</f>
        <v>31.667976635237221</v>
      </c>
      <c r="CJ17" s="175">
        <f>IFERROR(IF(AQ17,AQ$3+(BU17-AQ$3)*TANH($X$26*$X$27)/($X$26*$X$27),0),"")</f>
        <v>31.755558042054357</v>
      </c>
      <c r="CK17" s="175">
        <f>IFERROR(IF(AR17,AR$3+(BV17-AR$3)*TANH($X$26*$X$27)/($X$26*$X$27),0),"")</f>
        <v>31.84313944887149</v>
      </c>
      <c r="CL17" s="175">
        <f>IFERROR(IF(AS17,AS$3+(BW17-AS$3)*TANH($X$26*$X$27)/($X$26*$X$27),0),"")</f>
        <v>31.930720855688627</v>
      </c>
      <c r="CM17" s="175">
        <f>IFERROR(IF(AT17,AT$3+(BX17-AT$3)*TANH($X$26*$X$27)/($X$26*$X$27),0),"")</f>
        <v>32.018302262505763</v>
      </c>
      <c r="CN17" s="175">
        <f>IFERROR(IF(AU17,AU$3+(BY17-AU$3)*TANH($X$26*$X$27)/($X$26*$X$27),0),"")</f>
        <v>32.105883669322893</v>
      </c>
      <c r="CO17" s="175"/>
      <c r="CP17" s="175">
        <f>IFERROR(IF(AH17,($AE17-$AF17)/LN(($AE17-AH$3)/($AF17-AH$3)),0),"")</f>
        <v>17.38029748391104</v>
      </c>
      <c r="CQ17" s="175">
        <f>IFERROR(IF(AI17,($AE17-$AF17)/LN(($AE17-AI$3)/($AF17-AI$3)),0),"")</f>
        <v>16.37295498059061</v>
      </c>
      <c r="CR17" s="175">
        <f>IFERROR(IF(AJ17,($AE17-$AF17)/LN(($AE17-AJ$3)/($AF17-AJ$3)),0),"")</f>
        <v>15.364646051784067</v>
      </c>
      <c r="CS17" s="175">
        <f>IFERROR(IF(AK17,($AE17-$AF17)/LN(($AE17-AK$3)/($AF17-AK$3)),0),"")</f>
        <v>14.355164808143819</v>
      </c>
      <c r="CT17" s="175">
        <f>IFERROR(IF(AL17,($AE17-$AF17)/LN(($AE17-AL$3)/($AF17-AL$3)),0),"")</f>
        <v>13.344241826095308</v>
      </c>
      <c r="CU17" s="175">
        <f>IFERROR(IF(AM17,($AE17-$AF17)/LN(($AE17-AM$3)/($AF17-AM$3)),0),"")</f>
        <v>12.331517311882159</v>
      </c>
      <c r="CV17" s="175">
        <f>IFERROR(IF(AN17,($AE17-$AF17)/LN(($AE17-AN$3)/($AF17-AN$3)),0),"")</f>
        <v>11.316499227839616</v>
      </c>
      <c r="CW17" s="175">
        <f>IFERROR(IF(AO17,($AE17-$AF17)/LN(($AE17-AO$3)/($AF17-AO$3)),0),"")</f>
        <v>10.298495384568954</v>
      </c>
      <c r="CX17" s="175">
        <f>IFERROR(IF(AP17,($AE17-$AF17)/LN(($AE17-AP$3)/($AF17-AP$3)),0),"")</f>
        <v>9.2764980722569277</v>
      </c>
      <c r="CY17" s="175">
        <f>IFERROR(IF(AQ17,($AE17-$AF17)/LN(($AE17-AQ$3)/($AF17-AQ$3)),0),"")</f>
        <v>8.2489765008906435</v>
      </c>
      <c r="CZ17" s="175">
        <f>IFERROR(IF(AR17,($AE17-$AF17)/LN(($AE17-AR$3)/($AF17-AR$3)),0),"")</f>
        <v>7.2134752044448174</v>
      </c>
      <c r="DA17" s="175">
        <f>IFERROR(IF(AS17,($AE17-$AF17)/LN(($AE17-AS$3)/($AF17-AS$3)),0),"")</f>
        <v>6.1657586559410795</v>
      </c>
      <c r="DB17" s="175">
        <f>IFERROR(IF(AT17,($AE17-$AF17)/LN(($AE17-AT$3)/($AF17-AT$3)),0),"")</f>
        <v>5.0977272391163311</v>
      </c>
      <c r="DC17" s="175">
        <f>IFERROR(IF(AU17,($AE17-$AF17)/LN(($AE17-AU$3)/($AF17-AU$3)),0),"")</f>
        <v>3.9911780007396405</v>
      </c>
      <c r="DD17" s="175"/>
      <c r="DE17" s="175">
        <f t="shared" si="24"/>
        <v>44.6632631498602</v>
      </c>
      <c r="DF17" s="175">
        <f t="shared" si="5"/>
        <v>41.920668683580004</v>
      </c>
      <c r="DG17" s="175">
        <f t="shared" si="5"/>
        <v>39.185805377221442</v>
      </c>
      <c r="DH17" s="175">
        <f t="shared" si="5"/>
        <v>36.458787153550162</v>
      </c>
      <c r="DI17" s="175">
        <f t="shared" si="5"/>
        <v>33.739658405316653</v>
      </c>
      <c r="DJ17" s="175">
        <f t="shared" si="5"/>
        <v>31.028348667615852</v>
      </c>
      <c r="DK17" s="175">
        <f t="shared" si="5"/>
        <v>28.324597872450891</v>
      </c>
      <c r="DL17" s="175">
        <f t="shared" si="5"/>
        <v>25.627829181574647</v>
      </c>
      <c r="DM17" s="175">
        <f t="shared" si="5"/>
        <v>22.936923798443466</v>
      </c>
      <c r="DN17" s="175">
        <f t="shared" si="5"/>
        <v>20.249801128068516</v>
      </c>
      <c r="DO17" s="175">
        <f t="shared" si="5"/>
        <v>17.562581400104758</v>
      </c>
      <c r="DP17" s="175">
        <f t="shared" si="5"/>
        <v>14.867756016291375</v>
      </c>
      <c r="DQ17" s="175">
        <f t="shared" si="5"/>
        <v>12.149635503183571</v>
      </c>
      <c r="DR17" s="175">
        <f t="shared" si="5"/>
        <v>9.3704929095569369</v>
      </c>
      <c r="DS17" s="175"/>
      <c r="DT17" s="175">
        <f t="shared" si="39"/>
        <v>128.34271020074772</v>
      </c>
      <c r="DU17" s="175">
        <f t="shared" si="40"/>
        <v>120.46169161948278</v>
      </c>
      <c r="DV17" s="175">
        <f t="shared" si="40"/>
        <v>112.60288901500415</v>
      </c>
      <c r="DW17" s="175">
        <f t="shared" si="40"/>
        <v>104.76662975158094</v>
      </c>
      <c r="DX17" s="175">
        <f t="shared" si="40"/>
        <v>96.953041394588084</v>
      </c>
      <c r="DY17" s="175">
        <f t="shared" si="40"/>
        <v>89.161921458666242</v>
      </c>
      <c r="DZ17" s="175">
        <f t="shared" si="40"/>
        <v>81.392522621985322</v>
      </c>
      <c r="EA17" s="175">
        <f t="shared" si="40"/>
        <v>73.643187303375427</v>
      </c>
      <c r="EB17" s="175">
        <f t="shared" si="40"/>
        <v>65.910700570239854</v>
      </c>
      <c r="EC17" s="175">
        <f t="shared" si="40"/>
        <v>58.189083701346313</v>
      </c>
      <c r="ED17" s="175">
        <f t="shared" si="40"/>
        <v>50.467187931335516</v>
      </c>
      <c r="EE17" s="175">
        <f t="shared" si="40"/>
        <v>42.723436828423495</v>
      </c>
      <c r="EF17" s="175">
        <f t="shared" si="40"/>
        <v>34.91274569880337</v>
      </c>
      <c r="EG17" s="175">
        <f t="shared" si="40"/>
        <v>26.92670376309465</v>
      </c>
      <c r="EH17" s="175"/>
      <c r="EI17" s="127"/>
      <c r="EJ17" s="127"/>
      <c r="EK17" s="127"/>
      <c r="EL17" s="127"/>
      <c r="EM17" s="127"/>
      <c r="EN17" s="127"/>
      <c r="EO17" s="127"/>
    </row>
    <row r="18" spans="2:145" customFormat="1" ht="20.100000000000001" customHeight="1" thickBot="1" x14ac:dyDescent="0.35">
      <c r="B18" s="141"/>
      <c r="C18" s="143"/>
      <c r="D18" s="126"/>
      <c r="E18" s="130"/>
      <c r="F18" s="131">
        <f t="shared" si="6"/>
        <v>40</v>
      </c>
      <c r="G18" s="131">
        <f>IF(F18&lt;&gt;"",IF(AD18,F18+$C$16,F18-$C$15),"")</f>
        <v>35</v>
      </c>
      <c r="H18" s="133">
        <f t="shared" si="25"/>
        <v>168.06366554846716</v>
      </c>
      <c r="I18" s="133">
        <f t="shared" si="26"/>
        <v>160.07918889284204</v>
      </c>
      <c r="J18" s="133">
        <f t="shared" si="27"/>
        <v>152.11429362911613</v>
      </c>
      <c r="K18" s="133">
        <f t="shared" si="28"/>
        <v>144.16954261255268</v>
      </c>
      <c r="L18" s="133">
        <f t="shared" si="29"/>
        <v>136.24549851329863</v>
      </c>
      <c r="M18" s="133">
        <f t="shared" si="30"/>
        <v>128.34271020074772</v>
      </c>
      <c r="N18" s="133">
        <f t="shared" si="31"/>
        <v>120.46169161948278</v>
      </c>
      <c r="O18" s="133">
        <f t="shared" si="32"/>
        <v>112.60288901500415</v>
      </c>
      <c r="P18" s="133">
        <f t="shared" si="33"/>
        <v>104.76662975158094</v>
      </c>
      <c r="Q18" s="133">
        <f t="shared" si="34"/>
        <v>96.953041394588084</v>
      </c>
      <c r="R18" s="133">
        <f t="shared" si="35"/>
        <v>89.161921458666242</v>
      </c>
      <c r="S18" s="133">
        <f t="shared" si="36"/>
        <v>81.392522621985322</v>
      </c>
      <c r="T18" s="133">
        <f t="shared" si="37"/>
        <v>73.643187303375427</v>
      </c>
      <c r="U18" s="133">
        <f t="shared" si="38"/>
        <v>65.910700570239854</v>
      </c>
      <c r="W18" s="135" t="s">
        <v>174</v>
      </c>
      <c r="X18" s="181">
        <f>1/(X15*X10)</f>
        <v>4.3723885464806411</v>
      </c>
      <c r="Y18" s="177" t="s">
        <v>120</v>
      </c>
      <c r="Z18" s="135" t="s">
        <v>174</v>
      </c>
      <c r="AA18" s="181">
        <f>1/(AA15*X10)</f>
        <v>2.6315301437152003</v>
      </c>
      <c r="AB18" s="177" t="s">
        <v>120</v>
      </c>
      <c r="AC18" s="175">
        <f>MOD(ROW(A18),4)</f>
        <v>2</v>
      </c>
      <c r="AD18" s="175" t="b">
        <f>IF(MOD(ROW(A18),2)=0,ABS(F18-MAX(C33:C46))&gt;ABS(F18-MIN(C33:C46)),AD17)</f>
        <v>0</v>
      </c>
      <c r="AE18" s="178">
        <f>IF(MOD(ROW(A18),2)=0,F18,F17)</f>
        <v>40</v>
      </c>
      <c r="AF18" s="178">
        <f>IF(MOD(ROW(B18),2)=0,G18,G17)</f>
        <v>35</v>
      </c>
      <c r="AG18" s="178">
        <f t="shared" si="7"/>
        <v>37.5</v>
      </c>
      <c r="AH18" s="175" t="b">
        <f>OR(AND($AD18,$AE18&lt;AH$3,$AF18&lt;AH$3),AND(NOT($AD18),$AE18&gt;AH$3,$AF18&gt;AH$3))</f>
        <v>1</v>
      </c>
      <c r="AI18" s="175" t="b">
        <f>OR(AND($AD18,$AE18&lt;AI$3,$AF18&lt;AI$3),AND(NOT($AD18),$AE18&gt;AI$3,$AF18&gt;AI$3))</f>
        <v>1</v>
      </c>
      <c r="AJ18" s="175" t="b">
        <f>OR(AND($AD18,$AE18&lt;AJ$3,$AF18&lt;AJ$3),AND(NOT($AD18),$AE18&gt;AJ$3,$AF18&gt;AJ$3))</f>
        <v>1</v>
      </c>
      <c r="AK18" s="175" t="b">
        <f>OR(AND($AD18,$AE18&lt;AK$3,$AF18&lt;AK$3),AND(NOT($AD18),$AE18&gt;AK$3,$AF18&gt;AK$3))</f>
        <v>1</v>
      </c>
      <c r="AL18" s="175" t="b">
        <f>OR(AND($AD18,$AE18&lt;AL$3,$AF18&lt;AL$3),AND(NOT($AD18),$AE18&gt;AL$3,$AF18&gt;AL$3))</f>
        <v>1</v>
      </c>
      <c r="AM18" s="175" t="b">
        <f>OR(AND($AD18,$AE18&lt;AM$3,$AF18&lt;AM$3),AND(NOT($AD18),$AE18&gt;AM$3,$AF18&gt;AM$3))</f>
        <v>1</v>
      </c>
      <c r="AN18" s="175" t="b">
        <f>OR(AND($AD18,$AE18&lt;AN$3,$AF18&lt;AN$3),AND(NOT($AD18),$AE18&gt;AN$3,$AF18&gt;AN$3))</f>
        <v>1</v>
      </c>
      <c r="AO18" s="175" t="b">
        <f>OR(AND($AD18,$AE18&lt;AO$3,$AF18&lt;AO$3),AND(NOT($AD18),$AE18&gt;AO$3,$AF18&gt;AO$3))</f>
        <v>1</v>
      </c>
      <c r="AP18" s="175" t="b">
        <f>OR(AND($AD18,$AE18&lt;AP$3,$AF18&lt;AP$3),AND(NOT($AD18),$AE18&gt;AP$3,$AF18&gt;AP$3))</f>
        <v>1</v>
      </c>
      <c r="AQ18" s="175" t="b">
        <f>OR(AND($AD18,$AE18&lt;AQ$3,$AF18&lt;AQ$3),AND(NOT($AD18),$AE18&gt;AQ$3,$AF18&gt;AQ$3))</f>
        <v>1</v>
      </c>
      <c r="AR18" s="175" t="b">
        <f>OR(AND($AD18,$AE18&lt;AR$3,$AF18&lt;AR$3),AND(NOT($AD18),$AE18&gt;AR$3,$AF18&gt;AR$3))</f>
        <v>1</v>
      </c>
      <c r="AS18" s="175" t="b">
        <f>OR(AND($AD18,$AE18&lt;AS$3,$AF18&lt;AS$3),AND(NOT($AD18),$AE18&gt;AS$3,$AF18&gt;AS$3))</f>
        <v>1</v>
      </c>
      <c r="AT18" s="175" t="b">
        <f>OR(AND($AD18,$AE18&lt;AT$3,$AF18&lt;AT$3),AND(NOT($AD18),$AE18&gt;AT$3,$AF18&gt;AT$3))</f>
        <v>1</v>
      </c>
      <c r="AU18" s="175" t="b">
        <f>OR(AND($AD18,$AE18&lt;AU$3,$AF18&lt;AU$3),AND(NOT($AD18),$AE18&gt;AU$3,$AF18&gt;AU$3))</f>
        <v>1</v>
      </c>
      <c r="AV18" s="175"/>
      <c r="AW18" s="175">
        <f t="shared" si="8"/>
        <v>5.2607092284660215</v>
      </c>
      <c r="AX18" s="175">
        <f t="shared" si="2"/>
        <v>5.0268999294230872</v>
      </c>
      <c r="AY18" s="175">
        <f t="shared" si="2"/>
        <v>4.7930906303801528</v>
      </c>
      <c r="AZ18" s="175">
        <f t="shared" si="2"/>
        <v>4.5592813313372185</v>
      </c>
      <c r="BA18" s="175">
        <f t="shared" si="2"/>
        <v>4.3254720322942841</v>
      </c>
      <c r="BB18" s="175">
        <f t="shared" si="2"/>
        <v>4.0916627332513498</v>
      </c>
      <c r="BC18" s="175">
        <f t="shared" si="2"/>
        <v>3.8578534342084154</v>
      </c>
      <c r="BD18" s="175">
        <f t="shared" si="2"/>
        <v>3.6240441351654815</v>
      </c>
      <c r="BE18" s="175">
        <f t="shared" si="2"/>
        <v>3.3902348361225472</v>
      </c>
      <c r="BF18" s="175">
        <f t="shared" si="2"/>
        <v>3.1564255370796128</v>
      </c>
      <c r="BG18" s="175">
        <f t="shared" si="2"/>
        <v>2.9226162380366785</v>
      </c>
      <c r="BH18" s="175">
        <f t="shared" si="2"/>
        <v>2.6888069389937441</v>
      </c>
      <c r="BI18" s="175">
        <f t="shared" si="2"/>
        <v>2.4549976399508098</v>
      </c>
      <c r="BJ18" s="175">
        <f t="shared" si="2"/>
        <v>2.2211883409078754</v>
      </c>
      <c r="BK18" s="175"/>
      <c r="BL18" s="175">
        <f t="shared" si="9"/>
        <v>36.024231399351386</v>
      </c>
      <c r="BM18" s="175">
        <f t="shared" si="3"/>
        <v>36.089821114935766</v>
      </c>
      <c r="BN18" s="175">
        <f t="shared" si="3"/>
        <v>36.155410830520147</v>
      </c>
      <c r="BO18" s="175">
        <f t="shared" si="3"/>
        <v>36.221000546104534</v>
      </c>
      <c r="BP18" s="175">
        <f t="shared" si="3"/>
        <v>36.286590261688914</v>
      </c>
      <c r="BQ18" s="175">
        <f t="shared" si="3"/>
        <v>36.352179977273295</v>
      </c>
      <c r="BR18" s="175">
        <f t="shared" si="3"/>
        <v>36.417769692857682</v>
      </c>
      <c r="BS18" s="175">
        <f t="shared" si="3"/>
        <v>36.483359408442062</v>
      </c>
      <c r="BT18" s="175">
        <f t="shared" si="3"/>
        <v>36.54894912402645</v>
      </c>
      <c r="BU18" s="175">
        <f t="shared" si="3"/>
        <v>36.61453883961083</v>
      </c>
      <c r="BV18" s="175">
        <f t="shared" si="3"/>
        <v>36.680128555195211</v>
      </c>
      <c r="BW18" s="175">
        <f t="shared" si="3"/>
        <v>36.745718270779598</v>
      </c>
      <c r="BX18" s="175">
        <f t="shared" si="3"/>
        <v>36.811307986363978</v>
      </c>
      <c r="BY18" s="175">
        <f t="shared" si="3"/>
        <v>36.876897701948359</v>
      </c>
      <c r="BZ18" s="175"/>
      <c r="CA18" s="175">
        <f>IFERROR(IF(AH18,AH$3+(BL18-AH$3)*TANH($X$26*$X$27)/($X$26*$X$27),0),"")</f>
        <v>35.529418346614477</v>
      </c>
      <c r="CB18" s="175">
        <f>IFERROR(IF(AI18,AI$3+(BM18-AI$3)*TANH($X$26*$X$27)/($X$26*$X$27),0),"")</f>
        <v>35.616999753431607</v>
      </c>
      <c r="CC18" s="175">
        <f>IFERROR(IF(AJ18,AJ$3+(BN18-AJ$3)*TANH($X$26*$X$27)/($X$26*$X$27),0),"")</f>
        <v>35.704581160248736</v>
      </c>
      <c r="CD18" s="175">
        <f>IFERROR(IF(AK18,AK$3+(BO18-AK$3)*TANH($X$26*$X$27)/($X$26*$X$27),0),"")</f>
        <v>35.79216256706588</v>
      </c>
      <c r="CE18" s="175">
        <f>IFERROR(IF(AL18,AL$3+(BP18-AL$3)*TANH($X$26*$X$27)/($X$26*$X$27),0),"")</f>
        <v>35.879743973883009</v>
      </c>
      <c r="CF18" s="175">
        <f>IFERROR(IF(AM18,AM$3+(BQ18-AM$3)*TANH($X$26*$X$27)/($X$26*$X$27),0),"")</f>
        <v>35.967325380700139</v>
      </c>
      <c r="CG18" s="175">
        <f>IFERROR(IF(AN18,AN$3+(BR18-AN$3)*TANH($X$26*$X$27)/($X$26*$X$27),0),"")</f>
        <v>36.054906787517282</v>
      </c>
      <c r="CH18" s="175">
        <f>IFERROR(IF(AO18,AO$3+(BS18-AO$3)*TANH($X$26*$X$27)/($X$26*$X$27),0),"")</f>
        <v>36.142488194334412</v>
      </c>
      <c r="CI18" s="175">
        <f>IFERROR(IF(AP18,AP$3+(BT18-AP$3)*TANH($X$26*$X$27)/($X$26*$X$27),0),"")</f>
        <v>36.230069601151556</v>
      </c>
      <c r="CJ18" s="175">
        <f>IFERROR(IF(AQ18,AQ$3+(BU18-AQ$3)*TANH($X$26*$X$27)/($X$26*$X$27),0),"")</f>
        <v>36.317651007968685</v>
      </c>
      <c r="CK18" s="175">
        <f>IFERROR(IF(AR18,AR$3+(BV18-AR$3)*TANH($X$26*$X$27)/($X$26*$X$27),0),"")</f>
        <v>36.405232414785814</v>
      </c>
      <c r="CL18" s="175">
        <f>IFERROR(IF(AS18,AS$3+(BW18-AS$3)*TANH($X$26*$X$27)/($X$26*$X$27),0),"")</f>
        <v>36.492813821602951</v>
      </c>
      <c r="CM18" s="175">
        <f>IFERROR(IF(AT18,AT$3+(BX18-AT$3)*TANH($X$26*$X$27)/($X$26*$X$27),0),"")</f>
        <v>36.580395228420088</v>
      </c>
      <c r="CN18" s="175">
        <f>IFERROR(IF(AU18,AU$3+(BY18-AU$3)*TANH($X$26*$X$27)/($X$26*$X$27),0),"")</f>
        <v>36.667976635237217</v>
      </c>
      <c r="CO18" s="175"/>
      <c r="CP18" s="175">
        <f>IFERROR(IF(AH18,($AE18-$AF18)/LN(($AE18-AH$3)/($AF18-AH$3)),0),"")</f>
        <v>22.407100588622747</v>
      </c>
      <c r="CQ18" s="175">
        <f>IFERROR(IF(AI18,($AE18-$AF18)/LN(($AE18-AI$3)/($AF18-AI$3)),0),"")</f>
        <v>21.402748903644365</v>
      </c>
      <c r="CR18" s="175">
        <f>IFERROR(IF(AJ18,($AE18-$AF18)/LN(($AE18-AJ$3)/($AF18-AJ$3)),0),"")</f>
        <v>20.39796777546664</v>
      </c>
      <c r="CS18" s="175">
        <f>IFERROR(IF(AK18,($AE18-$AF18)/LN(($AE18-AK$3)/($AF18-AK$3)),0),"")</f>
        <v>19.392690040058554</v>
      </c>
      <c r="CT18" s="175">
        <f>IFERROR(IF(AL18,($AE18-$AF18)/LN(($AE18-AL$3)/($AF18-AL$3)),0),"")</f>
        <v>18.386833685213912</v>
      </c>
      <c r="CU18" s="175">
        <f>IFERROR(IF(AM18,($AE18-$AF18)/LN(($AE18-AM$3)/($AF18-AM$3)),0),"")</f>
        <v>17.38029748391104</v>
      </c>
      <c r="CV18" s="175">
        <f>IFERROR(IF(AN18,($AE18-$AF18)/LN(($AE18-AN$3)/($AF18-AN$3)),0),"")</f>
        <v>16.37295498059061</v>
      </c>
      <c r="CW18" s="175">
        <f>IFERROR(IF(AO18,($AE18-$AF18)/LN(($AE18-AO$3)/($AF18-AO$3)),0),"")</f>
        <v>15.364646051784067</v>
      </c>
      <c r="CX18" s="175">
        <f>IFERROR(IF(AP18,($AE18-$AF18)/LN(($AE18-AP$3)/($AF18-AP$3)),0),"")</f>
        <v>14.355164808143819</v>
      </c>
      <c r="CY18" s="175">
        <f>IFERROR(IF(AQ18,($AE18-$AF18)/LN(($AE18-AQ$3)/($AF18-AQ$3)),0),"")</f>
        <v>13.344241826095308</v>
      </c>
      <c r="CZ18" s="175">
        <f>IFERROR(IF(AR18,($AE18-$AF18)/LN(($AE18-AR$3)/($AF18-AR$3)),0),"")</f>
        <v>12.331517311882159</v>
      </c>
      <c r="DA18" s="175">
        <f>IFERROR(IF(AS18,($AE18-$AF18)/LN(($AE18-AS$3)/($AF18-AS$3)),0),"")</f>
        <v>11.316499227839616</v>
      </c>
      <c r="DB18" s="175">
        <f>IFERROR(IF(AT18,($AE18-$AF18)/LN(($AE18-AT$3)/($AF18-AT$3)),0),"")</f>
        <v>10.298495384568954</v>
      </c>
      <c r="DC18" s="175">
        <f>IFERROR(IF(AU18,($AE18-$AF18)/LN(($AE18-AU$3)/($AF18-AU$3)),0),"")</f>
        <v>9.2764980722569277</v>
      </c>
      <c r="DD18" s="175"/>
      <c r="DE18" s="175">
        <f t="shared" si="24"/>
        <v>58.486155610866568</v>
      </c>
      <c r="DF18" s="175">
        <f t="shared" si="5"/>
        <v>55.707557734709027</v>
      </c>
      <c r="DG18" s="175">
        <f t="shared" si="5"/>
        <v>52.935774182932413</v>
      </c>
      <c r="DH18" s="175">
        <f t="shared" si="5"/>
        <v>50.171000829168328</v>
      </c>
      <c r="DI18" s="175">
        <f t="shared" si="5"/>
        <v>47.413433482627916</v>
      </c>
      <c r="DJ18" s="175">
        <f t="shared" si="5"/>
        <v>44.6632631498602</v>
      </c>
      <c r="DK18" s="175">
        <f t="shared" si="5"/>
        <v>41.920668683580004</v>
      </c>
      <c r="DL18" s="175">
        <f t="shared" si="5"/>
        <v>39.185805377221442</v>
      </c>
      <c r="DM18" s="175">
        <f t="shared" si="5"/>
        <v>36.458787153550162</v>
      </c>
      <c r="DN18" s="175">
        <f t="shared" si="5"/>
        <v>33.739658405316653</v>
      </c>
      <c r="DO18" s="175">
        <f t="shared" si="5"/>
        <v>31.028348667615852</v>
      </c>
      <c r="DP18" s="175">
        <f t="shared" si="5"/>
        <v>28.324597872450891</v>
      </c>
      <c r="DQ18" s="175">
        <f t="shared" si="5"/>
        <v>25.627829181574647</v>
      </c>
      <c r="DR18" s="175">
        <f t="shared" si="5"/>
        <v>22.936923798443466</v>
      </c>
      <c r="DS18" s="175"/>
      <c r="DT18" s="175">
        <f t="shared" si="39"/>
        <v>168.06366554846716</v>
      </c>
      <c r="DU18" s="175">
        <f t="shared" si="40"/>
        <v>160.07918889284204</v>
      </c>
      <c r="DV18" s="175">
        <f t="shared" si="40"/>
        <v>152.11429362911613</v>
      </c>
      <c r="DW18" s="175">
        <f t="shared" si="40"/>
        <v>144.16954261255268</v>
      </c>
      <c r="DX18" s="175">
        <f t="shared" si="40"/>
        <v>136.24549851329863</v>
      </c>
      <c r="DY18" s="175">
        <f t="shared" si="40"/>
        <v>128.34271020074772</v>
      </c>
      <c r="DZ18" s="175">
        <f t="shared" si="40"/>
        <v>120.46169161948278</v>
      </c>
      <c r="EA18" s="175">
        <f t="shared" si="40"/>
        <v>112.60288901500415</v>
      </c>
      <c r="EB18" s="175">
        <f t="shared" si="40"/>
        <v>104.76662975158094</v>
      </c>
      <c r="EC18" s="175">
        <f t="shared" si="40"/>
        <v>96.953041394588084</v>
      </c>
      <c r="ED18" s="175">
        <f t="shared" si="40"/>
        <v>89.161921458666242</v>
      </c>
      <c r="EE18" s="175">
        <f t="shared" si="40"/>
        <v>81.392522621985322</v>
      </c>
      <c r="EF18" s="175">
        <f t="shared" si="40"/>
        <v>73.643187303375427</v>
      </c>
      <c r="EG18" s="175">
        <f t="shared" si="40"/>
        <v>65.910700570239854</v>
      </c>
      <c r="EH18" s="175"/>
      <c r="EI18" s="127"/>
      <c r="EJ18" s="127"/>
      <c r="EK18" s="127"/>
      <c r="EL18" s="127"/>
      <c r="EM18" s="127"/>
      <c r="EN18" s="127"/>
      <c r="EO18" s="127"/>
    </row>
    <row r="19" spans="2:145" customFormat="1" ht="20.100000000000001" customHeight="1" x14ac:dyDescent="0.3">
      <c r="B19" s="189">
        <v>12</v>
      </c>
      <c r="C19" s="190">
        <v>15</v>
      </c>
      <c r="D19" s="126"/>
      <c r="E19" s="130"/>
      <c r="F19" s="131" t="str">
        <f t="shared" si="6"/>
        <v/>
      </c>
      <c r="G19" s="131" t="str">
        <f>IF(F19&lt;&gt;"",IF(AD19,F19+$C$16,F19-$C$15),"")</f>
        <v/>
      </c>
      <c r="H19" s="133">
        <f t="shared" ref="H19:U19" si="44">IFERROR(IF(AH19,ABS(CA19),""),"")</f>
        <v>35.529418346614477</v>
      </c>
      <c r="I19" s="133">
        <f t="shared" si="44"/>
        <v>35.616999753431607</v>
      </c>
      <c r="J19" s="133">
        <f t="shared" si="44"/>
        <v>35.704581160248736</v>
      </c>
      <c r="K19" s="133">
        <f t="shared" si="44"/>
        <v>35.79216256706588</v>
      </c>
      <c r="L19" s="133">
        <f t="shared" si="44"/>
        <v>35.879743973883009</v>
      </c>
      <c r="M19" s="133">
        <f t="shared" si="44"/>
        <v>35.967325380700139</v>
      </c>
      <c r="N19" s="133">
        <f t="shared" si="44"/>
        <v>36.054906787517282</v>
      </c>
      <c r="O19" s="133">
        <f t="shared" si="44"/>
        <v>36.142488194334412</v>
      </c>
      <c r="P19" s="133">
        <f t="shared" si="44"/>
        <v>36.230069601151556</v>
      </c>
      <c r="Q19" s="133">
        <f t="shared" si="44"/>
        <v>36.317651007968685</v>
      </c>
      <c r="R19" s="133">
        <f t="shared" si="44"/>
        <v>36.405232414785814</v>
      </c>
      <c r="S19" s="133">
        <f t="shared" si="44"/>
        <v>36.492813821602951</v>
      </c>
      <c r="T19" s="133">
        <f t="shared" si="44"/>
        <v>36.580395228420088</v>
      </c>
      <c r="U19" s="133">
        <f t="shared" si="44"/>
        <v>36.667976635237217</v>
      </c>
      <c r="W19" s="135" t="s">
        <v>175</v>
      </c>
      <c r="X19" s="181">
        <f>LN(X3/X2)/(2*C11*PI()*C2*0.001)</f>
        <v>0.13692103973344261</v>
      </c>
      <c r="Y19" s="177" t="s">
        <v>121</v>
      </c>
      <c r="Z19" s="135" t="s">
        <v>175</v>
      </c>
      <c r="AA19" s="181">
        <f>LN(X3/X2)/(2*C11*PI()*C2*0.001)</f>
        <v>0.13692103973344261</v>
      </c>
      <c r="AB19" s="177" t="s">
        <v>121</v>
      </c>
      <c r="AC19" s="175">
        <f>MOD(ROW(A19),4)</f>
        <v>3</v>
      </c>
      <c r="AD19" s="175" t="b">
        <f>IF(MOD(ROW(A19),2)=0,ABS(F19-MAX(C34:C47))&gt;ABS(F19-MIN(C34:C47)),AD18)</f>
        <v>0</v>
      </c>
      <c r="AE19" s="178">
        <f>IF(MOD(ROW(A19),2)=0,F19,F18)</f>
        <v>40</v>
      </c>
      <c r="AF19" s="178">
        <f>IF(MOD(ROW(B19),2)=0,G19,G18)</f>
        <v>35</v>
      </c>
      <c r="AG19" s="178">
        <f t="shared" si="7"/>
        <v>37.5</v>
      </c>
      <c r="AH19" s="175" t="b">
        <f>OR(AND($AD19,$AE19&lt;AH$3,$AF19&lt;AH$3),AND(NOT($AD19),$AE19&gt;AH$3,$AF19&gt;AH$3))</f>
        <v>1</v>
      </c>
      <c r="AI19" s="175" t="b">
        <f>OR(AND($AD19,$AE19&lt;AI$3,$AF19&lt;AI$3),AND(NOT($AD19),$AE19&gt;AI$3,$AF19&gt;AI$3))</f>
        <v>1</v>
      </c>
      <c r="AJ19" s="175" t="b">
        <f>OR(AND($AD19,$AE19&lt;AJ$3,$AF19&lt;AJ$3),AND(NOT($AD19),$AE19&gt;AJ$3,$AF19&gt;AJ$3))</f>
        <v>1</v>
      </c>
      <c r="AK19" s="175" t="b">
        <f>OR(AND($AD19,$AE19&lt;AK$3,$AF19&lt;AK$3),AND(NOT($AD19),$AE19&gt;AK$3,$AF19&gt;AK$3))</f>
        <v>1</v>
      </c>
      <c r="AL19" s="175" t="b">
        <f>OR(AND($AD19,$AE19&lt;AL$3,$AF19&lt;AL$3),AND(NOT($AD19),$AE19&gt;AL$3,$AF19&gt;AL$3))</f>
        <v>1</v>
      </c>
      <c r="AM19" s="175" t="b">
        <f>OR(AND($AD19,$AE19&lt;AM$3,$AF19&lt;AM$3),AND(NOT($AD19),$AE19&gt;AM$3,$AF19&gt;AM$3))</f>
        <v>1</v>
      </c>
      <c r="AN19" s="175" t="b">
        <f>OR(AND($AD19,$AE19&lt;AN$3,$AF19&lt;AN$3),AND(NOT($AD19),$AE19&gt;AN$3,$AF19&gt;AN$3))</f>
        <v>1</v>
      </c>
      <c r="AO19" s="175" t="b">
        <f>OR(AND($AD19,$AE19&lt;AO$3,$AF19&lt;AO$3),AND(NOT($AD19),$AE19&gt;AO$3,$AF19&gt;AO$3))</f>
        <v>1</v>
      </c>
      <c r="AP19" s="175" t="b">
        <f>OR(AND($AD19,$AE19&lt;AP$3,$AF19&lt;AP$3),AND(NOT($AD19),$AE19&gt;AP$3,$AF19&gt;AP$3))</f>
        <v>1</v>
      </c>
      <c r="AQ19" s="175" t="b">
        <f>OR(AND($AD19,$AE19&lt;AQ$3,$AF19&lt;AQ$3),AND(NOT($AD19),$AE19&gt;AQ$3,$AF19&gt;AQ$3))</f>
        <v>1</v>
      </c>
      <c r="AR19" s="175" t="b">
        <f>OR(AND($AD19,$AE19&lt;AR$3,$AF19&lt;AR$3),AND(NOT($AD19),$AE19&gt;AR$3,$AF19&gt;AR$3))</f>
        <v>1</v>
      </c>
      <c r="AS19" s="175" t="b">
        <f>OR(AND($AD19,$AE19&lt;AS$3,$AF19&lt;AS$3),AND(NOT($AD19),$AE19&gt;AS$3,$AF19&gt;AS$3))</f>
        <v>1</v>
      </c>
      <c r="AT19" s="175" t="b">
        <f>OR(AND($AD19,$AE19&lt;AT$3,$AF19&lt;AT$3),AND(NOT($AD19),$AE19&gt;AT$3,$AF19&gt;AT$3))</f>
        <v>1</v>
      </c>
      <c r="AU19" s="175" t="b">
        <f>OR(AND($AD19,$AE19&lt;AU$3,$AF19&lt;AU$3),AND(NOT($AD19),$AE19&gt;AU$3,$AF19&gt;AU$3))</f>
        <v>1</v>
      </c>
      <c r="AV19" s="175"/>
      <c r="AW19" s="175">
        <f t="shared" si="8"/>
        <v>5.2607092284660215</v>
      </c>
      <c r="AX19" s="175">
        <f t="shared" si="2"/>
        <v>5.0268999294230872</v>
      </c>
      <c r="AY19" s="175">
        <f t="shared" si="2"/>
        <v>4.7930906303801528</v>
      </c>
      <c r="AZ19" s="175">
        <f t="shared" si="2"/>
        <v>4.5592813313372185</v>
      </c>
      <c r="BA19" s="175">
        <f t="shared" si="2"/>
        <v>4.3254720322942841</v>
      </c>
      <c r="BB19" s="175">
        <f t="shared" si="2"/>
        <v>4.0916627332513498</v>
      </c>
      <c r="BC19" s="175">
        <f t="shared" si="2"/>
        <v>3.8578534342084154</v>
      </c>
      <c r="BD19" s="175">
        <f t="shared" si="2"/>
        <v>3.6240441351654815</v>
      </c>
      <c r="BE19" s="175">
        <f t="shared" si="2"/>
        <v>3.3902348361225472</v>
      </c>
      <c r="BF19" s="175">
        <f t="shared" si="2"/>
        <v>3.1564255370796128</v>
      </c>
      <c r="BG19" s="175">
        <f t="shared" si="2"/>
        <v>2.9226162380366785</v>
      </c>
      <c r="BH19" s="175">
        <f t="shared" si="2"/>
        <v>2.6888069389937441</v>
      </c>
      <c r="BI19" s="175">
        <f t="shared" si="2"/>
        <v>2.4549976399508098</v>
      </c>
      <c r="BJ19" s="175">
        <f t="shared" si="2"/>
        <v>2.2211883409078754</v>
      </c>
      <c r="BK19" s="175"/>
      <c r="BL19" s="175">
        <f t="shared" si="9"/>
        <v>36.024231399351386</v>
      </c>
      <c r="BM19" s="175">
        <f t="shared" si="3"/>
        <v>36.089821114935766</v>
      </c>
      <c r="BN19" s="175">
        <f t="shared" si="3"/>
        <v>36.155410830520147</v>
      </c>
      <c r="BO19" s="175">
        <f t="shared" si="3"/>
        <v>36.221000546104534</v>
      </c>
      <c r="BP19" s="175">
        <f t="shared" si="3"/>
        <v>36.286590261688914</v>
      </c>
      <c r="BQ19" s="175">
        <f t="shared" si="3"/>
        <v>36.352179977273295</v>
      </c>
      <c r="BR19" s="175">
        <f t="shared" si="3"/>
        <v>36.417769692857682</v>
      </c>
      <c r="BS19" s="175">
        <f t="shared" si="3"/>
        <v>36.483359408442062</v>
      </c>
      <c r="BT19" s="175">
        <f t="shared" si="3"/>
        <v>36.54894912402645</v>
      </c>
      <c r="BU19" s="175">
        <f t="shared" si="3"/>
        <v>36.61453883961083</v>
      </c>
      <c r="BV19" s="175">
        <f t="shared" si="3"/>
        <v>36.680128555195211</v>
      </c>
      <c r="BW19" s="175">
        <f t="shared" si="3"/>
        <v>36.745718270779598</v>
      </c>
      <c r="BX19" s="175">
        <f t="shared" si="3"/>
        <v>36.811307986363978</v>
      </c>
      <c r="BY19" s="175">
        <f t="shared" si="3"/>
        <v>36.876897701948359</v>
      </c>
      <c r="BZ19" s="175"/>
      <c r="CA19" s="175">
        <f>IFERROR(IF(AH19,AH$3+(BL19-AH$3)*TANH($X$26*$X$27)/($X$26*$X$27),0),"")</f>
        <v>35.529418346614477</v>
      </c>
      <c r="CB19" s="175">
        <f>IFERROR(IF(AI19,AI$3+(BM19-AI$3)*TANH($X$26*$X$27)/($X$26*$X$27),0),"")</f>
        <v>35.616999753431607</v>
      </c>
      <c r="CC19" s="175">
        <f>IFERROR(IF(AJ19,AJ$3+(BN19-AJ$3)*TANH($X$26*$X$27)/($X$26*$X$27),0),"")</f>
        <v>35.704581160248736</v>
      </c>
      <c r="CD19" s="175">
        <f>IFERROR(IF(AK19,AK$3+(BO19-AK$3)*TANH($X$26*$X$27)/($X$26*$X$27),0),"")</f>
        <v>35.79216256706588</v>
      </c>
      <c r="CE19" s="175">
        <f>IFERROR(IF(AL19,AL$3+(BP19-AL$3)*TANH($X$26*$X$27)/($X$26*$X$27),0),"")</f>
        <v>35.879743973883009</v>
      </c>
      <c r="CF19" s="175">
        <f>IFERROR(IF(AM19,AM$3+(BQ19-AM$3)*TANH($X$26*$X$27)/($X$26*$X$27),0),"")</f>
        <v>35.967325380700139</v>
      </c>
      <c r="CG19" s="175">
        <f>IFERROR(IF(AN19,AN$3+(BR19-AN$3)*TANH($X$26*$X$27)/($X$26*$X$27),0),"")</f>
        <v>36.054906787517282</v>
      </c>
      <c r="CH19" s="175">
        <f>IFERROR(IF(AO19,AO$3+(BS19-AO$3)*TANH($X$26*$X$27)/($X$26*$X$27),0),"")</f>
        <v>36.142488194334412</v>
      </c>
      <c r="CI19" s="175">
        <f>IFERROR(IF(AP19,AP$3+(BT19-AP$3)*TANH($X$26*$X$27)/($X$26*$X$27),0),"")</f>
        <v>36.230069601151556</v>
      </c>
      <c r="CJ19" s="175">
        <f>IFERROR(IF(AQ19,AQ$3+(BU19-AQ$3)*TANH($X$26*$X$27)/($X$26*$X$27),0),"")</f>
        <v>36.317651007968685</v>
      </c>
      <c r="CK19" s="175">
        <f>IFERROR(IF(AR19,AR$3+(BV19-AR$3)*TANH($X$26*$X$27)/($X$26*$X$27),0),"")</f>
        <v>36.405232414785814</v>
      </c>
      <c r="CL19" s="175">
        <f>IFERROR(IF(AS19,AS$3+(BW19-AS$3)*TANH($X$26*$X$27)/($X$26*$X$27),0),"")</f>
        <v>36.492813821602951</v>
      </c>
      <c r="CM19" s="175">
        <f>IFERROR(IF(AT19,AT$3+(BX19-AT$3)*TANH($X$26*$X$27)/($X$26*$X$27),0),"")</f>
        <v>36.580395228420088</v>
      </c>
      <c r="CN19" s="175">
        <f>IFERROR(IF(AU19,AU$3+(BY19-AU$3)*TANH($X$26*$X$27)/($X$26*$X$27),0),"")</f>
        <v>36.667976635237217</v>
      </c>
      <c r="CO19" s="175"/>
      <c r="CP19" s="175">
        <f>IFERROR(IF(AH19,($AE19-$AF19)/LN(($AE19-AH$3)/($AF19-AH$3)),0),"")</f>
        <v>22.407100588622747</v>
      </c>
      <c r="CQ19" s="175">
        <f>IFERROR(IF(AI19,($AE19-$AF19)/LN(($AE19-AI$3)/($AF19-AI$3)),0),"")</f>
        <v>21.402748903644365</v>
      </c>
      <c r="CR19" s="175">
        <f>IFERROR(IF(AJ19,($AE19-$AF19)/LN(($AE19-AJ$3)/($AF19-AJ$3)),0),"")</f>
        <v>20.39796777546664</v>
      </c>
      <c r="CS19" s="175">
        <f>IFERROR(IF(AK19,($AE19-$AF19)/LN(($AE19-AK$3)/($AF19-AK$3)),0),"")</f>
        <v>19.392690040058554</v>
      </c>
      <c r="CT19" s="175">
        <f>IFERROR(IF(AL19,($AE19-$AF19)/LN(($AE19-AL$3)/($AF19-AL$3)),0),"")</f>
        <v>18.386833685213912</v>
      </c>
      <c r="CU19" s="175">
        <f>IFERROR(IF(AM19,($AE19-$AF19)/LN(($AE19-AM$3)/($AF19-AM$3)),0),"")</f>
        <v>17.38029748391104</v>
      </c>
      <c r="CV19" s="175">
        <f>IFERROR(IF(AN19,($AE19-$AF19)/LN(($AE19-AN$3)/($AF19-AN$3)),0),"")</f>
        <v>16.37295498059061</v>
      </c>
      <c r="CW19" s="175">
        <f>IFERROR(IF(AO19,($AE19-$AF19)/LN(($AE19-AO$3)/($AF19-AO$3)),0),"")</f>
        <v>15.364646051784067</v>
      </c>
      <c r="CX19" s="175">
        <f>IFERROR(IF(AP19,($AE19-$AF19)/LN(($AE19-AP$3)/($AF19-AP$3)),0),"")</f>
        <v>14.355164808143819</v>
      </c>
      <c r="CY19" s="175">
        <f>IFERROR(IF(AQ19,($AE19-$AF19)/LN(($AE19-AQ$3)/($AF19-AQ$3)),0),"")</f>
        <v>13.344241826095308</v>
      </c>
      <c r="CZ19" s="175">
        <f>IFERROR(IF(AR19,($AE19-$AF19)/LN(($AE19-AR$3)/($AF19-AR$3)),0),"")</f>
        <v>12.331517311882159</v>
      </c>
      <c r="DA19" s="175">
        <f>IFERROR(IF(AS19,($AE19-$AF19)/LN(($AE19-AS$3)/($AF19-AS$3)),0),"")</f>
        <v>11.316499227839616</v>
      </c>
      <c r="DB19" s="175">
        <f>IFERROR(IF(AT19,($AE19-$AF19)/LN(($AE19-AT$3)/($AF19-AT$3)),0),"")</f>
        <v>10.298495384568954</v>
      </c>
      <c r="DC19" s="175">
        <f>IFERROR(IF(AU19,($AE19-$AF19)/LN(($AE19-AU$3)/($AF19-AU$3)),0),"")</f>
        <v>9.2764980722569277</v>
      </c>
      <c r="DD19" s="175"/>
      <c r="DE19" s="175">
        <f t="shared" si="24"/>
        <v>58.486155610866568</v>
      </c>
      <c r="DF19" s="175">
        <f t="shared" si="5"/>
        <v>55.707557734709027</v>
      </c>
      <c r="DG19" s="175">
        <f t="shared" si="5"/>
        <v>52.935774182932413</v>
      </c>
      <c r="DH19" s="175">
        <f t="shared" si="5"/>
        <v>50.171000829168328</v>
      </c>
      <c r="DI19" s="175">
        <f t="shared" si="5"/>
        <v>47.413433482627916</v>
      </c>
      <c r="DJ19" s="175">
        <f t="shared" si="5"/>
        <v>44.6632631498602</v>
      </c>
      <c r="DK19" s="175">
        <f t="shared" si="5"/>
        <v>41.920668683580004</v>
      </c>
      <c r="DL19" s="175">
        <f t="shared" si="5"/>
        <v>39.185805377221442</v>
      </c>
      <c r="DM19" s="175">
        <f t="shared" si="5"/>
        <v>36.458787153550162</v>
      </c>
      <c r="DN19" s="175">
        <f t="shared" si="5"/>
        <v>33.739658405316653</v>
      </c>
      <c r="DO19" s="175">
        <f t="shared" si="5"/>
        <v>31.028348667615852</v>
      </c>
      <c r="DP19" s="175">
        <f t="shared" si="5"/>
        <v>28.324597872450891</v>
      </c>
      <c r="DQ19" s="175">
        <f t="shared" si="5"/>
        <v>25.627829181574647</v>
      </c>
      <c r="DR19" s="175">
        <f t="shared" si="5"/>
        <v>22.936923798443466</v>
      </c>
      <c r="DS19" s="175"/>
      <c r="DT19" s="175">
        <f t="shared" si="39"/>
        <v>168.06366554846716</v>
      </c>
      <c r="DU19" s="175">
        <f t="shared" si="40"/>
        <v>160.07918889284204</v>
      </c>
      <c r="DV19" s="175">
        <f t="shared" si="40"/>
        <v>152.11429362911613</v>
      </c>
      <c r="DW19" s="175">
        <f t="shared" si="40"/>
        <v>144.16954261255268</v>
      </c>
      <c r="DX19" s="175">
        <f t="shared" si="40"/>
        <v>136.24549851329863</v>
      </c>
      <c r="DY19" s="175">
        <f t="shared" si="40"/>
        <v>128.34271020074772</v>
      </c>
      <c r="DZ19" s="175">
        <f t="shared" si="40"/>
        <v>120.46169161948278</v>
      </c>
      <c r="EA19" s="175">
        <f t="shared" si="40"/>
        <v>112.60288901500415</v>
      </c>
      <c r="EB19" s="175">
        <f t="shared" si="40"/>
        <v>104.76662975158094</v>
      </c>
      <c r="EC19" s="175">
        <f t="shared" si="40"/>
        <v>96.953041394588084</v>
      </c>
      <c r="ED19" s="175">
        <f t="shared" si="40"/>
        <v>89.161921458666242</v>
      </c>
      <c r="EE19" s="175">
        <f t="shared" si="40"/>
        <v>81.392522621985322</v>
      </c>
      <c r="EF19" s="175">
        <f t="shared" si="40"/>
        <v>73.643187303375427</v>
      </c>
      <c r="EG19" s="175">
        <f t="shared" si="40"/>
        <v>65.910700570239854</v>
      </c>
      <c r="EH19" s="175"/>
      <c r="EI19" s="127"/>
      <c r="EJ19" s="127"/>
      <c r="EK19" s="127"/>
      <c r="EL19" s="127"/>
      <c r="EM19" s="127"/>
      <c r="EN19" s="127"/>
      <c r="EO19" s="127"/>
    </row>
    <row r="20" spans="2:145" customFormat="1" ht="20.100000000000001" customHeight="1" x14ac:dyDescent="0.3">
      <c r="B20" s="191">
        <v>14</v>
      </c>
      <c r="C20" s="192">
        <v>16</v>
      </c>
      <c r="D20" s="126"/>
      <c r="E20" s="130"/>
      <c r="F20" s="131">
        <f t="shared" si="6"/>
        <v>45</v>
      </c>
      <c r="G20" s="131">
        <f>IF(F20&lt;&gt;"",IF(AD20,F20+$C$16,F20-$C$15),"")</f>
        <v>40</v>
      </c>
      <c r="H20" s="133">
        <f t="shared" si="25"/>
        <v>208.26091665027522</v>
      </c>
      <c r="I20" s="133">
        <f t="shared" si="26"/>
        <v>200.18652735425192</v>
      </c>
      <c r="J20" s="133">
        <f t="shared" si="27"/>
        <v>192.12911369609316</v>
      </c>
      <c r="K20" s="133">
        <f t="shared" si="28"/>
        <v>184.08915967270863</v>
      </c>
      <c r="L20" s="133">
        <f t="shared" si="29"/>
        <v>176.06716926089959</v>
      </c>
      <c r="M20" s="133">
        <f t="shared" si="30"/>
        <v>168.06366554846716</v>
      </c>
      <c r="N20" s="133">
        <f t="shared" si="31"/>
        <v>160.07918889284204</v>
      </c>
      <c r="O20" s="133">
        <f t="shared" si="32"/>
        <v>152.11429362911613</v>
      </c>
      <c r="P20" s="133">
        <f t="shared" si="33"/>
        <v>144.16954261255268</v>
      </c>
      <c r="Q20" s="133">
        <f t="shared" si="34"/>
        <v>136.24549851329863</v>
      </c>
      <c r="R20" s="133">
        <f t="shared" si="35"/>
        <v>128.34271020074772</v>
      </c>
      <c r="S20" s="133">
        <f t="shared" si="36"/>
        <v>120.46169161948278</v>
      </c>
      <c r="T20" s="133">
        <f t="shared" si="37"/>
        <v>112.60288901500415</v>
      </c>
      <c r="U20" s="133">
        <f t="shared" si="38"/>
        <v>104.76662975158094</v>
      </c>
      <c r="W20" s="135" t="s">
        <v>176</v>
      </c>
      <c r="X20" s="181">
        <f>LN(X4/X3)/(2*C11*PI()*C3*0.001)</f>
        <v>2.2267679581130113E-4</v>
      </c>
      <c r="Y20" s="177" t="s">
        <v>122</v>
      </c>
      <c r="Z20" s="135" t="s">
        <v>176</v>
      </c>
      <c r="AA20" s="181">
        <f>LN(X4/X3)/(2*C11*PI()*C3*0.001)</f>
        <v>2.2267679581130113E-4</v>
      </c>
      <c r="AB20" s="177" t="s">
        <v>122</v>
      </c>
      <c r="AC20" s="175">
        <f>MOD(ROW(A20),4)</f>
        <v>0</v>
      </c>
      <c r="AD20" s="175" t="b">
        <f>IF(MOD(ROW(A20),2)=0,ABS(F20-MAX(C35:C48))&gt;ABS(F20-MIN(C35:C48)),AD19)</f>
        <v>0</v>
      </c>
      <c r="AE20" s="178">
        <f>IF(MOD(ROW(A20),2)=0,F20,F19)</f>
        <v>45</v>
      </c>
      <c r="AF20" s="178">
        <f>IF(MOD(ROW(B20),2)=0,G20,G19)</f>
        <v>40</v>
      </c>
      <c r="AG20" s="178">
        <f t="shared" si="7"/>
        <v>42.5</v>
      </c>
      <c r="AH20" s="175" t="b">
        <f>OR(AND($AD20,$AE20&lt;AH$3,$AF20&lt;AH$3),AND(NOT($AD20),$AE20&gt;AH$3,$AF20&gt;AH$3))</f>
        <v>1</v>
      </c>
      <c r="AI20" s="175" t="b">
        <f>OR(AND($AD20,$AE20&lt;AI$3,$AF20&lt;AI$3),AND(NOT($AD20),$AE20&gt;AI$3,$AF20&gt;AI$3))</f>
        <v>1</v>
      </c>
      <c r="AJ20" s="175" t="b">
        <f>OR(AND($AD20,$AE20&lt;AJ$3,$AF20&lt;AJ$3),AND(NOT($AD20),$AE20&gt;AJ$3,$AF20&gt;AJ$3))</f>
        <v>1</v>
      </c>
      <c r="AK20" s="175" t="b">
        <f>OR(AND($AD20,$AE20&lt;AK$3,$AF20&lt;AK$3),AND(NOT($AD20),$AE20&gt;AK$3,$AF20&gt;AK$3))</f>
        <v>1</v>
      </c>
      <c r="AL20" s="175" t="b">
        <f>OR(AND($AD20,$AE20&lt;AL$3,$AF20&lt;AL$3),AND(NOT($AD20),$AE20&gt;AL$3,$AF20&gt;AL$3))</f>
        <v>1</v>
      </c>
      <c r="AM20" s="175" t="b">
        <f>OR(AND($AD20,$AE20&lt;AM$3,$AF20&lt;AM$3),AND(NOT($AD20),$AE20&gt;AM$3,$AF20&gt;AM$3))</f>
        <v>1</v>
      </c>
      <c r="AN20" s="175" t="b">
        <f>OR(AND($AD20,$AE20&lt;AN$3,$AF20&lt;AN$3),AND(NOT($AD20),$AE20&gt;AN$3,$AF20&gt;AN$3))</f>
        <v>1</v>
      </c>
      <c r="AO20" s="175" t="b">
        <f>OR(AND($AD20,$AE20&lt;AO$3,$AF20&lt;AO$3),AND(NOT($AD20),$AE20&gt;AO$3,$AF20&gt;AO$3))</f>
        <v>1</v>
      </c>
      <c r="AP20" s="175" t="b">
        <f>OR(AND($AD20,$AE20&lt;AP$3,$AF20&lt;AP$3),AND(NOT($AD20),$AE20&gt;AP$3,$AF20&gt;AP$3))</f>
        <v>1</v>
      </c>
      <c r="AQ20" s="175" t="b">
        <f>OR(AND($AD20,$AE20&lt;AQ$3,$AF20&lt;AQ$3),AND(NOT($AD20),$AE20&gt;AQ$3,$AF20&gt;AQ$3))</f>
        <v>1</v>
      </c>
      <c r="AR20" s="175" t="b">
        <f>OR(AND($AD20,$AE20&lt;AR$3,$AF20&lt;AR$3),AND(NOT($AD20),$AE20&gt;AR$3,$AF20&gt;AR$3))</f>
        <v>1</v>
      </c>
      <c r="AS20" s="175" t="b">
        <f>OR(AND($AD20,$AE20&lt;AS$3,$AF20&lt;AS$3),AND(NOT($AD20),$AE20&gt;AS$3,$AF20&gt;AS$3))</f>
        <v>1</v>
      </c>
      <c r="AT20" s="175" t="b">
        <f>OR(AND($AD20,$AE20&lt;AT$3,$AF20&lt;AT$3),AND(NOT($AD20),$AE20&gt;AT$3,$AF20&gt;AT$3))</f>
        <v>1</v>
      </c>
      <c r="AU20" s="175" t="b">
        <f>OR(AND($AD20,$AE20&lt;AU$3,$AF20&lt;AU$3),AND(NOT($AD20),$AE20&gt;AU$3,$AF20&gt;AU$3))</f>
        <v>1</v>
      </c>
      <c r="AV20" s="175"/>
      <c r="AW20" s="175">
        <f t="shared" si="8"/>
        <v>6.4297557236806924</v>
      </c>
      <c r="AX20" s="175">
        <f t="shared" ref="AX20:AX31" si="45">IFERROR(IF(AI20,($AG20-AI$3)/IF($AD20,$AA$23,$X$23),0),"")</f>
        <v>6.195946424637758</v>
      </c>
      <c r="AY20" s="175">
        <f t="shared" ref="AY20:AY31" si="46">IFERROR(IF(AJ20,($AG20-AJ$3)/IF($AD20,$AA$23,$X$23),0),"")</f>
        <v>5.9621371255948237</v>
      </c>
      <c r="AZ20" s="175">
        <f t="shared" ref="AZ20:AZ31" si="47">IFERROR(IF(AK20,($AG20-AK$3)/IF($AD20,$AA$23,$X$23),0),"")</f>
        <v>5.7283278265518902</v>
      </c>
      <c r="BA20" s="175">
        <f t="shared" ref="BA20:BA31" si="48">IFERROR(IF(AL20,($AG20-AL$3)/IF($AD20,$AA$23,$X$23),0),"")</f>
        <v>5.4945185275089559</v>
      </c>
      <c r="BB20" s="175">
        <f t="shared" ref="BB20:BB31" si="49">IFERROR(IF(AM20,($AG20-AM$3)/IF($AD20,$AA$23,$X$23),0),"")</f>
        <v>5.2607092284660215</v>
      </c>
      <c r="BC20" s="175">
        <f t="shared" ref="BC20:BC31" si="50">IFERROR(IF(AN20,($AG20-AN$3)/IF($AD20,$AA$23,$X$23),0),"")</f>
        <v>5.0268999294230872</v>
      </c>
      <c r="BD20" s="175">
        <f t="shared" ref="BD20:BD31" si="51">IFERROR(IF(AO20,($AG20-AO$3)/IF($AD20,$AA$23,$X$23),0),"")</f>
        <v>4.7930906303801528</v>
      </c>
      <c r="BE20" s="175">
        <f t="shared" ref="BE20:BE31" si="52">IFERROR(IF(AP20,($AG20-AP$3)/IF($AD20,$AA$23,$X$23),0),"")</f>
        <v>4.5592813313372185</v>
      </c>
      <c r="BF20" s="175">
        <f t="shared" ref="BF20:BF31" si="53">IFERROR(IF(AQ20,($AG20-AQ$3)/IF($AD20,$AA$23,$X$23),0),"")</f>
        <v>4.3254720322942841</v>
      </c>
      <c r="BG20" s="175">
        <f t="shared" ref="BG20:BG31" si="54">IFERROR(IF(AR20,($AG20-AR$3)/IF($AD20,$AA$23,$X$23),0),"")</f>
        <v>4.0916627332513498</v>
      </c>
      <c r="BH20" s="175">
        <f t="shared" ref="BH20:BH31" si="55">IFERROR(IF(AS20,($AG20-AS$3)/IF($AD20,$AA$23,$X$23),0),"")</f>
        <v>3.8578534342084154</v>
      </c>
      <c r="BI20" s="175">
        <f t="shared" ref="BI20:BI31" si="56">IFERROR(IF(AT20,($AG20-AT$3)/IF($AD20,$AA$23,$X$23),0),"")</f>
        <v>3.6240441351654815</v>
      </c>
      <c r="BJ20" s="175">
        <f t="shared" ref="BJ20:BJ31" si="57">IFERROR(IF(AU20,($AG20-AU$3)/IF($AD20,$AA$23,$X$23),0),"")</f>
        <v>3.3902348361225472</v>
      </c>
      <c r="BK20" s="175"/>
      <c r="BL20" s="175">
        <f t="shared" si="9"/>
        <v>40.69628282142947</v>
      </c>
      <c r="BM20" s="175">
        <f t="shared" ref="BM20:BM31" si="58">IFERROR(IF(AI20,$AG20-IF($AD20,$AA$22,$X$22)*AX20,0),"")</f>
        <v>40.761872537013851</v>
      </c>
      <c r="BN20" s="175">
        <f t="shared" ref="BN20:BN31" si="59">IFERROR(IF(AJ20,$AG20-IF($AD20,$AA$22,$X$22)*AY20,0),"")</f>
        <v>40.827462252598231</v>
      </c>
      <c r="BO20" s="175">
        <f t="shared" ref="BO20:BO31" si="60">IFERROR(IF(AK20,$AG20-IF($AD20,$AA$22,$X$22)*AZ20,0),"")</f>
        <v>40.893051968182618</v>
      </c>
      <c r="BP20" s="175">
        <f t="shared" ref="BP20:BP31" si="61">IFERROR(IF(AL20,$AG20-IF($AD20,$AA$22,$X$22)*BA20,0),"")</f>
        <v>40.958641683766999</v>
      </c>
      <c r="BQ20" s="175">
        <f t="shared" ref="BQ20:BQ31" si="62">IFERROR(IF(AM20,$AG20-IF($AD20,$AA$22,$X$22)*BB20,0),"")</f>
        <v>41.024231399351386</v>
      </c>
      <c r="BR20" s="175">
        <f t="shared" ref="BR20:BR31" si="63">IFERROR(IF(AN20,$AG20-IF($AD20,$AA$22,$X$22)*BC20,0),"")</f>
        <v>41.089821114935766</v>
      </c>
      <c r="BS20" s="175">
        <f t="shared" ref="BS20:BS31" si="64">IFERROR(IF(AO20,$AG20-IF($AD20,$AA$22,$X$22)*BD20,0),"")</f>
        <v>41.155410830520147</v>
      </c>
      <c r="BT20" s="175">
        <f t="shared" ref="BT20:BT31" si="65">IFERROR(IF(AP20,$AG20-IF($AD20,$AA$22,$X$22)*BE20,0),"")</f>
        <v>41.221000546104534</v>
      </c>
      <c r="BU20" s="175">
        <f t="shared" ref="BU20:BU31" si="66">IFERROR(IF(AQ20,$AG20-IF($AD20,$AA$22,$X$22)*BF20,0),"")</f>
        <v>41.286590261688914</v>
      </c>
      <c r="BV20" s="175">
        <f t="shared" ref="BV20:BV31" si="67">IFERROR(IF(AR20,$AG20-IF($AD20,$AA$22,$X$22)*BG20,0),"")</f>
        <v>41.352179977273295</v>
      </c>
      <c r="BW20" s="175">
        <f t="shared" ref="BW20:BW31" si="68">IFERROR(IF(AS20,$AG20-IF($AD20,$AA$22,$X$22)*BH20,0),"")</f>
        <v>41.417769692857682</v>
      </c>
      <c r="BX20" s="175">
        <f t="shared" ref="BX20:BX31" si="69">IFERROR(IF(AT20,$AG20-IF($AD20,$AA$22,$X$22)*BI20,0),"")</f>
        <v>41.483359408442062</v>
      </c>
      <c r="BY20" s="175">
        <f t="shared" ref="BY20:BY31" si="70">IFERROR(IF(AU20,$AG20-IF($AD20,$AA$22,$X$22)*BJ20,0),"")</f>
        <v>41.54894912402645</v>
      </c>
      <c r="BZ20" s="175"/>
      <c r="CA20" s="175">
        <f>IFERROR(IF(AH20,AH$3+(BL20-AH$3)*TANH($X$26*$X$27)/($X$26*$X$27),0),"")</f>
        <v>40.091511312528802</v>
      </c>
      <c r="CB20" s="175">
        <f>IFERROR(IF(AI20,AI$3+(BM20-AI$3)*TANH($X$26*$X$27)/($X$26*$X$27),0),"")</f>
        <v>40.179092719345931</v>
      </c>
      <c r="CC20" s="175">
        <f>IFERROR(IF(AJ20,AJ$3+(BN20-AJ$3)*TANH($X$26*$X$27)/($X$26*$X$27),0),"")</f>
        <v>40.266674126163068</v>
      </c>
      <c r="CD20" s="175">
        <f>IFERROR(IF(AK20,AK$3+(BO20-AK$3)*TANH($X$26*$X$27)/($X$26*$X$27),0),"")</f>
        <v>40.354255532980204</v>
      </c>
      <c r="CE20" s="175">
        <f>IFERROR(IF(AL20,AL$3+(BP20-AL$3)*TANH($X$26*$X$27)/($X$26*$X$27),0),"")</f>
        <v>40.441836939797341</v>
      </c>
      <c r="CF20" s="175">
        <f>IFERROR(IF(AM20,AM$3+(BQ20-AM$3)*TANH($X$26*$X$27)/($X$26*$X$27),0),"")</f>
        <v>40.529418346614477</v>
      </c>
      <c r="CG20" s="175">
        <f>IFERROR(IF(AN20,AN$3+(BR20-AN$3)*TANH($X$26*$X$27)/($X$26*$X$27),0),"")</f>
        <v>40.616999753431607</v>
      </c>
      <c r="CH20" s="175">
        <f>IFERROR(IF(AO20,AO$3+(BS20-AO$3)*TANH($X$26*$X$27)/($X$26*$X$27),0),"")</f>
        <v>40.704581160248736</v>
      </c>
      <c r="CI20" s="175">
        <f>IFERROR(IF(AP20,AP$3+(BT20-AP$3)*TANH($X$26*$X$27)/($X$26*$X$27),0),"")</f>
        <v>40.79216256706588</v>
      </c>
      <c r="CJ20" s="175">
        <f>IFERROR(IF(AQ20,AQ$3+(BU20-AQ$3)*TANH($X$26*$X$27)/($X$26*$X$27),0),"")</f>
        <v>40.879743973883009</v>
      </c>
      <c r="CK20" s="175">
        <f>IFERROR(IF(AR20,AR$3+(BV20-AR$3)*TANH($X$26*$X$27)/($X$26*$X$27),0),"")</f>
        <v>40.967325380700139</v>
      </c>
      <c r="CL20" s="175">
        <f>IFERROR(IF(AS20,AS$3+(BW20-AS$3)*TANH($X$26*$X$27)/($X$26*$X$27),0),"")</f>
        <v>41.054906787517282</v>
      </c>
      <c r="CM20" s="175">
        <f>IFERROR(IF(AT20,AT$3+(BX20-AT$3)*TANH($X$26*$X$27)/($X$26*$X$27),0),"")</f>
        <v>41.142488194334412</v>
      </c>
      <c r="CN20" s="175">
        <f>IFERROR(IF(AU20,AU$3+(BY20-AU$3)*TANH($X$26*$X$27)/($X$26*$X$27),0),"")</f>
        <v>41.230069601151556</v>
      </c>
      <c r="CO20" s="175"/>
      <c r="CP20" s="175">
        <f>IFERROR(IF(AH20,($AE20-$AF20)/LN(($AE20-AH$3)/($AF20-AH$3)),0),"")</f>
        <v>27.424074738735392</v>
      </c>
      <c r="CQ20" s="175">
        <f>IFERROR(IF(AI20,($AE20-$AF20)/LN(($AE20-AI$3)/($AF20-AI$3)),0),"")</f>
        <v>26.421196190858868</v>
      </c>
      <c r="CR20" s="175">
        <f>IFERROR(IF(AJ20,($AE20-$AF20)/LN(($AE20-AJ$3)/($AF20-AJ$3)),0),"")</f>
        <v>25.418090187724339</v>
      </c>
      <c r="CS20" s="175">
        <f>IFERROR(IF(AK20,($AE20-$AF20)/LN(($AE20-AK$3)/($AF20-AK$3)),0),"")</f>
        <v>24.414728582671302</v>
      </c>
      <c r="CT20" s="175">
        <f>IFERROR(IF(AL20,($AE20-$AF20)/LN(($AE20-AL$3)/($AF20-AL$3)),0),"")</f>
        <v>23.411078370561388</v>
      </c>
      <c r="CU20" s="175">
        <f>IFERROR(IF(AM20,($AE20-$AF20)/LN(($AE20-AM$3)/($AF20-AM$3)),0),"")</f>
        <v>22.407100588622747</v>
      </c>
      <c r="CV20" s="175">
        <f>IFERROR(IF(AN20,($AE20-$AF20)/LN(($AE20-AN$3)/($AF20-AN$3)),0),"")</f>
        <v>21.402748903644365</v>
      </c>
      <c r="CW20" s="175">
        <f>IFERROR(IF(AO20,($AE20-$AF20)/LN(($AE20-AO$3)/($AF20-AO$3)),0),"")</f>
        <v>20.39796777546664</v>
      </c>
      <c r="CX20" s="175">
        <f>IFERROR(IF(AP20,($AE20-$AF20)/LN(($AE20-AP$3)/($AF20-AP$3)),0),"")</f>
        <v>19.392690040058554</v>
      </c>
      <c r="CY20" s="175">
        <f>IFERROR(IF(AQ20,($AE20-$AF20)/LN(($AE20-AQ$3)/($AF20-AQ$3)),0),"")</f>
        <v>18.386833685213912</v>
      </c>
      <c r="CZ20" s="175">
        <f>IFERROR(IF(AR20,($AE20-$AF20)/LN(($AE20-AR$3)/($AF20-AR$3)),0),"")</f>
        <v>17.38029748391104</v>
      </c>
      <c r="DA20" s="175">
        <f>IFERROR(IF(AS20,($AE20-$AF20)/LN(($AE20-AS$3)/($AF20-AS$3)),0),"")</f>
        <v>16.37295498059061</v>
      </c>
      <c r="DB20" s="175">
        <f>IFERROR(IF(AT20,($AE20-$AF20)/LN(($AE20-AT$3)/($AF20-AT$3)),0),"")</f>
        <v>15.364646051784067</v>
      </c>
      <c r="DC20" s="175">
        <f>IFERROR(IF(AU20,($AE20-$AF20)/LN(($AE20-AU$3)/($AF20-AU$3)),0),"")</f>
        <v>14.355164808143819</v>
      </c>
      <c r="DD20" s="175"/>
      <c r="DE20" s="175">
        <f t="shared" si="24"/>
        <v>72.474798994295767</v>
      </c>
      <c r="DF20" s="175">
        <f t="shared" ref="DF20:DF31" si="71">IFERROR(IF(AI20,DU20*AVERAGE($X$11:$X$12),0),"")</f>
        <v>69.66491151927967</v>
      </c>
      <c r="DG20" s="175">
        <f t="shared" ref="DG20:DG31" si="72">IFERROR(IF(AJ20,DV20*AVERAGE($X$11:$X$12),0),"")</f>
        <v>66.86093156624041</v>
      </c>
      <c r="DH20" s="175">
        <f t="shared" ref="DH20:DH31" si="73">IFERROR(IF(AK20,DW20*AVERAGE($X$11:$X$12),0),"")</f>
        <v>64.063027566102605</v>
      </c>
      <c r="DI20" s="175">
        <f t="shared" ref="DI20:DI31" si="74">IFERROR(IF(AL20,DX20*AVERAGE($X$11:$X$12),0),"")</f>
        <v>61.271374902793056</v>
      </c>
      <c r="DJ20" s="175">
        <f t="shared" ref="DJ20:DJ31" si="75">IFERROR(IF(AM20,DY20*AVERAGE($X$11:$X$12),0),"")</f>
        <v>58.486155610866568</v>
      </c>
      <c r="DK20" s="175">
        <f t="shared" ref="DK20:DK31" si="76">IFERROR(IF(AN20,DZ20*AVERAGE($X$11:$X$12),0),"")</f>
        <v>55.707557734709027</v>
      </c>
      <c r="DL20" s="175">
        <f t="shared" ref="DL20:DL31" si="77">IFERROR(IF(AO20,EA20*AVERAGE($X$11:$X$12),0),"")</f>
        <v>52.935774182932413</v>
      </c>
      <c r="DM20" s="175">
        <f t="shared" ref="DM20:DM31" si="78">IFERROR(IF(AP20,EB20*AVERAGE($X$11:$X$12),0),"")</f>
        <v>50.171000829168328</v>
      </c>
      <c r="DN20" s="175">
        <f t="shared" ref="DN20:DN31" si="79">IFERROR(IF(AQ20,EC20*AVERAGE($X$11:$X$12),0),"")</f>
        <v>47.413433482627916</v>
      </c>
      <c r="DO20" s="175">
        <f t="shared" ref="DO20:DO31" si="80">IFERROR(IF(AR20,ED20*AVERAGE($X$11:$X$12),0),"")</f>
        <v>44.6632631498602</v>
      </c>
      <c r="DP20" s="175">
        <f t="shared" ref="DP20:DP31" si="81">IFERROR(IF(AS20,EE20*AVERAGE($X$11:$X$12),0),"")</f>
        <v>41.920668683580004</v>
      </c>
      <c r="DQ20" s="175">
        <f t="shared" ref="DQ20:DQ31" si="82">IFERROR(IF(AT20,EF20*AVERAGE($X$11:$X$12),0),"")</f>
        <v>39.185805377221442</v>
      </c>
      <c r="DR20" s="175">
        <f t="shared" ref="DR20:DR31" si="83">IFERROR(IF(AU20,EG20*AVERAGE($X$11:$X$12),0),"")</f>
        <v>36.458787153550162</v>
      </c>
      <c r="DS20" s="175"/>
      <c r="DT20" s="175">
        <f t="shared" si="39"/>
        <v>208.26091665027522</v>
      </c>
      <c r="DU20" s="175">
        <f t="shared" ref="DU20:DU31" si="84">IFERROR(IF(AI20,IF($AD20,8.5855*ABS(CQ20)^1.0557,6.1969*ABS(CQ20)^1.0614),0),"")</f>
        <v>200.18652735425192</v>
      </c>
      <c r="DV20" s="175">
        <f t="shared" ref="DV20:DV31" si="85">IFERROR(IF(AJ20,IF($AD20,8.5855*ABS(CR20)^1.0557,6.1969*ABS(CR20)^1.0614),0),"")</f>
        <v>192.12911369609316</v>
      </c>
      <c r="DW20" s="175">
        <f t="shared" ref="DW20:DW31" si="86">IFERROR(IF(AK20,IF($AD20,8.5855*ABS(CS20)^1.0557,6.1969*ABS(CS20)^1.0614),0),"")</f>
        <v>184.08915967270863</v>
      </c>
      <c r="DX20" s="175">
        <f t="shared" ref="DX20:DX31" si="87">IFERROR(IF(AL20,IF($AD20,8.5855*ABS(CT20)^1.0557,6.1969*ABS(CT20)^1.0614),0),"")</f>
        <v>176.06716926089959</v>
      </c>
      <c r="DY20" s="175">
        <f t="shared" ref="DY20:DY31" si="88">IFERROR(IF(AM20,IF($AD20,8.5855*ABS(CU20)^1.0557,6.1969*ABS(CU20)^1.0614),0),"")</f>
        <v>168.06366554846716</v>
      </c>
      <c r="DZ20" s="175">
        <f t="shared" ref="DZ20:DZ31" si="89">IFERROR(IF(AN20,IF($AD20,8.5855*ABS(CV20)^1.0557,6.1969*ABS(CV20)^1.0614),0),"")</f>
        <v>160.07918889284204</v>
      </c>
      <c r="EA20" s="175">
        <f t="shared" ref="EA20:EA31" si="90">IFERROR(IF(AO20,IF($AD20,8.5855*ABS(CW20)^1.0557,6.1969*ABS(CW20)^1.0614),0),"")</f>
        <v>152.11429362911613</v>
      </c>
      <c r="EB20" s="175">
        <f t="shared" ref="EB20:EB31" si="91">IFERROR(IF(AP20,IF($AD20,8.5855*ABS(CX20)^1.0557,6.1969*ABS(CX20)^1.0614),0),"")</f>
        <v>144.16954261255268</v>
      </c>
      <c r="EC20" s="175">
        <f t="shared" ref="EC20:EC31" si="92">IFERROR(IF(AQ20,IF($AD20,8.5855*ABS(CY20)^1.0557,6.1969*ABS(CY20)^1.0614),0),"")</f>
        <v>136.24549851329863</v>
      </c>
      <c r="ED20" s="175">
        <f t="shared" ref="ED20:ED31" si="93">IFERROR(IF(AR20,IF($AD20,8.5855*ABS(CZ20)^1.0557,6.1969*ABS(CZ20)^1.0614),0),"")</f>
        <v>128.34271020074772</v>
      </c>
      <c r="EE20" s="175">
        <f t="shared" ref="EE20:EE31" si="94">IFERROR(IF(AS20,IF($AD20,8.5855*ABS(DA20)^1.0557,6.1969*ABS(DA20)^1.0614),0),"")</f>
        <v>120.46169161948278</v>
      </c>
      <c r="EF20" s="175">
        <f t="shared" ref="EF20:EF31" si="95">IFERROR(IF(AT20,IF($AD20,8.5855*ABS(DB20)^1.0557,6.1969*ABS(DB20)^1.0614),0),"")</f>
        <v>112.60288901500415</v>
      </c>
      <c r="EG20" s="175">
        <f t="shared" ref="EG20:EG31" si="96">IFERROR(IF(AU20,IF($AD20,8.5855*ABS(DC20)^1.0557,6.1969*ABS(DC20)^1.0614),0),"")</f>
        <v>104.76662975158094</v>
      </c>
      <c r="EH20" s="175"/>
      <c r="EI20" s="127"/>
      <c r="EJ20" s="127"/>
      <c r="EK20" s="127"/>
      <c r="EL20" s="127"/>
      <c r="EM20" s="127"/>
      <c r="EN20" s="127"/>
      <c r="EO20" s="127"/>
    </row>
    <row r="21" spans="2:145" customFormat="1" ht="20.100000000000001" customHeight="1" x14ac:dyDescent="0.3">
      <c r="B21" s="191">
        <v>16</v>
      </c>
      <c r="C21" s="192">
        <v>17</v>
      </c>
      <c r="D21" s="126"/>
      <c r="E21" s="130"/>
      <c r="F21" s="131" t="str">
        <f t="shared" si="6"/>
        <v/>
      </c>
      <c r="G21" s="131" t="str">
        <f>IF(F21&lt;&gt;"",IF(AD21,F21+$C$16,F21-$C$15),"")</f>
        <v/>
      </c>
      <c r="H21" s="133">
        <f t="shared" ref="H21:U21" si="97">IFERROR(IF(AH21,ABS(CA21),""),"")</f>
        <v>40.091511312528802</v>
      </c>
      <c r="I21" s="133">
        <f t="shared" si="97"/>
        <v>40.179092719345931</v>
      </c>
      <c r="J21" s="133">
        <f t="shared" si="97"/>
        <v>40.266674126163068</v>
      </c>
      <c r="K21" s="133">
        <f t="shared" si="97"/>
        <v>40.354255532980204</v>
      </c>
      <c r="L21" s="133">
        <f t="shared" si="97"/>
        <v>40.441836939797341</v>
      </c>
      <c r="M21" s="133">
        <f t="shared" si="97"/>
        <v>40.529418346614477</v>
      </c>
      <c r="N21" s="133">
        <f t="shared" si="97"/>
        <v>40.616999753431607</v>
      </c>
      <c r="O21" s="133">
        <f t="shared" si="97"/>
        <v>40.704581160248736</v>
      </c>
      <c r="P21" s="133">
        <f t="shared" si="97"/>
        <v>40.79216256706588</v>
      </c>
      <c r="Q21" s="133">
        <f t="shared" si="97"/>
        <v>40.879743973883009</v>
      </c>
      <c r="R21" s="133">
        <f t="shared" si="97"/>
        <v>40.967325380700139</v>
      </c>
      <c r="S21" s="133">
        <f t="shared" si="97"/>
        <v>41.054906787517282</v>
      </c>
      <c r="T21" s="133">
        <f t="shared" si="97"/>
        <v>41.142488194334412</v>
      </c>
      <c r="U21" s="133">
        <f t="shared" si="97"/>
        <v>41.230069601151556</v>
      </c>
      <c r="W21" s="135" t="s">
        <v>177</v>
      </c>
      <c r="X21" s="181">
        <f>X7/(C4*AVERAGE(X11:X12)/C10)</f>
        <v>0.91954022988505757</v>
      </c>
      <c r="Y21" s="177" t="s">
        <v>123</v>
      </c>
      <c r="Z21" s="135" t="s">
        <v>177</v>
      </c>
      <c r="AA21" s="181">
        <f>X7/(C4*AVERAGE(X11:X12)/C10)</f>
        <v>0.91954022988505757</v>
      </c>
      <c r="AB21" s="177" t="s">
        <v>123</v>
      </c>
      <c r="AC21" s="175">
        <f>MOD(ROW(A21),4)</f>
        <v>1</v>
      </c>
      <c r="AD21" s="175" t="b">
        <f>IF(MOD(ROW(A21),2)=0,ABS(F21-MAX(C36:C49))&gt;ABS(F21-MIN(C36:C49)),AD20)</f>
        <v>0</v>
      </c>
      <c r="AE21" s="178">
        <f>IF(MOD(ROW(A21),2)=0,F21,F20)</f>
        <v>45</v>
      </c>
      <c r="AF21" s="178">
        <f>IF(MOD(ROW(B21),2)=0,G21,G20)</f>
        <v>40</v>
      </c>
      <c r="AG21" s="178">
        <f t="shared" si="7"/>
        <v>42.5</v>
      </c>
      <c r="AH21" s="175" t="b">
        <f>OR(AND($AD21,$AE21&lt;AH$3,$AF21&lt;AH$3),AND(NOT($AD21),$AE21&gt;AH$3,$AF21&gt;AH$3))</f>
        <v>1</v>
      </c>
      <c r="AI21" s="175" t="b">
        <f>OR(AND($AD21,$AE21&lt;AI$3,$AF21&lt;AI$3),AND(NOT($AD21),$AE21&gt;AI$3,$AF21&gt;AI$3))</f>
        <v>1</v>
      </c>
      <c r="AJ21" s="175" t="b">
        <f>OR(AND($AD21,$AE21&lt;AJ$3,$AF21&lt;AJ$3),AND(NOT($AD21),$AE21&gt;AJ$3,$AF21&gt;AJ$3))</f>
        <v>1</v>
      </c>
      <c r="AK21" s="175" t="b">
        <f>OR(AND($AD21,$AE21&lt;AK$3,$AF21&lt;AK$3),AND(NOT($AD21),$AE21&gt;AK$3,$AF21&gt;AK$3))</f>
        <v>1</v>
      </c>
      <c r="AL21" s="175" t="b">
        <f>OR(AND($AD21,$AE21&lt;AL$3,$AF21&lt;AL$3),AND(NOT($AD21),$AE21&gt;AL$3,$AF21&gt;AL$3))</f>
        <v>1</v>
      </c>
      <c r="AM21" s="175" t="b">
        <f>OR(AND($AD21,$AE21&lt;AM$3,$AF21&lt;AM$3),AND(NOT($AD21),$AE21&gt;AM$3,$AF21&gt;AM$3))</f>
        <v>1</v>
      </c>
      <c r="AN21" s="175" t="b">
        <f>OR(AND($AD21,$AE21&lt;AN$3,$AF21&lt;AN$3),AND(NOT($AD21),$AE21&gt;AN$3,$AF21&gt;AN$3))</f>
        <v>1</v>
      </c>
      <c r="AO21" s="175" t="b">
        <f>OR(AND($AD21,$AE21&lt;AO$3,$AF21&lt;AO$3),AND(NOT($AD21),$AE21&gt;AO$3,$AF21&gt;AO$3))</f>
        <v>1</v>
      </c>
      <c r="AP21" s="175" t="b">
        <f>OR(AND($AD21,$AE21&lt;AP$3,$AF21&lt;AP$3),AND(NOT($AD21),$AE21&gt;AP$3,$AF21&gt;AP$3))</f>
        <v>1</v>
      </c>
      <c r="AQ21" s="175" t="b">
        <f>OR(AND($AD21,$AE21&lt;AQ$3,$AF21&lt;AQ$3),AND(NOT($AD21),$AE21&gt;AQ$3,$AF21&gt;AQ$3))</f>
        <v>1</v>
      </c>
      <c r="AR21" s="175" t="b">
        <f>OR(AND($AD21,$AE21&lt;AR$3,$AF21&lt;AR$3),AND(NOT($AD21),$AE21&gt;AR$3,$AF21&gt;AR$3))</f>
        <v>1</v>
      </c>
      <c r="AS21" s="175" t="b">
        <f>OR(AND($AD21,$AE21&lt;AS$3,$AF21&lt;AS$3),AND(NOT($AD21),$AE21&gt;AS$3,$AF21&gt;AS$3))</f>
        <v>1</v>
      </c>
      <c r="AT21" s="175" t="b">
        <f>OR(AND($AD21,$AE21&lt;AT$3,$AF21&lt;AT$3),AND(NOT($AD21),$AE21&gt;AT$3,$AF21&gt;AT$3))</f>
        <v>1</v>
      </c>
      <c r="AU21" s="175" t="b">
        <f>OR(AND($AD21,$AE21&lt;AU$3,$AF21&lt;AU$3),AND(NOT($AD21),$AE21&gt;AU$3,$AF21&gt;AU$3))</f>
        <v>1</v>
      </c>
      <c r="AV21" s="175"/>
      <c r="AW21" s="175">
        <f t="shared" si="8"/>
        <v>6.4297557236806924</v>
      </c>
      <c r="AX21" s="175">
        <f t="shared" si="45"/>
        <v>6.195946424637758</v>
      </c>
      <c r="AY21" s="175">
        <f t="shared" si="46"/>
        <v>5.9621371255948237</v>
      </c>
      <c r="AZ21" s="175">
        <f t="shared" si="47"/>
        <v>5.7283278265518902</v>
      </c>
      <c r="BA21" s="175">
        <f t="shared" si="48"/>
        <v>5.4945185275089559</v>
      </c>
      <c r="BB21" s="175">
        <f t="shared" si="49"/>
        <v>5.2607092284660215</v>
      </c>
      <c r="BC21" s="175">
        <f t="shared" si="50"/>
        <v>5.0268999294230872</v>
      </c>
      <c r="BD21" s="175">
        <f t="shared" si="51"/>
        <v>4.7930906303801528</v>
      </c>
      <c r="BE21" s="175">
        <f t="shared" si="52"/>
        <v>4.5592813313372185</v>
      </c>
      <c r="BF21" s="175">
        <f t="shared" si="53"/>
        <v>4.3254720322942841</v>
      </c>
      <c r="BG21" s="175">
        <f t="shared" si="54"/>
        <v>4.0916627332513498</v>
      </c>
      <c r="BH21" s="175">
        <f t="shared" si="55"/>
        <v>3.8578534342084154</v>
      </c>
      <c r="BI21" s="175">
        <f t="shared" si="56"/>
        <v>3.6240441351654815</v>
      </c>
      <c r="BJ21" s="175">
        <f t="shared" si="57"/>
        <v>3.3902348361225472</v>
      </c>
      <c r="BK21" s="175"/>
      <c r="BL21" s="175">
        <f t="shared" si="9"/>
        <v>40.69628282142947</v>
      </c>
      <c r="BM21" s="175">
        <f t="shared" si="58"/>
        <v>40.761872537013851</v>
      </c>
      <c r="BN21" s="175">
        <f t="shared" si="59"/>
        <v>40.827462252598231</v>
      </c>
      <c r="BO21" s="175">
        <f t="shared" si="60"/>
        <v>40.893051968182618</v>
      </c>
      <c r="BP21" s="175">
        <f t="shared" si="61"/>
        <v>40.958641683766999</v>
      </c>
      <c r="BQ21" s="175">
        <f t="shared" si="62"/>
        <v>41.024231399351386</v>
      </c>
      <c r="BR21" s="175">
        <f t="shared" si="63"/>
        <v>41.089821114935766</v>
      </c>
      <c r="BS21" s="175">
        <f t="shared" si="64"/>
        <v>41.155410830520147</v>
      </c>
      <c r="BT21" s="175">
        <f t="shared" si="65"/>
        <v>41.221000546104534</v>
      </c>
      <c r="BU21" s="175">
        <f t="shared" si="66"/>
        <v>41.286590261688914</v>
      </c>
      <c r="BV21" s="175">
        <f t="shared" si="67"/>
        <v>41.352179977273295</v>
      </c>
      <c r="BW21" s="175">
        <f t="shared" si="68"/>
        <v>41.417769692857682</v>
      </c>
      <c r="BX21" s="175">
        <f t="shared" si="69"/>
        <v>41.483359408442062</v>
      </c>
      <c r="BY21" s="175">
        <f t="shared" si="70"/>
        <v>41.54894912402645</v>
      </c>
      <c r="BZ21" s="175"/>
      <c r="CA21" s="175">
        <f>IFERROR(IF(AH21,AH$3+(BL21-AH$3)*TANH($X$26*$X$27)/($X$26*$X$27),0),"")</f>
        <v>40.091511312528802</v>
      </c>
      <c r="CB21" s="175">
        <f>IFERROR(IF(AI21,AI$3+(BM21-AI$3)*TANH($X$26*$X$27)/($X$26*$X$27),0),"")</f>
        <v>40.179092719345931</v>
      </c>
      <c r="CC21" s="175">
        <f>IFERROR(IF(AJ21,AJ$3+(BN21-AJ$3)*TANH($X$26*$X$27)/($X$26*$X$27),0),"")</f>
        <v>40.266674126163068</v>
      </c>
      <c r="CD21" s="175">
        <f>IFERROR(IF(AK21,AK$3+(BO21-AK$3)*TANH($X$26*$X$27)/($X$26*$X$27),0),"")</f>
        <v>40.354255532980204</v>
      </c>
      <c r="CE21" s="175">
        <f>IFERROR(IF(AL21,AL$3+(BP21-AL$3)*TANH($X$26*$X$27)/($X$26*$X$27),0),"")</f>
        <v>40.441836939797341</v>
      </c>
      <c r="CF21" s="175">
        <f>IFERROR(IF(AM21,AM$3+(BQ21-AM$3)*TANH($X$26*$X$27)/($X$26*$X$27),0),"")</f>
        <v>40.529418346614477</v>
      </c>
      <c r="CG21" s="175">
        <f>IFERROR(IF(AN21,AN$3+(BR21-AN$3)*TANH($X$26*$X$27)/($X$26*$X$27),0),"")</f>
        <v>40.616999753431607</v>
      </c>
      <c r="CH21" s="175">
        <f>IFERROR(IF(AO21,AO$3+(BS21-AO$3)*TANH($X$26*$X$27)/($X$26*$X$27),0),"")</f>
        <v>40.704581160248736</v>
      </c>
      <c r="CI21" s="175">
        <f>IFERROR(IF(AP21,AP$3+(BT21-AP$3)*TANH($X$26*$X$27)/($X$26*$X$27),0),"")</f>
        <v>40.79216256706588</v>
      </c>
      <c r="CJ21" s="175">
        <f>IFERROR(IF(AQ21,AQ$3+(BU21-AQ$3)*TANH($X$26*$X$27)/($X$26*$X$27),0),"")</f>
        <v>40.879743973883009</v>
      </c>
      <c r="CK21" s="175">
        <f>IFERROR(IF(AR21,AR$3+(BV21-AR$3)*TANH($X$26*$X$27)/($X$26*$X$27),0),"")</f>
        <v>40.967325380700139</v>
      </c>
      <c r="CL21" s="175">
        <f>IFERROR(IF(AS21,AS$3+(BW21-AS$3)*TANH($X$26*$X$27)/($X$26*$X$27),0),"")</f>
        <v>41.054906787517282</v>
      </c>
      <c r="CM21" s="175">
        <f>IFERROR(IF(AT21,AT$3+(BX21-AT$3)*TANH($X$26*$X$27)/($X$26*$X$27),0),"")</f>
        <v>41.142488194334412</v>
      </c>
      <c r="CN21" s="175">
        <f>IFERROR(IF(AU21,AU$3+(BY21-AU$3)*TANH($X$26*$X$27)/($X$26*$X$27),0),"")</f>
        <v>41.230069601151556</v>
      </c>
      <c r="CO21" s="175"/>
      <c r="CP21" s="175">
        <f>IFERROR(IF(AH21,($AE21-$AF21)/LN(($AE21-AH$3)/($AF21-AH$3)),0),"")</f>
        <v>27.424074738735392</v>
      </c>
      <c r="CQ21" s="175">
        <f>IFERROR(IF(AI21,($AE21-$AF21)/LN(($AE21-AI$3)/($AF21-AI$3)),0),"")</f>
        <v>26.421196190858868</v>
      </c>
      <c r="CR21" s="175">
        <f>IFERROR(IF(AJ21,($AE21-$AF21)/LN(($AE21-AJ$3)/($AF21-AJ$3)),0),"")</f>
        <v>25.418090187724339</v>
      </c>
      <c r="CS21" s="175">
        <f>IFERROR(IF(AK21,($AE21-$AF21)/LN(($AE21-AK$3)/($AF21-AK$3)),0),"")</f>
        <v>24.414728582671302</v>
      </c>
      <c r="CT21" s="175">
        <f>IFERROR(IF(AL21,($AE21-$AF21)/LN(($AE21-AL$3)/($AF21-AL$3)),0),"")</f>
        <v>23.411078370561388</v>
      </c>
      <c r="CU21" s="175">
        <f>IFERROR(IF(AM21,($AE21-$AF21)/LN(($AE21-AM$3)/($AF21-AM$3)),0),"")</f>
        <v>22.407100588622747</v>
      </c>
      <c r="CV21" s="175">
        <f>IFERROR(IF(AN21,($AE21-$AF21)/LN(($AE21-AN$3)/($AF21-AN$3)),0),"")</f>
        <v>21.402748903644365</v>
      </c>
      <c r="CW21" s="175">
        <f>IFERROR(IF(AO21,($AE21-$AF21)/LN(($AE21-AO$3)/($AF21-AO$3)),0),"")</f>
        <v>20.39796777546664</v>
      </c>
      <c r="CX21" s="175">
        <f>IFERROR(IF(AP21,($AE21-$AF21)/LN(($AE21-AP$3)/($AF21-AP$3)),0),"")</f>
        <v>19.392690040058554</v>
      </c>
      <c r="CY21" s="175">
        <f>IFERROR(IF(AQ21,($AE21-$AF21)/LN(($AE21-AQ$3)/($AF21-AQ$3)),0),"")</f>
        <v>18.386833685213912</v>
      </c>
      <c r="CZ21" s="175">
        <f>IFERROR(IF(AR21,($AE21-$AF21)/LN(($AE21-AR$3)/($AF21-AR$3)),0),"")</f>
        <v>17.38029748391104</v>
      </c>
      <c r="DA21" s="175">
        <f>IFERROR(IF(AS21,($AE21-$AF21)/LN(($AE21-AS$3)/($AF21-AS$3)),0),"")</f>
        <v>16.37295498059061</v>
      </c>
      <c r="DB21" s="175">
        <f>IFERROR(IF(AT21,($AE21-$AF21)/LN(($AE21-AT$3)/($AF21-AT$3)),0),"")</f>
        <v>15.364646051784067</v>
      </c>
      <c r="DC21" s="175">
        <f>IFERROR(IF(AU21,($AE21-$AF21)/LN(($AE21-AU$3)/($AF21-AU$3)),0),"")</f>
        <v>14.355164808143819</v>
      </c>
      <c r="DD21" s="175"/>
      <c r="DE21" s="175">
        <f t="shared" si="24"/>
        <v>72.474798994295767</v>
      </c>
      <c r="DF21" s="175">
        <f t="shared" si="71"/>
        <v>69.66491151927967</v>
      </c>
      <c r="DG21" s="175">
        <f t="shared" si="72"/>
        <v>66.86093156624041</v>
      </c>
      <c r="DH21" s="175">
        <f t="shared" si="73"/>
        <v>64.063027566102605</v>
      </c>
      <c r="DI21" s="175">
        <f t="shared" si="74"/>
        <v>61.271374902793056</v>
      </c>
      <c r="DJ21" s="175">
        <f t="shared" si="75"/>
        <v>58.486155610866568</v>
      </c>
      <c r="DK21" s="175">
        <f t="shared" si="76"/>
        <v>55.707557734709027</v>
      </c>
      <c r="DL21" s="175">
        <f t="shared" si="77"/>
        <v>52.935774182932413</v>
      </c>
      <c r="DM21" s="175">
        <f t="shared" si="78"/>
        <v>50.171000829168328</v>
      </c>
      <c r="DN21" s="175">
        <f t="shared" si="79"/>
        <v>47.413433482627916</v>
      </c>
      <c r="DO21" s="175">
        <f t="shared" si="80"/>
        <v>44.6632631498602</v>
      </c>
      <c r="DP21" s="175">
        <f t="shared" si="81"/>
        <v>41.920668683580004</v>
      </c>
      <c r="DQ21" s="175">
        <f t="shared" si="82"/>
        <v>39.185805377221442</v>
      </c>
      <c r="DR21" s="175">
        <f t="shared" si="83"/>
        <v>36.458787153550162</v>
      </c>
      <c r="DS21" s="175"/>
      <c r="DT21" s="175">
        <f t="shared" si="39"/>
        <v>208.26091665027522</v>
      </c>
      <c r="DU21" s="175">
        <f t="shared" si="84"/>
        <v>200.18652735425192</v>
      </c>
      <c r="DV21" s="175">
        <f t="shared" si="85"/>
        <v>192.12911369609316</v>
      </c>
      <c r="DW21" s="175">
        <f t="shared" si="86"/>
        <v>184.08915967270863</v>
      </c>
      <c r="DX21" s="175">
        <f t="shared" si="87"/>
        <v>176.06716926089959</v>
      </c>
      <c r="DY21" s="175">
        <f t="shared" si="88"/>
        <v>168.06366554846716</v>
      </c>
      <c r="DZ21" s="175">
        <f t="shared" si="89"/>
        <v>160.07918889284204</v>
      </c>
      <c r="EA21" s="175">
        <f t="shared" si="90"/>
        <v>152.11429362911613</v>
      </c>
      <c r="EB21" s="175">
        <f t="shared" si="91"/>
        <v>144.16954261255268</v>
      </c>
      <c r="EC21" s="175">
        <f t="shared" si="92"/>
        <v>136.24549851329863</v>
      </c>
      <c r="ED21" s="175">
        <f t="shared" si="93"/>
        <v>128.34271020074772</v>
      </c>
      <c r="EE21" s="175">
        <f t="shared" si="94"/>
        <v>120.46169161948278</v>
      </c>
      <c r="EF21" s="175">
        <f t="shared" si="95"/>
        <v>112.60288901500415</v>
      </c>
      <c r="EG21" s="175">
        <f t="shared" si="96"/>
        <v>104.76662975158094</v>
      </c>
      <c r="EH21" s="175"/>
      <c r="EI21" s="127"/>
      <c r="EJ21" s="127"/>
      <c r="EK21" s="127"/>
      <c r="EL21" s="127"/>
      <c r="EM21" s="127"/>
      <c r="EN21" s="127"/>
      <c r="EO21" s="127"/>
    </row>
    <row r="22" spans="2:145" customFormat="1" ht="20.100000000000001" customHeight="1" x14ac:dyDescent="0.3">
      <c r="B22" s="191">
        <v>18</v>
      </c>
      <c r="C22" s="192">
        <v>18</v>
      </c>
      <c r="D22" s="126"/>
      <c r="E22" s="130"/>
      <c r="F22" s="131" t="str">
        <f t="shared" si="6"/>
        <v/>
      </c>
      <c r="G22" s="131" t="str">
        <f>IF(F22&lt;&gt;"",IF(AD22,F22+$C$16,F22-$C$15),"")</f>
        <v/>
      </c>
      <c r="H22" s="133" t="str">
        <f t="shared" si="25"/>
        <v/>
      </c>
      <c r="I22" s="133" t="str">
        <f t="shared" si="26"/>
        <v/>
      </c>
      <c r="J22" s="133" t="str">
        <f t="shared" si="27"/>
        <v/>
      </c>
      <c r="K22" s="133" t="str">
        <f t="shared" si="28"/>
        <v/>
      </c>
      <c r="L22" s="133" t="str">
        <f t="shared" si="29"/>
        <v/>
      </c>
      <c r="M22" s="133" t="str">
        <f t="shared" si="30"/>
        <v/>
      </c>
      <c r="N22" s="133" t="str">
        <f t="shared" si="31"/>
        <v/>
      </c>
      <c r="O22" s="133" t="str">
        <f t="shared" si="32"/>
        <v/>
      </c>
      <c r="P22" s="133" t="str">
        <f t="shared" si="33"/>
        <v/>
      </c>
      <c r="Q22" s="133" t="str">
        <f t="shared" si="34"/>
        <v/>
      </c>
      <c r="R22" s="133" t="str">
        <f t="shared" si="35"/>
        <v/>
      </c>
      <c r="S22" s="133" t="str">
        <f t="shared" si="36"/>
        <v/>
      </c>
      <c r="T22" s="133" t="str">
        <f t="shared" si="37"/>
        <v/>
      </c>
      <c r="U22" s="133" t="str">
        <f t="shared" si="38"/>
        <v/>
      </c>
      <c r="W22" s="135" t="s">
        <v>178</v>
      </c>
      <c r="X22" s="181">
        <f>X16+X19+X20</f>
        <v>0.28052654814357397</v>
      </c>
      <c r="Y22" s="177" t="s">
        <v>124</v>
      </c>
      <c r="Z22" s="135" t="s">
        <v>178</v>
      </c>
      <c r="AA22" s="181">
        <f>AA16+AA19+AA20</f>
        <v>0.28052654814357397</v>
      </c>
      <c r="AB22" s="177" t="s">
        <v>124</v>
      </c>
      <c r="AC22" s="175">
        <f>MOD(ROW(A22),4)</f>
        <v>2</v>
      </c>
      <c r="AD22" s="175" t="e">
        <f>IF(MOD(ROW(A22),2)=0,ABS(F22-MAX(C37:C50))&gt;ABS(F22-MIN(C37:C50)),AD21)</f>
        <v>#VALUE!</v>
      </c>
      <c r="AE22" s="178" t="str">
        <f>IF(MOD(ROW(A22),2)=0,F22,F21)</f>
        <v/>
      </c>
      <c r="AF22" s="178" t="str">
        <f>IF(MOD(ROW(B22),2)=0,G22,G21)</f>
        <v/>
      </c>
      <c r="AG22" s="178" t="e">
        <f t="shared" si="7"/>
        <v>#DIV/0!</v>
      </c>
      <c r="AH22" s="175" t="e">
        <f>OR(AND($AD22,$AE22&lt;AH$3,$AF22&lt;AH$3),AND(NOT($AD22),$AE22&gt;AH$3,$AF22&gt;AH$3))</f>
        <v>#VALUE!</v>
      </c>
      <c r="AI22" s="175" t="e">
        <f>OR(AND($AD22,$AE22&lt;AI$3,$AF22&lt;AI$3),AND(NOT($AD22),$AE22&gt;AI$3,$AF22&gt;AI$3))</f>
        <v>#VALUE!</v>
      </c>
      <c r="AJ22" s="175" t="e">
        <f>OR(AND($AD22,$AE22&lt;AJ$3,$AF22&lt;AJ$3),AND(NOT($AD22),$AE22&gt;AJ$3,$AF22&gt;AJ$3))</f>
        <v>#VALUE!</v>
      </c>
      <c r="AK22" s="175" t="e">
        <f>OR(AND($AD22,$AE22&lt;AK$3,$AF22&lt;AK$3),AND(NOT($AD22),$AE22&gt;AK$3,$AF22&gt;AK$3))</f>
        <v>#VALUE!</v>
      </c>
      <c r="AL22" s="175" t="e">
        <f>OR(AND($AD22,$AE22&lt;AL$3,$AF22&lt;AL$3),AND(NOT($AD22),$AE22&gt;AL$3,$AF22&gt;AL$3))</f>
        <v>#VALUE!</v>
      </c>
      <c r="AM22" s="175" t="e">
        <f>OR(AND($AD22,$AE22&lt;AM$3,$AF22&lt;AM$3),AND(NOT($AD22),$AE22&gt;AM$3,$AF22&gt;AM$3))</f>
        <v>#VALUE!</v>
      </c>
      <c r="AN22" s="175" t="e">
        <f>OR(AND($AD22,$AE22&lt;AN$3,$AF22&lt;AN$3),AND(NOT($AD22),$AE22&gt;AN$3,$AF22&gt;AN$3))</f>
        <v>#VALUE!</v>
      </c>
      <c r="AO22" s="175" t="e">
        <f>OR(AND($AD22,$AE22&lt;AO$3,$AF22&lt;AO$3),AND(NOT($AD22),$AE22&gt;AO$3,$AF22&gt;AO$3))</f>
        <v>#VALUE!</v>
      </c>
      <c r="AP22" s="175" t="e">
        <f>OR(AND($AD22,$AE22&lt;AP$3,$AF22&lt;AP$3),AND(NOT($AD22),$AE22&gt;AP$3,$AF22&gt;AP$3))</f>
        <v>#VALUE!</v>
      </c>
      <c r="AQ22" s="175" t="e">
        <f>OR(AND($AD22,$AE22&lt;AQ$3,$AF22&lt;AQ$3),AND(NOT($AD22),$AE22&gt;AQ$3,$AF22&gt;AQ$3))</f>
        <v>#VALUE!</v>
      </c>
      <c r="AR22" s="175" t="e">
        <f>OR(AND($AD22,$AE22&lt;AR$3,$AF22&lt;AR$3),AND(NOT($AD22),$AE22&gt;AR$3,$AF22&gt;AR$3))</f>
        <v>#VALUE!</v>
      </c>
      <c r="AS22" s="175" t="e">
        <f>OR(AND($AD22,$AE22&lt;AS$3,$AF22&lt;AS$3),AND(NOT($AD22),$AE22&gt;AS$3,$AF22&gt;AS$3))</f>
        <v>#VALUE!</v>
      </c>
      <c r="AT22" s="175" t="e">
        <f>OR(AND($AD22,$AE22&lt;AT$3,$AF22&lt;AT$3),AND(NOT($AD22),$AE22&gt;AT$3,$AF22&gt;AT$3))</f>
        <v>#VALUE!</v>
      </c>
      <c r="AU22" s="175" t="e">
        <f>OR(AND($AD22,$AE22&lt;AU$3,$AF22&lt;AU$3),AND(NOT($AD22),$AE22&gt;AU$3,$AF22&gt;AU$3))</f>
        <v>#VALUE!</v>
      </c>
      <c r="AV22" s="175"/>
      <c r="AW22" s="175" t="str">
        <f t="shared" si="8"/>
        <v/>
      </c>
      <c r="AX22" s="175" t="str">
        <f t="shared" si="45"/>
        <v/>
      </c>
      <c r="AY22" s="175" t="str">
        <f t="shared" si="46"/>
        <v/>
      </c>
      <c r="AZ22" s="175" t="str">
        <f t="shared" si="47"/>
        <v/>
      </c>
      <c r="BA22" s="175" t="str">
        <f t="shared" si="48"/>
        <v/>
      </c>
      <c r="BB22" s="175" t="str">
        <f t="shared" si="49"/>
        <v/>
      </c>
      <c r="BC22" s="175" t="str">
        <f t="shared" si="50"/>
        <v/>
      </c>
      <c r="BD22" s="175" t="str">
        <f t="shared" si="51"/>
        <v/>
      </c>
      <c r="BE22" s="175" t="str">
        <f t="shared" si="52"/>
        <v/>
      </c>
      <c r="BF22" s="175" t="str">
        <f t="shared" si="53"/>
        <v/>
      </c>
      <c r="BG22" s="175" t="str">
        <f t="shared" si="54"/>
        <v/>
      </c>
      <c r="BH22" s="175" t="str">
        <f t="shared" si="55"/>
        <v/>
      </c>
      <c r="BI22" s="175" t="str">
        <f t="shared" si="56"/>
        <v/>
      </c>
      <c r="BJ22" s="175" t="str">
        <f t="shared" si="57"/>
        <v/>
      </c>
      <c r="BK22" s="175"/>
      <c r="BL22" s="175" t="str">
        <f t="shared" si="9"/>
        <v/>
      </c>
      <c r="BM22" s="175" t="str">
        <f t="shared" si="58"/>
        <v/>
      </c>
      <c r="BN22" s="175" t="str">
        <f t="shared" si="59"/>
        <v/>
      </c>
      <c r="BO22" s="175" t="str">
        <f t="shared" si="60"/>
        <v/>
      </c>
      <c r="BP22" s="175" t="str">
        <f t="shared" si="61"/>
        <v/>
      </c>
      <c r="BQ22" s="175" t="str">
        <f t="shared" si="62"/>
        <v/>
      </c>
      <c r="BR22" s="175" t="str">
        <f t="shared" si="63"/>
        <v/>
      </c>
      <c r="BS22" s="175" t="str">
        <f t="shared" si="64"/>
        <v/>
      </c>
      <c r="BT22" s="175" t="str">
        <f t="shared" si="65"/>
        <v/>
      </c>
      <c r="BU22" s="175" t="str">
        <f t="shared" si="66"/>
        <v/>
      </c>
      <c r="BV22" s="175" t="str">
        <f t="shared" si="67"/>
        <v/>
      </c>
      <c r="BW22" s="175" t="str">
        <f t="shared" si="68"/>
        <v/>
      </c>
      <c r="BX22" s="175" t="str">
        <f t="shared" si="69"/>
        <v/>
      </c>
      <c r="BY22" s="175" t="str">
        <f t="shared" si="70"/>
        <v/>
      </c>
      <c r="BZ22" s="175"/>
      <c r="CA22" s="175" t="str">
        <f>IFERROR(IF(AH22,AH$3+(BL22-AH$3)*TANH($X$26*$X$27)/($X$26*$X$27),0),"")</f>
        <v/>
      </c>
      <c r="CB22" s="175" t="str">
        <f>IFERROR(IF(AI22,AI$3+(BM22-AI$3)*TANH($X$26*$X$27)/($X$26*$X$27),0),"")</f>
        <v/>
      </c>
      <c r="CC22" s="175" t="str">
        <f>IFERROR(IF(AJ22,AJ$3+(BN22-AJ$3)*TANH($X$26*$X$27)/($X$26*$X$27),0),"")</f>
        <v/>
      </c>
      <c r="CD22" s="175" t="str">
        <f>IFERROR(IF(AK22,AK$3+(BO22-AK$3)*TANH($X$26*$X$27)/($X$26*$X$27),0),"")</f>
        <v/>
      </c>
      <c r="CE22" s="175" t="str">
        <f>IFERROR(IF(AL22,AL$3+(BP22-AL$3)*TANH($X$26*$X$27)/($X$26*$X$27),0),"")</f>
        <v/>
      </c>
      <c r="CF22" s="175" t="str">
        <f>IFERROR(IF(AM22,AM$3+(BQ22-AM$3)*TANH($X$26*$X$27)/($X$26*$X$27),0),"")</f>
        <v/>
      </c>
      <c r="CG22" s="175" t="str">
        <f>IFERROR(IF(AN22,AN$3+(BR22-AN$3)*TANH($X$26*$X$27)/($X$26*$X$27),0),"")</f>
        <v/>
      </c>
      <c r="CH22" s="175" t="str">
        <f>IFERROR(IF(AO22,AO$3+(BS22-AO$3)*TANH($X$26*$X$27)/($X$26*$X$27),0),"")</f>
        <v/>
      </c>
      <c r="CI22" s="175" t="str">
        <f>IFERROR(IF(AP22,AP$3+(BT22-AP$3)*TANH($X$26*$X$27)/($X$26*$X$27),0),"")</f>
        <v/>
      </c>
      <c r="CJ22" s="175" t="str">
        <f>IFERROR(IF(AQ22,AQ$3+(BU22-AQ$3)*TANH($X$26*$X$27)/($X$26*$X$27),0),"")</f>
        <v/>
      </c>
      <c r="CK22" s="175" t="str">
        <f>IFERROR(IF(AR22,AR$3+(BV22-AR$3)*TANH($X$26*$X$27)/($X$26*$X$27),0),"")</f>
        <v/>
      </c>
      <c r="CL22" s="175" t="str">
        <f>IFERROR(IF(AS22,AS$3+(BW22-AS$3)*TANH($X$26*$X$27)/($X$26*$X$27),0),"")</f>
        <v/>
      </c>
      <c r="CM22" s="175" t="str">
        <f>IFERROR(IF(AT22,AT$3+(BX22-AT$3)*TANH($X$26*$X$27)/($X$26*$X$27),0),"")</f>
        <v/>
      </c>
      <c r="CN22" s="175" t="str">
        <f>IFERROR(IF(AU22,AU$3+(BY22-AU$3)*TANH($X$26*$X$27)/($X$26*$X$27),0),"")</f>
        <v/>
      </c>
      <c r="CO22" s="175"/>
      <c r="CP22" s="175" t="str">
        <f>IFERROR(IF(AH22,($AE22-$AF22)/LN(($AE22-AH$3)/($AF22-AH$3)),0),"")</f>
        <v/>
      </c>
      <c r="CQ22" s="175" t="str">
        <f>IFERROR(IF(AI22,($AE22-$AF22)/LN(($AE22-AI$3)/($AF22-AI$3)),0),"")</f>
        <v/>
      </c>
      <c r="CR22" s="175" t="str">
        <f>IFERROR(IF(AJ22,($AE22-$AF22)/LN(($AE22-AJ$3)/($AF22-AJ$3)),0),"")</f>
        <v/>
      </c>
      <c r="CS22" s="175" t="str">
        <f>IFERROR(IF(AK22,($AE22-$AF22)/LN(($AE22-AK$3)/($AF22-AK$3)),0),"")</f>
        <v/>
      </c>
      <c r="CT22" s="175" t="str">
        <f>IFERROR(IF(AL22,($AE22-$AF22)/LN(($AE22-AL$3)/($AF22-AL$3)),0),"")</f>
        <v/>
      </c>
      <c r="CU22" s="175" t="str">
        <f>IFERROR(IF(AM22,($AE22-$AF22)/LN(($AE22-AM$3)/($AF22-AM$3)),0),"")</f>
        <v/>
      </c>
      <c r="CV22" s="175" t="str">
        <f>IFERROR(IF(AN22,($AE22-$AF22)/LN(($AE22-AN$3)/($AF22-AN$3)),0),"")</f>
        <v/>
      </c>
      <c r="CW22" s="175" t="str">
        <f>IFERROR(IF(AO22,($AE22-$AF22)/LN(($AE22-AO$3)/($AF22-AO$3)),0),"")</f>
        <v/>
      </c>
      <c r="CX22" s="175" t="str">
        <f>IFERROR(IF(AP22,($AE22-$AF22)/LN(($AE22-AP$3)/($AF22-AP$3)),0),"")</f>
        <v/>
      </c>
      <c r="CY22" s="175" t="str">
        <f>IFERROR(IF(AQ22,($AE22-$AF22)/LN(($AE22-AQ$3)/($AF22-AQ$3)),0),"")</f>
        <v/>
      </c>
      <c r="CZ22" s="175" t="str">
        <f>IFERROR(IF(AR22,($AE22-$AF22)/LN(($AE22-AR$3)/($AF22-AR$3)),0),"")</f>
        <v/>
      </c>
      <c r="DA22" s="175" t="str">
        <f>IFERROR(IF(AS22,($AE22-$AF22)/LN(($AE22-AS$3)/($AF22-AS$3)),0),"")</f>
        <v/>
      </c>
      <c r="DB22" s="175" t="str">
        <f>IFERROR(IF(AT22,($AE22-$AF22)/LN(($AE22-AT$3)/($AF22-AT$3)),0),"")</f>
        <v/>
      </c>
      <c r="DC22" s="175" t="str">
        <f>IFERROR(IF(AU22,($AE22-$AF22)/LN(($AE22-AU$3)/($AF22-AU$3)),0),"")</f>
        <v/>
      </c>
      <c r="DD22" s="175"/>
      <c r="DE22" s="175" t="str">
        <f t="shared" si="24"/>
        <v/>
      </c>
      <c r="DF22" s="175" t="str">
        <f t="shared" si="71"/>
        <v/>
      </c>
      <c r="DG22" s="175" t="str">
        <f t="shared" si="72"/>
        <v/>
      </c>
      <c r="DH22" s="175" t="str">
        <f t="shared" si="73"/>
        <v/>
      </c>
      <c r="DI22" s="175" t="str">
        <f t="shared" si="74"/>
        <v/>
      </c>
      <c r="DJ22" s="175" t="str">
        <f t="shared" si="75"/>
        <v/>
      </c>
      <c r="DK22" s="175" t="str">
        <f t="shared" si="76"/>
        <v/>
      </c>
      <c r="DL22" s="175" t="str">
        <f t="shared" si="77"/>
        <v/>
      </c>
      <c r="DM22" s="175" t="str">
        <f t="shared" si="78"/>
        <v/>
      </c>
      <c r="DN22" s="175" t="str">
        <f t="shared" si="79"/>
        <v/>
      </c>
      <c r="DO22" s="175" t="str">
        <f t="shared" si="80"/>
        <v/>
      </c>
      <c r="DP22" s="175" t="str">
        <f t="shared" si="81"/>
        <v/>
      </c>
      <c r="DQ22" s="175" t="str">
        <f t="shared" si="82"/>
        <v/>
      </c>
      <c r="DR22" s="175" t="str">
        <f t="shared" si="83"/>
        <v/>
      </c>
      <c r="DS22" s="175"/>
      <c r="DT22" s="175" t="str">
        <f t="shared" si="39"/>
        <v/>
      </c>
      <c r="DU22" s="175" t="str">
        <f t="shared" si="84"/>
        <v/>
      </c>
      <c r="DV22" s="175" t="str">
        <f t="shared" si="85"/>
        <v/>
      </c>
      <c r="DW22" s="175" t="str">
        <f t="shared" si="86"/>
        <v/>
      </c>
      <c r="DX22" s="175" t="str">
        <f t="shared" si="87"/>
        <v/>
      </c>
      <c r="DY22" s="175" t="str">
        <f t="shared" si="88"/>
        <v/>
      </c>
      <c r="DZ22" s="175" t="str">
        <f t="shared" si="89"/>
        <v/>
      </c>
      <c r="EA22" s="175" t="str">
        <f t="shared" si="90"/>
        <v/>
      </c>
      <c r="EB22" s="175" t="str">
        <f t="shared" si="91"/>
        <v/>
      </c>
      <c r="EC22" s="175" t="str">
        <f t="shared" si="92"/>
        <v/>
      </c>
      <c r="ED22" s="175" t="str">
        <f t="shared" si="93"/>
        <v/>
      </c>
      <c r="EE22" s="175" t="str">
        <f t="shared" si="94"/>
        <v/>
      </c>
      <c r="EF22" s="175" t="str">
        <f t="shared" si="95"/>
        <v/>
      </c>
      <c r="EG22" s="175" t="str">
        <f t="shared" si="96"/>
        <v/>
      </c>
      <c r="EH22" s="175"/>
      <c r="EI22" s="127"/>
      <c r="EJ22" s="127"/>
      <c r="EK22" s="127"/>
      <c r="EL22" s="127"/>
      <c r="EM22" s="127"/>
      <c r="EN22" s="127"/>
      <c r="EO22" s="127"/>
    </row>
    <row r="23" spans="2:145" customFormat="1" ht="20.100000000000001" customHeight="1" x14ac:dyDescent="0.3">
      <c r="B23" s="191">
        <v>20</v>
      </c>
      <c r="C23" s="192">
        <v>19</v>
      </c>
      <c r="D23" s="126"/>
      <c r="E23" s="130"/>
      <c r="F23" s="131" t="str">
        <f t="shared" si="6"/>
        <v/>
      </c>
      <c r="G23" s="131" t="str">
        <f>IF(F23&lt;&gt;"",IF(AD23,F23+$C$16,F23-$C$15),"")</f>
        <v/>
      </c>
      <c r="H23" s="133" t="str">
        <f t="shared" ref="H23:U23" si="98">IFERROR(IF(AH23,ABS(CA23),""),"")</f>
        <v/>
      </c>
      <c r="I23" s="133" t="str">
        <f t="shared" si="98"/>
        <v/>
      </c>
      <c r="J23" s="133" t="str">
        <f t="shared" si="98"/>
        <v/>
      </c>
      <c r="K23" s="133" t="str">
        <f t="shared" si="98"/>
        <v/>
      </c>
      <c r="L23" s="133" t="str">
        <f t="shared" si="98"/>
        <v/>
      </c>
      <c r="M23" s="133" t="str">
        <f t="shared" si="98"/>
        <v/>
      </c>
      <c r="N23" s="133" t="str">
        <f t="shared" si="98"/>
        <v/>
      </c>
      <c r="O23" s="133" t="str">
        <f t="shared" si="98"/>
        <v/>
      </c>
      <c r="P23" s="133" t="str">
        <f t="shared" si="98"/>
        <v/>
      </c>
      <c r="Q23" s="133" t="str">
        <f t="shared" si="98"/>
        <v/>
      </c>
      <c r="R23" s="133" t="str">
        <f t="shared" si="98"/>
        <v/>
      </c>
      <c r="S23" s="133" t="str">
        <f t="shared" si="98"/>
        <v/>
      </c>
      <c r="T23" s="133" t="str">
        <f t="shared" si="98"/>
        <v/>
      </c>
      <c r="U23" s="133" t="str">
        <f t="shared" si="98"/>
        <v/>
      </c>
      <c r="W23" s="135" t="s">
        <v>179</v>
      </c>
      <c r="X23" s="181">
        <f>X16+X19+X20+X21+X17</f>
        <v>4.276989854951708</v>
      </c>
      <c r="Y23" s="177" t="s">
        <v>125</v>
      </c>
      <c r="Z23" s="135" t="s">
        <v>179</v>
      </c>
      <c r="AA23" s="181">
        <f>AA16+AA19+AA20+AA21+AA17</f>
        <v>3.0519186298804835</v>
      </c>
      <c r="AB23" s="177" t="s">
        <v>125</v>
      </c>
      <c r="AC23" s="175">
        <f>MOD(ROW(A23),4)</f>
        <v>3</v>
      </c>
      <c r="AD23" s="175" t="e">
        <f>IF(MOD(ROW(A23),2)=0,ABS(F23-MAX(C38:C51))&gt;ABS(F23-MIN(C38:C51)),AD22)</f>
        <v>#VALUE!</v>
      </c>
      <c r="AE23" s="178" t="str">
        <f>IF(MOD(ROW(A23),2)=0,F23,F22)</f>
        <v/>
      </c>
      <c r="AF23" s="178" t="str">
        <f>IF(MOD(ROW(B23),2)=0,G23,G22)</f>
        <v/>
      </c>
      <c r="AG23" s="178" t="e">
        <f t="shared" si="7"/>
        <v>#DIV/0!</v>
      </c>
      <c r="AH23" s="175" t="e">
        <f>OR(AND($AD23,$AE23&lt;AH$3,$AF23&lt;AH$3),AND(NOT($AD23),$AE23&gt;AH$3,$AF23&gt;AH$3))</f>
        <v>#VALUE!</v>
      </c>
      <c r="AI23" s="175" t="e">
        <f>OR(AND($AD23,$AE23&lt;AI$3,$AF23&lt;AI$3),AND(NOT($AD23),$AE23&gt;AI$3,$AF23&gt;AI$3))</f>
        <v>#VALUE!</v>
      </c>
      <c r="AJ23" s="175" t="e">
        <f>OR(AND($AD23,$AE23&lt;AJ$3,$AF23&lt;AJ$3),AND(NOT($AD23),$AE23&gt;AJ$3,$AF23&gt;AJ$3))</f>
        <v>#VALUE!</v>
      </c>
      <c r="AK23" s="175" t="e">
        <f>OR(AND($AD23,$AE23&lt;AK$3,$AF23&lt;AK$3),AND(NOT($AD23),$AE23&gt;AK$3,$AF23&gt;AK$3))</f>
        <v>#VALUE!</v>
      </c>
      <c r="AL23" s="175" t="e">
        <f>OR(AND($AD23,$AE23&lt;AL$3,$AF23&lt;AL$3),AND(NOT($AD23),$AE23&gt;AL$3,$AF23&gt;AL$3))</f>
        <v>#VALUE!</v>
      </c>
      <c r="AM23" s="175" t="e">
        <f>OR(AND($AD23,$AE23&lt;AM$3,$AF23&lt;AM$3),AND(NOT($AD23),$AE23&gt;AM$3,$AF23&gt;AM$3))</f>
        <v>#VALUE!</v>
      </c>
      <c r="AN23" s="175" t="e">
        <f>OR(AND($AD23,$AE23&lt;AN$3,$AF23&lt;AN$3),AND(NOT($AD23),$AE23&gt;AN$3,$AF23&gt;AN$3))</f>
        <v>#VALUE!</v>
      </c>
      <c r="AO23" s="175" t="e">
        <f>OR(AND($AD23,$AE23&lt;AO$3,$AF23&lt;AO$3),AND(NOT($AD23),$AE23&gt;AO$3,$AF23&gt;AO$3))</f>
        <v>#VALUE!</v>
      </c>
      <c r="AP23" s="175" t="e">
        <f>OR(AND($AD23,$AE23&lt;AP$3,$AF23&lt;AP$3),AND(NOT($AD23),$AE23&gt;AP$3,$AF23&gt;AP$3))</f>
        <v>#VALUE!</v>
      </c>
      <c r="AQ23" s="175" t="e">
        <f>OR(AND($AD23,$AE23&lt;AQ$3,$AF23&lt;AQ$3),AND(NOT($AD23),$AE23&gt;AQ$3,$AF23&gt;AQ$3))</f>
        <v>#VALUE!</v>
      </c>
      <c r="AR23" s="175" t="e">
        <f>OR(AND($AD23,$AE23&lt;AR$3,$AF23&lt;AR$3),AND(NOT($AD23),$AE23&gt;AR$3,$AF23&gt;AR$3))</f>
        <v>#VALUE!</v>
      </c>
      <c r="AS23" s="175" t="e">
        <f>OR(AND($AD23,$AE23&lt;AS$3,$AF23&lt;AS$3),AND(NOT($AD23),$AE23&gt;AS$3,$AF23&gt;AS$3))</f>
        <v>#VALUE!</v>
      </c>
      <c r="AT23" s="175" t="e">
        <f>OR(AND($AD23,$AE23&lt;AT$3,$AF23&lt;AT$3),AND(NOT($AD23),$AE23&gt;AT$3,$AF23&gt;AT$3))</f>
        <v>#VALUE!</v>
      </c>
      <c r="AU23" s="175" t="e">
        <f>OR(AND($AD23,$AE23&lt;AU$3,$AF23&lt;AU$3),AND(NOT($AD23),$AE23&gt;AU$3,$AF23&gt;AU$3))</f>
        <v>#VALUE!</v>
      </c>
      <c r="AV23" s="175"/>
      <c r="AW23" s="175" t="str">
        <f t="shared" si="8"/>
        <v/>
      </c>
      <c r="AX23" s="175" t="str">
        <f t="shared" si="45"/>
        <v/>
      </c>
      <c r="AY23" s="175" t="str">
        <f t="shared" si="46"/>
        <v/>
      </c>
      <c r="AZ23" s="175" t="str">
        <f t="shared" si="47"/>
        <v/>
      </c>
      <c r="BA23" s="175" t="str">
        <f t="shared" si="48"/>
        <v/>
      </c>
      <c r="BB23" s="175" t="str">
        <f t="shared" si="49"/>
        <v/>
      </c>
      <c r="BC23" s="175" t="str">
        <f t="shared" si="50"/>
        <v/>
      </c>
      <c r="BD23" s="175" t="str">
        <f t="shared" si="51"/>
        <v/>
      </c>
      <c r="BE23" s="175" t="str">
        <f t="shared" si="52"/>
        <v/>
      </c>
      <c r="BF23" s="175" t="str">
        <f t="shared" si="53"/>
        <v/>
      </c>
      <c r="BG23" s="175" t="str">
        <f t="shared" si="54"/>
        <v/>
      </c>
      <c r="BH23" s="175" t="str">
        <f t="shared" si="55"/>
        <v/>
      </c>
      <c r="BI23" s="175" t="str">
        <f t="shared" si="56"/>
        <v/>
      </c>
      <c r="BJ23" s="175" t="str">
        <f t="shared" si="57"/>
        <v/>
      </c>
      <c r="BK23" s="175"/>
      <c r="BL23" s="175" t="str">
        <f t="shared" si="9"/>
        <v/>
      </c>
      <c r="BM23" s="175" t="str">
        <f t="shared" si="58"/>
        <v/>
      </c>
      <c r="BN23" s="175" t="str">
        <f t="shared" si="59"/>
        <v/>
      </c>
      <c r="BO23" s="175" t="str">
        <f t="shared" si="60"/>
        <v/>
      </c>
      <c r="BP23" s="175" t="str">
        <f t="shared" si="61"/>
        <v/>
      </c>
      <c r="BQ23" s="175" t="str">
        <f t="shared" si="62"/>
        <v/>
      </c>
      <c r="BR23" s="175" t="str">
        <f t="shared" si="63"/>
        <v/>
      </c>
      <c r="BS23" s="175" t="str">
        <f t="shared" si="64"/>
        <v/>
      </c>
      <c r="BT23" s="175" t="str">
        <f t="shared" si="65"/>
        <v/>
      </c>
      <c r="BU23" s="175" t="str">
        <f t="shared" si="66"/>
        <v/>
      </c>
      <c r="BV23" s="175" t="str">
        <f t="shared" si="67"/>
        <v/>
      </c>
      <c r="BW23" s="175" t="str">
        <f t="shared" si="68"/>
        <v/>
      </c>
      <c r="BX23" s="175" t="str">
        <f t="shared" si="69"/>
        <v/>
      </c>
      <c r="BY23" s="175" t="str">
        <f t="shared" si="70"/>
        <v/>
      </c>
      <c r="BZ23" s="175"/>
      <c r="CA23" s="175" t="str">
        <f>IFERROR(IF(AH23,AH$3+(BL23-AH$3)*TANH($X$26*$X$27)/($X$26*$X$27),0),"")</f>
        <v/>
      </c>
      <c r="CB23" s="175" t="str">
        <f>IFERROR(IF(AI23,AI$3+(BM23-AI$3)*TANH($X$26*$X$27)/($X$26*$X$27),0),"")</f>
        <v/>
      </c>
      <c r="CC23" s="175" t="str">
        <f>IFERROR(IF(AJ23,AJ$3+(BN23-AJ$3)*TANH($X$26*$X$27)/($X$26*$X$27),0),"")</f>
        <v/>
      </c>
      <c r="CD23" s="175" t="str">
        <f>IFERROR(IF(AK23,AK$3+(BO23-AK$3)*TANH($X$26*$X$27)/($X$26*$X$27),0),"")</f>
        <v/>
      </c>
      <c r="CE23" s="175" t="str">
        <f>IFERROR(IF(AL23,AL$3+(BP23-AL$3)*TANH($X$26*$X$27)/($X$26*$X$27),0),"")</f>
        <v/>
      </c>
      <c r="CF23" s="175" t="str">
        <f>IFERROR(IF(AM23,AM$3+(BQ23-AM$3)*TANH($X$26*$X$27)/($X$26*$X$27),0),"")</f>
        <v/>
      </c>
      <c r="CG23" s="175" t="str">
        <f>IFERROR(IF(AN23,AN$3+(BR23-AN$3)*TANH($X$26*$X$27)/($X$26*$X$27),0),"")</f>
        <v/>
      </c>
      <c r="CH23" s="175" t="str">
        <f>IFERROR(IF(AO23,AO$3+(BS23-AO$3)*TANH($X$26*$X$27)/($X$26*$X$27),0),"")</f>
        <v/>
      </c>
      <c r="CI23" s="175" t="str">
        <f>IFERROR(IF(AP23,AP$3+(BT23-AP$3)*TANH($X$26*$X$27)/($X$26*$X$27),0),"")</f>
        <v/>
      </c>
      <c r="CJ23" s="175" t="str">
        <f>IFERROR(IF(AQ23,AQ$3+(BU23-AQ$3)*TANH($X$26*$X$27)/($X$26*$X$27),0),"")</f>
        <v/>
      </c>
      <c r="CK23" s="175" t="str">
        <f>IFERROR(IF(AR23,AR$3+(BV23-AR$3)*TANH($X$26*$X$27)/($X$26*$X$27),0),"")</f>
        <v/>
      </c>
      <c r="CL23" s="175" t="str">
        <f>IFERROR(IF(AS23,AS$3+(BW23-AS$3)*TANH($X$26*$X$27)/($X$26*$X$27),0),"")</f>
        <v/>
      </c>
      <c r="CM23" s="175" t="str">
        <f>IFERROR(IF(AT23,AT$3+(BX23-AT$3)*TANH($X$26*$X$27)/($X$26*$X$27),0),"")</f>
        <v/>
      </c>
      <c r="CN23" s="175" t="str">
        <f>IFERROR(IF(AU23,AU$3+(BY23-AU$3)*TANH($X$26*$X$27)/($X$26*$X$27),0),"")</f>
        <v/>
      </c>
      <c r="CO23" s="175"/>
      <c r="CP23" s="175" t="str">
        <f>IFERROR(IF(AH23,($AE23-$AF23)/LN(($AE23-AH$3)/($AF23-AH$3)),0),"")</f>
        <v/>
      </c>
      <c r="CQ23" s="175" t="str">
        <f>IFERROR(IF(AI23,($AE23-$AF23)/LN(($AE23-AI$3)/($AF23-AI$3)),0),"")</f>
        <v/>
      </c>
      <c r="CR23" s="175" t="str">
        <f>IFERROR(IF(AJ23,($AE23-$AF23)/LN(($AE23-AJ$3)/($AF23-AJ$3)),0),"")</f>
        <v/>
      </c>
      <c r="CS23" s="175" t="str">
        <f>IFERROR(IF(AK23,($AE23-$AF23)/LN(($AE23-AK$3)/($AF23-AK$3)),0),"")</f>
        <v/>
      </c>
      <c r="CT23" s="175" t="str">
        <f>IFERROR(IF(AL23,($AE23-$AF23)/LN(($AE23-AL$3)/($AF23-AL$3)),0),"")</f>
        <v/>
      </c>
      <c r="CU23" s="175" t="str">
        <f>IFERROR(IF(AM23,($AE23-$AF23)/LN(($AE23-AM$3)/($AF23-AM$3)),0),"")</f>
        <v/>
      </c>
      <c r="CV23" s="175" t="str">
        <f>IFERROR(IF(AN23,($AE23-$AF23)/LN(($AE23-AN$3)/($AF23-AN$3)),0),"")</f>
        <v/>
      </c>
      <c r="CW23" s="175" t="str">
        <f>IFERROR(IF(AO23,($AE23-$AF23)/LN(($AE23-AO$3)/($AF23-AO$3)),0),"")</f>
        <v/>
      </c>
      <c r="CX23" s="175" t="str">
        <f>IFERROR(IF(AP23,($AE23-$AF23)/LN(($AE23-AP$3)/($AF23-AP$3)),0),"")</f>
        <v/>
      </c>
      <c r="CY23" s="175" t="str">
        <f>IFERROR(IF(AQ23,($AE23-$AF23)/LN(($AE23-AQ$3)/($AF23-AQ$3)),0),"")</f>
        <v/>
      </c>
      <c r="CZ23" s="175" t="str">
        <f>IFERROR(IF(AR23,($AE23-$AF23)/LN(($AE23-AR$3)/($AF23-AR$3)),0),"")</f>
        <v/>
      </c>
      <c r="DA23" s="175" t="str">
        <f>IFERROR(IF(AS23,($AE23-$AF23)/LN(($AE23-AS$3)/($AF23-AS$3)),0),"")</f>
        <v/>
      </c>
      <c r="DB23" s="175" t="str">
        <f>IFERROR(IF(AT23,($AE23-$AF23)/LN(($AE23-AT$3)/($AF23-AT$3)),0),"")</f>
        <v/>
      </c>
      <c r="DC23" s="175" t="str">
        <f>IFERROR(IF(AU23,($AE23-$AF23)/LN(($AE23-AU$3)/($AF23-AU$3)),0),"")</f>
        <v/>
      </c>
      <c r="DD23" s="175"/>
      <c r="DE23" s="175" t="str">
        <f t="shared" si="24"/>
        <v/>
      </c>
      <c r="DF23" s="175" t="str">
        <f t="shared" si="71"/>
        <v/>
      </c>
      <c r="DG23" s="175" t="str">
        <f t="shared" si="72"/>
        <v/>
      </c>
      <c r="DH23" s="175" t="str">
        <f t="shared" si="73"/>
        <v/>
      </c>
      <c r="DI23" s="175" t="str">
        <f t="shared" si="74"/>
        <v/>
      </c>
      <c r="DJ23" s="175" t="str">
        <f t="shared" si="75"/>
        <v/>
      </c>
      <c r="DK23" s="175" t="str">
        <f t="shared" si="76"/>
        <v/>
      </c>
      <c r="DL23" s="175" t="str">
        <f t="shared" si="77"/>
        <v/>
      </c>
      <c r="DM23" s="175" t="str">
        <f t="shared" si="78"/>
        <v/>
      </c>
      <c r="DN23" s="175" t="str">
        <f t="shared" si="79"/>
        <v/>
      </c>
      <c r="DO23" s="175" t="str">
        <f t="shared" si="80"/>
        <v/>
      </c>
      <c r="DP23" s="175" t="str">
        <f t="shared" si="81"/>
        <v/>
      </c>
      <c r="DQ23" s="175" t="str">
        <f t="shared" si="82"/>
        <v/>
      </c>
      <c r="DR23" s="175" t="str">
        <f t="shared" si="83"/>
        <v/>
      </c>
      <c r="DS23" s="175"/>
      <c r="DT23" s="175" t="str">
        <f t="shared" si="39"/>
        <v/>
      </c>
      <c r="DU23" s="175" t="str">
        <f t="shared" si="84"/>
        <v/>
      </c>
      <c r="DV23" s="175" t="str">
        <f t="shared" si="85"/>
        <v/>
      </c>
      <c r="DW23" s="175" t="str">
        <f t="shared" si="86"/>
        <v/>
      </c>
      <c r="DX23" s="175" t="str">
        <f t="shared" si="87"/>
        <v/>
      </c>
      <c r="DY23" s="175" t="str">
        <f t="shared" si="88"/>
        <v/>
      </c>
      <c r="DZ23" s="175" t="str">
        <f t="shared" si="89"/>
        <v/>
      </c>
      <c r="EA23" s="175" t="str">
        <f t="shared" si="90"/>
        <v/>
      </c>
      <c r="EB23" s="175" t="str">
        <f t="shared" si="91"/>
        <v/>
      </c>
      <c r="EC23" s="175" t="str">
        <f t="shared" si="92"/>
        <v/>
      </c>
      <c r="ED23" s="175" t="str">
        <f t="shared" si="93"/>
        <v/>
      </c>
      <c r="EE23" s="175" t="str">
        <f t="shared" si="94"/>
        <v/>
      </c>
      <c r="EF23" s="175" t="str">
        <f t="shared" si="95"/>
        <v/>
      </c>
      <c r="EG23" s="175" t="str">
        <f t="shared" si="96"/>
        <v/>
      </c>
      <c r="EH23" s="175"/>
      <c r="EI23" s="127"/>
      <c r="EJ23" s="127"/>
      <c r="EK23" s="127"/>
      <c r="EL23" s="127"/>
      <c r="EM23" s="127"/>
      <c r="EN23" s="127"/>
      <c r="EO23" s="127"/>
    </row>
    <row r="24" spans="2:145" customFormat="1" ht="20.100000000000001" customHeight="1" x14ac:dyDescent="0.3">
      <c r="B24" s="191">
        <v>30</v>
      </c>
      <c r="C24" s="192">
        <v>20</v>
      </c>
      <c r="D24" s="126"/>
      <c r="E24" s="130"/>
      <c r="F24" s="131" t="str">
        <f t="shared" si="6"/>
        <v/>
      </c>
      <c r="G24" s="131" t="str">
        <f>IF(F24&lt;&gt;"",IF(AD24,F24+$C$16,F24-$C$15),"")</f>
        <v/>
      </c>
      <c r="H24" s="133" t="str">
        <f t="shared" si="25"/>
        <v/>
      </c>
      <c r="I24" s="133" t="str">
        <f t="shared" si="26"/>
        <v/>
      </c>
      <c r="J24" s="133" t="str">
        <f t="shared" si="27"/>
        <v/>
      </c>
      <c r="K24" s="133" t="str">
        <f t="shared" si="28"/>
        <v/>
      </c>
      <c r="L24" s="133" t="str">
        <f t="shared" si="29"/>
        <v/>
      </c>
      <c r="M24" s="133" t="str">
        <f t="shared" si="30"/>
        <v/>
      </c>
      <c r="N24" s="133" t="str">
        <f t="shared" si="31"/>
        <v/>
      </c>
      <c r="O24" s="133" t="str">
        <f t="shared" si="32"/>
        <v/>
      </c>
      <c r="P24" s="133" t="str">
        <f t="shared" si="33"/>
        <v/>
      </c>
      <c r="Q24" s="133" t="str">
        <f t="shared" si="34"/>
        <v/>
      </c>
      <c r="R24" s="133" t="str">
        <f t="shared" si="35"/>
        <v/>
      </c>
      <c r="S24" s="133" t="str">
        <f t="shared" si="36"/>
        <v/>
      </c>
      <c r="T24" s="133" t="str">
        <f t="shared" si="37"/>
        <v/>
      </c>
      <c r="U24" s="133" t="str">
        <f t="shared" si="38"/>
        <v/>
      </c>
      <c r="W24" s="135" t="s">
        <v>180</v>
      </c>
      <c r="X24" s="181">
        <f>X19+X20+X16+X18</f>
        <v>4.6529150946242153</v>
      </c>
      <c r="Y24" s="177" t="s">
        <v>126</v>
      </c>
      <c r="Z24" s="135" t="s">
        <v>180</v>
      </c>
      <c r="AA24" s="181">
        <f>AA19+AA20+AA16+AA18</f>
        <v>2.9120566918587745</v>
      </c>
      <c r="AB24" s="177" t="s">
        <v>126</v>
      </c>
      <c r="AC24" s="175">
        <f>MOD(ROW(A24),4)</f>
        <v>0</v>
      </c>
      <c r="AD24" s="175" t="e">
        <f>IF(MOD(ROW(A24),2)=0,ABS(F24-MAX(C39:C52))&gt;ABS(F24-MIN(C39:C52)),AD23)</f>
        <v>#VALUE!</v>
      </c>
      <c r="AE24" s="178" t="str">
        <f>IF(MOD(ROW(A24),2)=0,F24,F23)</f>
        <v/>
      </c>
      <c r="AF24" s="178" t="str">
        <f>IF(MOD(ROW(B24),2)=0,G24,G23)</f>
        <v/>
      </c>
      <c r="AG24" s="178" t="e">
        <f t="shared" si="7"/>
        <v>#DIV/0!</v>
      </c>
      <c r="AH24" s="175" t="e">
        <f>OR(AND($AD24,$AE24&lt;AH$3,$AF24&lt;AH$3),AND(NOT($AD24),$AE24&gt;AH$3,$AF24&gt;AH$3))</f>
        <v>#VALUE!</v>
      </c>
      <c r="AI24" s="175" t="e">
        <f>OR(AND($AD24,$AE24&lt;AI$3,$AF24&lt;AI$3),AND(NOT($AD24),$AE24&gt;AI$3,$AF24&gt;AI$3))</f>
        <v>#VALUE!</v>
      </c>
      <c r="AJ24" s="175" t="e">
        <f>OR(AND($AD24,$AE24&lt;AJ$3,$AF24&lt;AJ$3),AND(NOT($AD24),$AE24&gt;AJ$3,$AF24&gt;AJ$3))</f>
        <v>#VALUE!</v>
      </c>
      <c r="AK24" s="175" t="e">
        <f>OR(AND($AD24,$AE24&lt;AK$3,$AF24&lt;AK$3),AND(NOT($AD24),$AE24&gt;AK$3,$AF24&gt;AK$3))</f>
        <v>#VALUE!</v>
      </c>
      <c r="AL24" s="175" t="e">
        <f>OR(AND($AD24,$AE24&lt;AL$3,$AF24&lt;AL$3),AND(NOT($AD24),$AE24&gt;AL$3,$AF24&gt;AL$3))</f>
        <v>#VALUE!</v>
      </c>
      <c r="AM24" s="175" t="e">
        <f>OR(AND($AD24,$AE24&lt;AM$3,$AF24&lt;AM$3),AND(NOT($AD24),$AE24&gt;AM$3,$AF24&gt;AM$3))</f>
        <v>#VALUE!</v>
      </c>
      <c r="AN24" s="175" t="e">
        <f>OR(AND($AD24,$AE24&lt;AN$3,$AF24&lt;AN$3),AND(NOT($AD24),$AE24&gt;AN$3,$AF24&gt;AN$3))</f>
        <v>#VALUE!</v>
      </c>
      <c r="AO24" s="175" t="e">
        <f>OR(AND($AD24,$AE24&lt;AO$3,$AF24&lt;AO$3),AND(NOT($AD24),$AE24&gt;AO$3,$AF24&gt;AO$3))</f>
        <v>#VALUE!</v>
      </c>
      <c r="AP24" s="175" t="e">
        <f>OR(AND($AD24,$AE24&lt;AP$3,$AF24&lt;AP$3),AND(NOT($AD24),$AE24&gt;AP$3,$AF24&gt;AP$3))</f>
        <v>#VALUE!</v>
      </c>
      <c r="AQ24" s="175" t="e">
        <f>OR(AND($AD24,$AE24&lt;AQ$3,$AF24&lt;AQ$3),AND(NOT($AD24),$AE24&gt;AQ$3,$AF24&gt;AQ$3))</f>
        <v>#VALUE!</v>
      </c>
      <c r="AR24" s="175" t="e">
        <f>OR(AND($AD24,$AE24&lt;AR$3,$AF24&lt;AR$3),AND(NOT($AD24),$AE24&gt;AR$3,$AF24&gt;AR$3))</f>
        <v>#VALUE!</v>
      </c>
      <c r="AS24" s="175" t="e">
        <f>OR(AND($AD24,$AE24&lt;AS$3,$AF24&lt;AS$3),AND(NOT($AD24),$AE24&gt;AS$3,$AF24&gt;AS$3))</f>
        <v>#VALUE!</v>
      </c>
      <c r="AT24" s="175" t="e">
        <f>OR(AND($AD24,$AE24&lt;AT$3,$AF24&lt;AT$3),AND(NOT($AD24),$AE24&gt;AT$3,$AF24&gt;AT$3))</f>
        <v>#VALUE!</v>
      </c>
      <c r="AU24" s="175" t="e">
        <f>OR(AND($AD24,$AE24&lt;AU$3,$AF24&lt;AU$3),AND(NOT($AD24),$AE24&gt;AU$3,$AF24&gt;AU$3))</f>
        <v>#VALUE!</v>
      </c>
      <c r="AV24" s="175"/>
      <c r="AW24" s="175" t="str">
        <f t="shared" si="8"/>
        <v/>
      </c>
      <c r="AX24" s="175" t="str">
        <f t="shared" si="45"/>
        <v/>
      </c>
      <c r="AY24" s="175" t="str">
        <f t="shared" si="46"/>
        <v/>
      </c>
      <c r="AZ24" s="175" t="str">
        <f t="shared" si="47"/>
        <v/>
      </c>
      <c r="BA24" s="175" t="str">
        <f t="shared" si="48"/>
        <v/>
      </c>
      <c r="BB24" s="175" t="str">
        <f t="shared" si="49"/>
        <v/>
      </c>
      <c r="BC24" s="175" t="str">
        <f t="shared" si="50"/>
        <v/>
      </c>
      <c r="BD24" s="175" t="str">
        <f t="shared" si="51"/>
        <v/>
      </c>
      <c r="BE24" s="175" t="str">
        <f t="shared" si="52"/>
        <v/>
      </c>
      <c r="BF24" s="175" t="str">
        <f t="shared" si="53"/>
        <v/>
      </c>
      <c r="BG24" s="175" t="str">
        <f t="shared" si="54"/>
        <v/>
      </c>
      <c r="BH24" s="175" t="str">
        <f t="shared" si="55"/>
        <v/>
      </c>
      <c r="BI24" s="175" t="str">
        <f t="shared" si="56"/>
        <v/>
      </c>
      <c r="BJ24" s="175" t="str">
        <f t="shared" si="57"/>
        <v/>
      </c>
      <c r="BK24" s="175"/>
      <c r="BL24" s="175" t="str">
        <f t="shared" si="9"/>
        <v/>
      </c>
      <c r="BM24" s="175" t="str">
        <f t="shared" si="58"/>
        <v/>
      </c>
      <c r="BN24" s="175" t="str">
        <f t="shared" si="59"/>
        <v/>
      </c>
      <c r="BO24" s="175" t="str">
        <f t="shared" si="60"/>
        <v/>
      </c>
      <c r="BP24" s="175" t="str">
        <f t="shared" si="61"/>
        <v/>
      </c>
      <c r="BQ24" s="175" t="str">
        <f t="shared" si="62"/>
        <v/>
      </c>
      <c r="BR24" s="175" t="str">
        <f t="shared" si="63"/>
        <v/>
      </c>
      <c r="BS24" s="175" t="str">
        <f t="shared" si="64"/>
        <v/>
      </c>
      <c r="BT24" s="175" t="str">
        <f t="shared" si="65"/>
        <v/>
      </c>
      <c r="BU24" s="175" t="str">
        <f t="shared" si="66"/>
        <v/>
      </c>
      <c r="BV24" s="175" t="str">
        <f t="shared" si="67"/>
        <v/>
      </c>
      <c r="BW24" s="175" t="str">
        <f t="shared" si="68"/>
        <v/>
      </c>
      <c r="BX24" s="175" t="str">
        <f t="shared" si="69"/>
        <v/>
      </c>
      <c r="BY24" s="175" t="str">
        <f t="shared" si="70"/>
        <v/>
      </c>
      <c r="BZ24" s="175"/>
      <c r="CA24" s="175" t="str">
        <f>IFERROR(IF(AH24,AH$3+(BL24-AH$3)*TANH($X$26*$X$27)/($X$26*$X$27),0),"")</f>
        <v/>
      </c>
      <c r="CB24" s="175" t="str">
        <f>IFERROR(IF(AI24,AI$3+(BM24-AI$3)*TANH($X$26*$X$27)/($X$26*$X$27),0),"")</f>
        <v/>
      </c>
      <c r="CC24" s="175" t="str">
        <f>IFERROR(IF(AJ24,AJ$3+(BN24-AJ$3)*TANH($X$26*$X$27)/($X$26*$X$27),0),"")</f>
        <v/>
      </c>
      <c r="CD24" s="175" t="str">
        <f>IFERROR(IF(AK24,AK$3+(BO24-AK$3)*TANH($X$26*$X$27)/($X$26*$X$27),0),"")</f>
        <v/>
      </c>
      <c r="CE24" s="175" t="str">
        <f>IFERROR(IF(AL24,AL$3+(BP24-AL$3)*TANH($X$26*$X$27)/($X$26*$X$27),0),"")</f>
        <v/>
      </c>
      <c r="CF24" s="175" t="str">
        <f>IFERROR(IF(AM24,AM$3+(BQ24-AM$3)*TANH($X$26*$X$27)/($X$26*$X$27),0),"")</f>
        <v/>
      </c>
      <c r="CG24" s="175" t="str">
        <f>IFERROR(IF(AN24,AN$3+(BR24-AN$3)*TANH($X$26*$X$27)/($X$26*$X$27),0),"")</f>
        <v/>
      </c>
      <c r="CH24" s="175" t="str">
        <f>IFERROR(IF(AO24,AO$3+(BS24-AO$3)*TANH($X$26*$X$27)/($X$26*$X$27),0),"")</f>
        <v/>
      </c>
      <c r="CI24" s="175" t="str">
        <f>IFERROR(IF(AP24,AP$3+(BT24-AP$3)*TANH($X$26*$X$27)/($X$26*$X$27),0),"")</f>
        <v/>
      </c>
      <c r="CJ24" s="175" t="str">
        <f>IFERROR(IF(AQ24,AQ$3+(BU24-AQ$3)*TANH($X$26*$X$27)/($X$26*$X$27),0),"")</f>
        <v/>
      </c>
      <c r="CK24" s="175" t="str">
        <f>IFERROR(IF(AR24,AR$3+(BV24-AR$3)*TANH($X$26*$X$27)/($X$26*$X$27),0),"")</f>
        <v/>
      </c>
      <c r="CL24" s="175" t="str">
        <f>IFERROR(IF(AS24,AS$3+(BW24-AS$3)*TANH($X$26*$X$27)/($X$26*$X$27),0),"")</f>
        <v/>
      </c>
      <c r="CM24" s="175" t="str">
        <f>IFERROR(IF(AT24,AT$3+(BX24-AT$3)*TANH($X$26*$X$27)/($X$26*$X$27),0),"")</f>
        <v/>
      </c>
      <c r="CN24" s="175" t="str">
        <f>IFERROR(IF(AU24,AU$3+(BY24-AU$3)*TANH($X$26*$X$27)/($X$26*$X$27),0),"")</f>
        <v/>
      </c>
      <c r="CO24" s="175"/>
      <c r="CP24" s="175" t="str">
        <f>IFERROR(IF(AH24,($AE24-$AF24)/LN(($AE24-AH$3)/($AF24-AH$3)),0),"")</f>
        <v/>
      </c>
      <c r="CQ24" s="175" t="str">
        <f>IFERROR(IF(AI24,($AE24-$AF24)/LN(($AE24-AI$3)/($AF24-AI$3)),0),"")</f>
        <v/>
      </c>
      <c r="CR24" s="175" t="str">
        <f>IFERROR(IF(AJ24,($AE24-$AF24)/LN(($AE24-AJ$3)/($AF24-AJ$3)),0),"")</f>
        <v/>
      </c>
      <c r="CS24" s="175" t="str">
        <f>IFERROR(IF(AK24,($AE24-$AF24)/LN(($AE24-AK$3)/($AF24-AK$3)),0),"")</f>
        <v/>
      </c>
      <c r="CT24" s="175" t="str">
        <f>IFERROR(IF(AL24,($AE24-$AF24)/LN(($AE24-AL$3)/($AF24-AL$3)),0),"")</f>
        <v/>
      </c>
      <c r="CU24" s="175" t="str">
        <f>IFERROR(IF(AM24,($AE24-$AF24)/LN(($AE24-AM$3)/($AF24-AM$3)),0),"")</f>
        <v/>
      </c>
      <c r="CV24" s="175" t="str">
        <f>IFERROR(IF(AN24,($AE24-$AF24)/LN(($AE24-AN$3)/($AF24-AN$3)),0),"")</f>
        <v/>
      </c>
      <c r="CW24" s="175" t="str">
        <f>IFERROR(IF(AO24,($AE24-$AF24)/LN(($AE24-AO$3)/($AF24-AO$3)),0),"")</f>
        <v/>
      </c>
      <c r="CX24" s="175" t="str">
        <f>IFERROR(IF(AP24,($AE24-$AF24)/LN(($AE24-AP$3)/($AF24-AP$3)),0),"")</f>
        <v/>
      </c>
      <c r="CY24" s="175" t="str">
        <f>IFERROR(IF(AQ24,($AE24-$AF24)/LN(($AE24-AQ$3)/($AF24-AQ$3)),0),"")</f>
        <v/>
      </c>
      <c r="CZ24" s="175" t="str">
        <f>IFERROR(IF(AR24,($AE24-$AF24)/LN(($AE24-AR$3)/($AF24-AR$3)),0),"")</f>
        <v/>
      </c>
      <c r="DA24" s="175" t="str">
        <f>IFERROR(IF(AS24,($AE24-$AF24)/LN(($AE24-AS$3)/($AF24-AS$3)),0),"")</f>
        <v/>
      </c>
      <c r="DB24" s="175" t="str">
        <f>IFERROR(IF(AT24,($AE24-$AF24)/LN(($AE24-AT$3)/($AF24-AT$3)),0),"")</f>
        <v/>
      </c>
      <c r="DC24" s="175" t="str">
        <f>IFERROR(IF(AU24,($AE24-$AF24)/LN(($AE24-AU$3)/($AF24-AU$3)),0),"")</f>
        <v/>
      </c>
      <c r="DD24" s="175"/>
      <c r="DE24" s="175" t="str">
        <f t="shared" si="24"/>
        <v/>
      </c>
      <c r="DF24" s="175" t="str">
        <f t="shared" si="71"/>
        <v/>
      </c>
      <c r="DG24" s="175" t="str">
        <f t="shared" si="72"/>
        <v/>
      </c>
      <c r="DH24" s="175" t="str">
        <f t="shared" si="73"/>
        <v/>
      </c>
      <c r="DI24" s="175" t="str">
        <f t="shared" si="74"/>
        <v/>
      </c>
      <c r="DJ24" s="175" t="str">
        <f t="shared" si="75"/>
        <v/>
      </c>
      <c r="DK24" s="175" t="str">
        <f t="shared" si="76"/>
        <v/>
      </c>
      <c r="DL24" s="175" t="str">
        <f t="shared" si="77"/>
        <v/>
      </c>
      <c r="DM24" s="175" t="str">
        <f t="shared" si="78"/>
        <v/>
      </c>
      <c r="DN24" s="175" t="str">
        <f t="shared" si="79"/>
        <v/>
      </c>
      <c r="DO24" s="175" t="str">
        <f t="shared" si="80"/>
        <v/>
      </c>
      <c r="DP24" s="175" t="str">
        <f t="shared" si="81"/>
        <v/>
      </c>
      <c r="DQ24" s="175" t="str">
        <f t="shared" si="82"/>
        <v/>
      </c>
      <c r="DR24" s="175" t="str">
        <f t="shared" si="83"/>
        <v/>
      </c>
      <c r="DS24" s="175"/>
      <c r="DT24" s="175" t="str">
        <f t="shared" si="39"/>
        <v/>
      </c>
      <c r="DU24" s="175" t="str">
        <f t="shared" si="84"/>
        <v/>
      </c>
      <c r="DV24" s="175" t="str">
        <f t="shared" si="85"/>
        <v/>
      </c>
      <c r="DW24" s="175" t="str">
        <f t="shared" si="86"/>
        <v/>
      </c>
      <c r="DX24" s="175" t="str">
        <f t="shared" si="87"/>
        <v/>
      </c>
      <c r="DY24" s="175" t="str">
        <f t="shared" si="88"/>
        <v/>
      </c>
      <c r="DZ24" s="175" t="str">
        <f t="shared" si="89"/>
        <v/>
      </c>
      <c r="EA24" s="175" t="str">
        <f t="shared" si="90"/>
        <v/>
      </c>
      <c r="EB24" s="175" t="str">
        <f t="shared" si="91"/>
        <v/>
      </c>
      <c r="EC24" s="175" t="str">
        <f t="shared" si="92"/>
        <v/>
      </c>
      <c r="ED24" s="175" t="str">
        <f t="shared" si="93"/>
        <v/>
      </c>
      <c r="EE24" s="175" t="str">
        <f t="shared" si="94"/>
        <v/>
      </c>
      <c r="EF24" s="175" t="str">
        <f t="shared" si="95"/>
        <v/>
      </c>
      <c r="EG24" s="175" t="str">
        <f t="shared" si="96"/>
        <v/>
      </c>
      <c r="EH24" s="175"/>
      <c r="EI24" s="127"/>
      <c r="EJ24" s="127"/>
      <c r="EK24" s="127"/>
      <c r="EL24" s="127"/>
      <c r="EM24" s="127"/>
      <c r="EN24" s="127"/>
      <c r="EO24" s="127"/>
    </row>
    <row r="25" spans="2:145" customFormat="1" ht="20.100000000000001" customHeight="1" x14ac:dyDescent="0.3">
      <c r="B25" s="191">
        <v>35</v>
      </c>
      <c r="C25" s="192">
        <v>21</v>
      </c>
      <c r="D25" s="126"/>
      <c r="E25" s="130"/>
      <c r="F25" s="131" t="str">
        <f t="shared" si="6"/>
        <v/>
      </c>
      <c r="G25" s="131" t="str">
        <f>IF(F25&lt;&gt;"",IF(AD25,F25+$C$16,F25-$C$15),"")</f>
        <v/>
      </c>
      <c r="H25" s="133" t="str">
        <f t="shared" ref="H25:U25" si="99">IFERROR(IF(AH25,ABS(CA25),""),"")</f>
        <v/>
      </c>
      <c r="I25" s="133" t="str">
        <f t="shared" si="99"/>
        <v/>
      </c>
      <c r="J25" s="133" t="str">
        <f t="shared" si="99"/>
        <v/>
      </c>
      <c r="K25" s="133" t="str">
        <f t="shared" si="99"/>
        <v/>
      </c>
      <c r="L25" s="133" t="str">
        <f t="shared" si="99"/>
        <v/>
      </c>
      <c r="M25" s="133" t="str">
        <f t="shared" si="99"/>
        <v/>
      </c>
      <c r="N25" s="133" t="str">
        <f t="shared" si="99"/>
        <v/>
      </c>
      <c r="O25" s="133" t="str">
        <f t="shared" si="99"/>
        <v/>
      </c>
      <c r="P25" s="133" t="str">
        <f t="shared" si="99"/>
        <v/>
      </c>
      <c r="Q25" s="133" t="str">
        <f t="shared" si="99"/>
        <v/>
      </c>
      <c r="R25" s="133" t="str">
        <f t="shared" si="99"/>
        <v/>
      </c>
      <c r="S25" s="133" t="str">
        <f t="shared" si="99"/>
        <v/>
      </c>
      <c r="T25" s="133" t="str">
        <f t="shared" si="99"/>
        <v/>
      </c>
      <c r="U25" s="133" t="str">
        <f t="shared" si="99"/>
        <v/>
      </c>
      <c r="W25" s="175"/>
      <c r="X25" s="175"/>
      <c r="Y25" s="175"/>
      <c r="Z25" s="175"/>
      <c r="AA25" s="175"/>
      <c r="AB25" s="175"/>
      <c r="AC25" s="175">
        <f>MOD(ROW(A25),4)</f>
        <v>1</v>
      </c>
      <c r="AD25" s="175" t="e">
        <f>IF(MOD(ROW(A25),2)=0,ABS(F25-MAX(C40:C53))&gt;ABS(F25-MIN(C40:C53)),AD24)</f>
        <v>#VALUE!</v>
      </c>
      <c r="AE25" s="178" t="str">
        <f>IF(MOD(ROW(A25),2)=0,F25,F24)</f>
        <v/>
      </c>
      <c r="AF25" s="178" t="str">
        <f>IF(MOD(ROW(B25),2)=0,G25,G24)</f>
        <v/>
      </c>
      <c r="AG25" s="178" t="e">
        <f t="shared" si="7"/>
        <v>#DIV/0!</v>
      </c>
      <c r="AH25" s="175" t="e">
        <f>OR(AND($AD25,$AE25&lt;AH$3,$AF25&lt;AH$3),AND(NOT($AD25),$AE25&gt;AH$3,$AF25&gt;AH$3))</f>
        <v>#VALUE!</v>
      </c>
      <c r="AI25" s="175" t="e">
        <f>OR(AND($AD25,$AE25&lt;AI$3,$AF25&lt;AI$3),AND(NOT($AD25),$AE25&gt;AI$3,$AF25&gt;AI$3))</f>
        <v>#VALUE!</v>
      </c>
      <c r="AJ25" s="175" t="e">
        <f>OR(AND($AD25,$AE25&lt;AJ$3,$AF25&lt;AJ$3),AND(NOT($AD25),$AE25&gt;AJ$3,$AF25&gt;AJ$3))</f>
        <v>#VALUE!</v>
      </c>
      <c r="AK25" s="175" t="e">
        <f>OR(AND($AD25,$AE25&lt;AK$3,$AF25&lt;AK$3),AND(NOT($AD25),$AE25&gt;AK$3,$AF25&gt;AK$3))</f>
        <v>#VALUE!</v>
      </c>
      <c r="AL25" s="175" t="e">
        <f>OR(AND($AD25,$AE25&lt;AL$3,$AF25&lt;AL$3),AND(NOT($AD25),$AE25&gt;AL$3,$AF25&gt;AL$3))</f>
        <v>#VALUE!</v>
      </c>
      <c r="AM25" s="175" t="e">
        <f>OR(AND($AD25,$AE25&lt;AM$3,$AF25&lt;AM$3),AND(NOT($AD25),$AE25&gt;AM$3,$AF25&gt;AM$3))</f>
        <v>#VALUE!</v>
      </c>
      <c r="AN25" s="175" t="e">
        <f>OR(AND($AD25,$AE25&lt;AN$3,$AF25&lt;AN$3),AND(NOT($AD25),$AE25&gt;AN$3,$AF25&gt;AN$3))</f>
        <v>#VALUE!</v>
      </c>
      <c r="AO25" s="175" t="e">
        <f>OR(AND($AD25,$AE25&lt;AO$3,$AF25&lt;AO$3),AND(NOT($AD25),$AE25&gt;AO$3,$AF25&gt;AO$3))</f>
        <v>#VALUE!</v>
      </c>
      <c r="AP25" s="175" t="e">
        <f>OR(AND($AD25,$AE25&lt;AP$3,$AF25&lt;AP$3),AND(NOT($AD25),$AE25&gt;AP$3,$AF25&gt;AP$3))</f>
        <v>#VALUE!</v>
      </c>
      <c r="AQ25" s="175" t="e">
        <f>OR(AND($AD25,$AE25&lt;AQ$3,$AF25&lt;AQ$3),AND(NOT($AD25),$AE25&gt;AQ$3,$AF25&gt;AQ$3))</f>
        <v>#VALUE!</v>
      </c>
      <c r="AR25" s="175" t="e">
        <f>OR(AND($AD25,$AE25&lt;AR$3,$AF25&lt;AR$3),AND(NOT($AD25),$AE25&gt;AR$3,$AF25&gt;AR$3))</f>
        <v>#VALUE!</v>
      </c>
      <c r="AS25" s="175" t="e">
        <f>OR(AND($AD25,$AE25&lt;AS$3,$AF25&lt;AS$3),AND(NOT($AD25),$AE25&gt;AS$3,$AF25&gt;AS$3))</f>
        <v>#VALUE!</v>
      </c>
      <c r="AT25" s="175" t="e">
        <f>OR(AND($AD25,$AE25&lt;AT$3,$AF25&lt;AT$3),AND(NOT($AD25),$AE25&gt;AT$3,$AF25&gt;AT$3))</f>
        <v>#VALUE!</v>
      </c>
      <c r="AU25" s="175" t="e">
        <f>OR(AND($AD25,$AE25&lt;AU$3,$AF25&lt;AU$3),AND(NOT($AD25),$AE25&gt;AU$3,$AF25&gt;AU$3))</f>
        <v>#VALUE!</v>
      </c>
      <c r="AV25" s="175"/>
      <c r="AW25" s="175" t="str">
        <f t="shared" si="8"/>
        <v/>
      </c>
      <c r="AX25" s="175" t="str">
        <f t="shared" si="45"/>
        <v/>
      </c>
      <c r="AY25" s="175" t="str">
        <f t="shared" si="46"/>
        <v/>
      </c>
      <c r="AZ25" s="175" t="str">
        <f t="shared" si="47"/>
        <v/>
      </c>
      <c r="BA25" s="175" t="str">
        <f t="shared" si="48"/>
        <v/>
      </c>
      <c r="BB25" s="175" t="str">
        <f t="shared" si="49"/>
        <v/>
      </c>
      <c r="BC25" s="175" t="str">
        <f t="shared" si="50"/>
        <v/>
      </c>
      <c r="BD25" s="175" t="str">
        <f t="shared" si="51"/>
        <v/>
      </c>
      <c r="BE25" s="175" t="str">
        <f t="shared" si="52"/>
        <v/>
      </c>
      <c r="BF25" s="175" t="str">
        <f t="shared" si="53"/>
        <v/>
      </c>
      <c r="BG25" s="175" t="str">
        <f t="shared" si="54"/>
        <v/>
      </c>
      <c r="BH25" s="175" t="str">
        <f t="shared" si="55"/>
        <v/>
      </c>
      <c r="BI25" s="175" t="str">
        <f t="shared" si="56"/>
        <v/>
      </c>
      <c r="BJ25" s="175" t="str">
        <f t="shared" si="57"/>
        <v/>
      </c>
      <c r="BK25" s="175"/>
      <c r="BL25" s="175" t="str">
        <f t="shared" si="9"/>
        <v/>
      </c>
      <c r="BM25" s="175" t="str">
        <f t="shared" si="58"/>
        <v/>
      </c>
      <c r="BN25" s="175" t="str">
        <f t="shared" si="59"/>
        <v/>
      </c>
      <c r="BO25" s="175" t="str">
        <f t="shared" si="60"/>
        <v/>
      </c>
      <c r="BP25" s="175" t="str">
        <f t="shared" si="61"/>
        <v/>
      </c>
      <c r="BQ25" s="175" t="str">
        <f t="shared" si="62"/>
        <v/>
      </c>
      <c r="BR25" s="175" t="str">
        <f t="shared" si="63"/>
        <v/>
      </c>
      <c r="BS25" s="175" t="str">
        <f t="shared" si="64"/>
        <v/>
      </c>
      <c r="BT25" s="175" t="str">
        <f t="shared" si="65"/>
        <v/>
      </c>
      <c r="BU25" s="175" t="str">
        <f t="shared" si="66"/>
        <v/>
      </c>
      <c r="BV25" s="175" t="str">
        <f t="shared" si="67"/>
        <v/>
      </c>
      <c r="BW25" s="175" t="str">
        <f t="shared" si="68"/>
        <v/>
      </c>
      <c r="BX25" s="175" t="str">
        <f t="shared" si="69"/>
        <v/>
      </c>
      <c r="BY25" s="175" t="str">
        <f t="shared" si="70"/>
        <v/>
      </c>
      <c r="BZ25" s="175"/>
      <c r="CA25" s="175" t="str">
        <f>IFERROR(IF(AH25,AH$3+(BL25-AH$3)*TANH($X$26*$X$27)/($X$26*$X$27),0),"")</f>
        <v/>
      </c>
      <c r="CB25" s="175" t="str">
        <f>IFERROR(IF(AI25,AI$3+(BM25-AI$3)*TANH($X$26*$X$27)/($X$26*$X$27),0),"")</f>
        <v/>
      </c>
      <c r="CC25" s="175" t="str">
        <f>IFERROR(IF(AJ25,AJ$3+(BN25-AJ$3)*TANH($X$26*$X$27)/($X$26*$X$27),0),"")</f>
        <v/>
      </c>
      <c r="CD25" s="175" t="str">
        <f>IFERROR(IF(AK25,AK$3+(BO25-AK$3)*TANH($X$26*$X$27)/($X$26*$X$27),0),"")</f>
        <v/>
      </c>
      <c r="CE25" s="175" t="str">
        <f>IFERROR(IF(AL25,AL$3+(BP25-AL$3)*TANH($X$26*$X$27)/($X$26*$X$27),0),"")</f>
        <v/>
      </c>
      <c r="CF25" s="175" t="str">
        <f>IFERROR(IF(AM25,AM$3+(BQ25-AM$3)*TANH($X$26*$X$27)/($X$26*$X$27),0),"")</f>
        <v/>
      </c>
      <c r="CG25" s="175" t="str">
        <f>IFERROR(IF(AN25,AN$3+(BR25-AN$3)*TANH($X$26*$X$27)/($X$26*$X$27),0),"")</f>
        <v/>
      </c>
      <c r="CH25" s="175" t="str">
        <f>IFERROR(IF(AO25,AO$3+(BS25-AO$3)*TANH($X$26*$X$27)/($X$26*$X$27),0),"")</f>
        <v/>
      </c>
      <c r="CI25" s="175" t="str">
        <f>IFERROR(IF(AP25,AP$3+(BT25-AP$3)*TANH($X$26*$X$27)/($X$26*$X$27),0),"")</f>
        <v/>
      </c>
      <c r="CJ25" s="175" t="str">
        <f>IFERROR(IF(AQ25,AQ$3+(BU25-AQ$3)*TANH($X$26*$X$27)/($X$26*$X$27),0),"")</f>
        <v/>
      </c>
      <c r="CK25" s="175" t="str">
        <f>IFERROR(IF(AR25,AR$3+(BV25-AR$3)*TANH($X$26*$X$27)/($X$26*$X$27),0),"")</f>
        <v/>
      </c>
      <c r="CL25" s="175" t="str">
        <f>IFERROR(IF(AS25,AS$3+(BW25-AS$3)*TANH($X$26*$X$27)/($X$26*$X$27),0),"")</f>
        <v/>
      </c>
      <c r="CM25" s="175" t="str">
        <f>IFERROR(IF(AT25,AT$3+(BX25-AT$3)*TANH($X$26*$X$27)/($X$26*$X$27),0),"")</f>
        <v/>
      </c>
      <c r="CN25" s="175" t="str">
        <f>IFERROR(IF(AU25,AU$3+(BY25-AU$3)*TANH($X$26*$X$27)/($X$26*$X$27),0),"")</f>
        <v/>
      </c>
      <c r="CO25" s="175"/>
      <c r="CP25" s="175" t="str">
        <f>IFERROR(IF(AH25,($AE25-$AF25)/LN(($AE25-AH$3)/($AF25-AH$3)),0),"")</f>
        <v/>
      </c>
      <c r="CQ25" s="175" t="str">
        <f>IFERROR(IF(AI25,($AE25-$AF25)/LN(($AE25-AI$3)/($AF25-AI$3)),0),"")</f>
        <v/>
      </c>
      <c r="CR25" s="175" t="str">
        <f>IFERROR(IF(AJ25,($AE25-$AF25)/LN(($AE25-AJ$3)/($AF25-AJ$3)),0),"")</f>
        <v/>
      </c>
      <c r="CS25" s="175" t="str">
        <f>IFERROR(IF(AK25,($AE25-$AF25)/LN(($AE25-AK$3)/($AF25-AK$3)),0),"")</f>
        <v/>
      </c>
      <c r="CT25" s="175" t="str">
        <f>IFERROR(IF(AL25,($AE25-$AF25)/LN(($AE25-AL$3)/($AF25-AL$3)),0),"")</f>
        <v/>
      </c>
      <c r="CU25" s="175" t="str">
        <f>IFERROR(IF(AM25,($AE25-$AF25)/LN(($AE25-AM$3)/($AF25-AM$3)),0),"")</f>
        <v/>
      </c>
      <c r="CV25" s="175" t="str">
        <f>IFERROR(IF(AN25,($AE25-$AF25)/LN(($AE25-AN$3)/($AF25-AN$3)),0),"")</f>
        <v/>
      </c>
      <c r="CW25" s="175" t="str">
        <f>IFERROR(IF(AO25,($AE25-$AF25)/LN(($AE25-AO$3)/($AF25-AO$3)),0),"")</f>
        <v/>
      </c>
      <c r="CX25" s="175" t="str">
        <f>IFERROR(IF(AP25,($AE25-$AF25)/LN(($AE25-AP$3)/($AF25-AP$3)),0),"")</f>
        <v/>
      </c>
      <c r="CY25" s="175" t="str">
        <f>IFERROR(IF(AQ25,($AE25-$AF25)/LN(($AE25-AQ$3)/($AF25-AQ$3)),0),"")</f>
        <v/>
      </c>
      <c r="CZ25" s="175" t="str">
        <f>IFERROR(IF(AR25,($AE25-$AF25)/LN(($AE25-AR$3)/($AF25-AR$3)),0),"")</f>
        <v/>
      </c>
      <c r="DA25" s="175" t="str">
        <f>IFERROR(IF(AS25,($AE25-$AF25)/LN(($AE25-AS$3)/($AF25-AS$3)),0),"")</f>
        <v/>
      </c>
      <c r="DB25" s="175" t="str">
        <f>IFERROR(IF(AT25,($AE25-$AF25)/LN(($AE25-AT$3)/($AF25-AT$3)),0),"")</f>
        <v/>
      </c>
      <c r="DC25" s="175" t="str">
        <f>IFERROR(IF(AU25,($AE25-$AF25)/LN(($AE25-AU$3)/($AF25-AU$3)),0),"")</f>
        <v/>
      </c>
      <c r="DD25" s="175"/>
      <c r="DE25" s="175" t="str">
        <f t="shared" si="24"/>
        <v/>
      </c>
      <c r="DF25" s="175" t="str">
        <f t="shared" si="71"/>
        <v/>
      </c>
      <c r="DG25" s="175" t="str">
        <f t="shared" si="72"/>
        <v/>
      </c>
      <c r="DH25" s="175" t="str">
        <f t="shared" si="73"/>
        <v/>
      </c>
      <c r="DI25" s="175" t="str">
        <f t="shared" si="74"/>
        <v/>
      </c>
      <c r="DJ25" s="175" t="str">
        <f t="shared" si="75"/>
        <v/>
      </c>
      <c r="DK25" s="175" t="str">
        <f t="shared" si="76"/>
        <v/>
      </c>
      <c r="DL25" s="175" t="str">
        <f t="shared" si="77"/>
        <v/>
      </c>
      <c r="DM25" s="175" t="str">
        <f t="shared" si="78"/>
        <v/>
      </c>
      <c r="DN25" s="175" t="str">
        <f t="shared" si="79"/>
        <v/>
      </c>
      <c r="DO25" s="175" t="str">
        <f t="shared" si="80"/>
        <v/>
      </c>
      <c r="DP25" s="175" t="str">
        <f t="shared" si="81"/>
        <v/>
      </c>
      <c r="DQ25" s="175" t="str">
        <f t="shared" si="82"/>
        <v/>
      </c>
      <c r="DR25" s="175" t="str">
        <f t="shared" si="83"/>
        <v/>
      </c>
      <c r="DS25" s="175"/>
      <c r="DT25" s="175" t="str">
        <f t="shared" si="39"/>
        <v/>
      </c>
      <c r="DU25" s="175" t="str">
        <f t="shared" si="84"/>
        <v/>
      </c>
      <c r="DV25" s="175" t="str">
        <f t="shared" si="85"/>
        <v/>
      </c>
      <c r="DW25" s="175" t="str">
        <f t="shared" si="86"/>
        <v/>
      </c>
      <c r="DX25" s="175" t="str">
        <f t="shared" si="87"/>
        <v/>
      </c>
      <c r="DY25" s="175" t="str">
        <f t="shared" si="88"/>
        <v/>
      </c>
      <c r="DZ25" s="175" t="str">
        <f t="shared" si="89"/>
        <v/>
      </c>
      <c r="EA25" s="175" t="str">
        <f t="shared" si="90"/>
        <v/>
      </c>
      <c r="EB25" s="175" t="str">
        <f t="shared" si="91"/>
        <v/>
      </c>
      <c r="EC25" s="175" t="str">
        <f t="shared" si="92"/>
        <v/>
      </c>
      <c r="ED25" s="175" t="str">
        <f t="shared" si="93"/>
        <v/>
      </c>
      <c r="EE25" s="175" t="str">
        <f t="shared" si="94"/>
        <v/>
      </c>
      <c r="EF25" s="175" t="str">
        <f t="shared" si="95"/>
        <v/>
      </c>
      <c r="EG25" s="175" t="str">
        <f t="shared" si="96"/>
        <v/>
      </c>
      <c r="EH25" s="175"/>
      <c r="EI25" s="127"/>
      <c r="EJ25" s="127"/>
      <c r="EK25" s="127"/>
      <c r="EL25" s="127"/>
      <c r="EM25" s="127"/>
      <c r="EN25" s="127"/>
      <c r="EO25" s="127"/>
    </row>
    <row r="26" spans="2:145" customFormat="1" ht="20.100000000000001" customHeight="1" x14ac:dyDescent="0.3">
      <c r="B26" s="191">
        <v>40</v>
      </c>
      <c r="C26" s="192">
        <v>22</v>
      </c>
      <c r="D26" s="126"/>
      <c r="E26" s="130"/>
      <c r="F26" s="131" t="str">
        <f t="shared" si="6"/>
        <v/>
      </c>
      <c r="G26" s="131" t="str">
        <f>IF(F26&lt;&gt;"",IF(AD26,F26+$C$16,F26-$C$15),"")</f>
        <v/>
      </c>
      <c r="H26" s="133" t="str">
        <f t="shared" si="25"/>
        <v/>
      </c>
      <c r="I26" s="133" t="str">
        <f t="shared" si="26"/>
        <v/>
      </c>
      <c r="J26" s="133" t="str">
        <f t="shared" si="27"/>
        <v/>
      </c>
      <c r="K26" s="133" t="str">
        <f t="shared" si="28"/>
        <v/>
      </c>
      <c r="L26" s="133" t="str">
        <f t="shared" si="29"/>
        <v/>
      </c>
      <c r="M26" s="133" t="str">
        <f t="shared" si="30"/>
        <v/>
      </c>
      <c r="N26" s="133" t="str">
        <f t="shared" si="31"/>
        <v/>
      </c>
      <c r="O26" s="133" t="str">
        <f t="shared" si="32"/>
        <v/>
      </c>
      <c r="P26" s="133" t="str">
        <f t="shared" si="33"/>
        <v/>
      </c>
      <c r="Q26" s="133" t="str">
        <f t="shared" si="34"/>
        <v/>
      </c>
      <c r="R26" s="133" t="str">
        <f t="shared" si="35"/>
        <v/>
      </c>
      <c r="S26" s="133" t="str">
        <f t="shared" si="36"/>
        <v/>
      </c>
      <c r="T26" s="133" t="str">
        <f t="shared" si="37"/>
        <v/>
      </c>
      <c r="U26" s="133" t="str">
        <f t="shared" si="38"/>
        <v/>
      </c>
      <c r="V26" s="132"/>
      <c r="W26" s="135" t="s">
        <v>127</v>
      </c>
      <c r="X26" s="182">
        <f>SQRT((2*1/((1/X15)+X7/lambda_GK))/(C3*X6))</f>
        <v>14.570292453137837</v>
      </c>
      <c r="Y26" s="177" t="s">
        <v>128</v>
      </c>
      <c r="Z26" s="177"/>
      <c r="AA26" s="177"/>
      <c r="AB26" s="175"/>
      <c r="AC26" s="175">
        <f>MOD(ROW(A26),4)</f>
        <v>2</v>
      </c>
      <c r="AD26" s="175" t="e">
        <f>IF(MOD(ROW(A26),2)=0,ABS(F26-MAX(C41:C54))&gt;ABS(F26-MIN(C41:C54)),AD25)</f>
        <v>#VALUE!</v>
      </c>
      <c r="AE26" s="178" t="str">
        <f>IF(MOD(ROW(A26),2)=0,F26,F25)</f>
        <v/>
      </c>
      <c r="AF26" s="178" t="str">
        <f>IF(MOD(ROW(B26),2)=0,G26,G25)</f>
        <v/>
      </c>
      <c r="AG26" s="178" t="e">
        <f t="shared" si="7"/>
        <v>#DIV/0!</v>
      </c>
      <c r="AH26" s="175" t="e">
        <f>OR(AND($AD26,$AE26&lt;AH$3,$AF26&lt;AH$3),AND(NOT($AD26),$AE26&gt;AH$3,$AF26&gt;AH$3))</f>
        <v>#VALUE!</v>
      </c>
      <c r="AI26" s="175" t="e">
        <f>OR(AND($AD26,$AE26&lt;AI$3,$AF26&lt;AI$3),AND(NOT($AD26),$AE26&gt;AI$3,$AF26&gt;AI$3))</f>
        <v>#VALUE!</v>
      </c>
      <c r="AJ26" s="175" t="e">
        <f>OR(AND($AD26,$AE26&lt;AJ$3,$AF26&lt;AJ$3),AND(NOT($AD26),$AE26&gt;AJ$3,$AF26&gt;AJ$3))</f>
        <v>#VALUE!</v>
      </c>
      <c r="AK26" s="175" t="e">
        <f>OR(AND($AD26,$AE26&lt;AK$3,$AF26&lt;AK$3),AND(NOT($AD26),$AE26&gt;AK$3,$AF26&gt;AK$3))</f>
        <v>#VALUE!</v>
      </c>
      <c r="AL26" s="175" t="e">
        <f>OR(AND($AD26,$AE26&lt;AL$3,$AF26&lt;AL$3),AND(NOT($AD26),$AE26&gt;AL$3,$AF26&gt;AL$3))</f>
        <v>#VALUE!</v>
      </c>
      <c r="AM26" s="175" t="e">
        <f>OR(AND($AD26,$AE26&lt;AM$3,$AF26&lt;AM$3),AND(NOT($AD26),$AE26&gt;AM$3,$AF26&gt;AM$3))</f>
        <v>#VALUE!</v>
      </c>
      <c r="AN26" s="175" t="e">
        <f>OR(AND($AD26,$AE26&lt;AN$3,$AF26&lt;AN$3),AND(NOT($AD26),$AE26&gt;AN$3,$AF26&gt;AN$3))</f>
        <v>#VALUE!</v>
      </c>
      <c r="AO26" s="175" t="e">
        <f>OR(AND($AD26,$AE26&lt;AO$3,$AF26&lt;AO$3),AND(NOT($AD26),$AE26&gt;AO$3,$AF26&gt;AO$3))</f>
        <v>#VALUE!</v>
      </c>
      <c r="AP26" s="175" t="e">
        <f>OR(AND($AD26,$AE26&lt;AP$3,$AF26&lt;AP$3),AND(NOT($AD26),$AE26&gt;AP$3,$AF26&gt;AP$3))</f>
        <v>#VALUE!</v>
      </c>
      <c r="AQ26" s="175" t="e">
        <f>OR(AND($AD26,$AE26&lt;AQ$3,$AF26&lt;AQ$3),AND(NOT($AD26),$AE26&gt;AQ$3,$AF26&gt;AQ$3))</f>
        <v>#VALUE!</v>
      </c>
      <c r="AR26" s="175" t="e">
        <f>OR(AND($AD26,$AE26&lt;AR$3,$AF26&lt;AR$3),AND(NOT($AD26),$AE26&gt;AR$3,$AF26&gt;AR$3))</f>
        <v>#VALUE!</v>
      </c>
      <c r="AS26" s="175" t="e">
        <f>OR(AND($AD26,$AE26&lt;AS$3,$AF26&lt;AS$3),AND(NOT($AD26),$AE26&gt;AS$3,$AF26&gt;AS$3))</f>
        <v>#VALUE!</v>
      </c>
      <c r="AT26" s="175" t="e">
        <f>OR(AND($AD26,$AE26&lt;AT$3,$AF26&lt;AT$3),AND(NOT($AD26),$AE26&gt;AT$3,$AF26&gt;AT$3))</f>
        <v>#VALUE!</v>
      </c>
      <c r="AU26" s="175" t="e">
        <f>OR(AND($AD26,$AE26&lt;AU$3,$AF26&lt;AU$3),AND(NOT($AD26),$AE26&gt;AU$3,$AF26&gt;AU$3))</f>
        <v>#VALUE!</v>
      </c>
      <c r="AV26" s="175"/>
      <c r="AW26" s="175" t="str">
        <f t="shared" si="8"/>
        <v/>
      </c>
      <c r="AX26" s="175" t="str">
        <f t="shared" si="45"/>
        <v/>
      </c>
      <c r="AY26" s="175" t="str">
        <f t="shared" si="46"/>
        <v/>
      </c>
      <c r="AZ26" s="175" t="str">
        <f t="shared" si="47"/>
        <v/>
      </c>
      <c r="BA26" s="175" t="str">
        <f t="shared" si="48"/>
        <v/>
      </c>
      <c r="BB26" s="175" t="str">
        <f t="shared" si="49"/>
        <v/>
      </c>
      <c r="BC26" s="175" t="str">
        <f t="shared" si="50"/>
        <v/>
      </c>
      <c r="BD26" s="175" t="str">
        <f t="shared" si="51"/>
        <v/>
      </c>
      <c r="BE26" s="175" t="str">
        <f t="shared" si="52"/>
        <v/>
      </c>
      <c r="BF26" s="175" t="str">
        <f t="shared" si="53"/>
        <v/>
      </c>
      <c r="BG26" s="175" t="str">
        <f t="shared" si="54"/>
        <v/>
      </c>
      <c r="BH26" s="175" t="str">
        <f t="shared" si="55"/>
        <v/>
      </c>
      <c r="BI26" s="175" t="str">
        <f t="shared" si="56"/>
        <v/>
      </c>
      <c r="BJ26" s="175" t="str">
        <f t="shared" si="57"/>
        <v/>
      </c>
      <c r="BK26" s="175"/>
      <c r="BL26" s="175" t="str">
        <f t="shared" si="9"/>
        <v/>
      </c>
      <c r="BM26" s="175" t="str">
        <f t="shared" si="58"/>
        <v/>
      </c>
      <c r="BN26" s="175" t="str">
        <f t="shared" si="59"/>
        <v/>
      </c>
      <c r="BO26" s="175" t="str">
        <f t="shared" si="60"/>
        <v/>
      </c>
      <c r="BP26" s="175" t="str">
        <f t="shared" si="61"/>
        <v/>
      </c>
      <c r="BQ26" s="175" t="str">
        <f t="shared" si="62"/>
        <v/>
      </c>
      <c r="BR26" s="175" t="str">
        <f t="shared" si="63"/>
        <v/>
      </c>
      <c r="BS26" s="175" t="str">
        <f t="shared" si="64"/>
        <v/>
      </c>
      <c r="BT26" s="175" t="str">
        <f t="shared" si="65"/>
        <v/>
      </c>
      <c r="BU26" s="175" t="str">
        <f t="shared" si="66"/>
        <v/>
      </c>
      <c r="BV26" s="175" t="str">
        <f t="shared" si="67"/>
        <v/>
      </c>
      <c r="BW26" s="175" t="str">
        <f t="shared" si="68"/>
        <v/>
      </c>
      <c r="BX26" s="175" t="str">
        <f t="shared" si="69"/>
        <v/>
      </c>
      <c r="BY26" s="175" t="str">
        <f t="shared" si="70"/>
        <v/>
      </c>
      <c r="BZ26" s="175"/>
      <c r="CA26" s="175" t="str">
        <f>IFERROR(IF(AH26,AH$3+(BL26-AH$3)*TANH($X$26*$X$27)/($X$26*$X$27),0),"")</f>
        <v/>
      </c>
      <c r="CB26" s="175" t="str">
        <f>IFERROR(IF(AI26,AI$3+(BM26-AI$3)*TANH($X$26*$X$27)/($X$26*$X$27),0),"")</f>
        <v/>
      </c>
      <c r="CC26" s="175" t="str">
        <f>IFERROR(IF(AJ26,AJ$3+(BN26-AJ$3)*TANH($X$26*$X$27)/($X$26*$X$27),0),"")</f>
        <v/>
      </c>
      <c r="CD26" s="175" t="str">
        <f>IFERROR(IF(AK26,AK$3+(BO26-AK$3)*TANH($X$26*$X$27)/($X$26*$X$27),0),"")</f>
        <v/>
      </c>
      <c r="CE26" s="175" t="str">
        <f>IFERROR(IF(AL26,AL$3+(BP26-AL$3)*TANH($X$26*$X$27)/($X$26*$X$27),0),"")</f>
        <v/>
      </c>
      <c r="CF26" s="175" t="str">
        <f>IFERROR(IF(AM26,AM$3+(BQ26-AM$3)*TANH($X$26*$X$27)/($X$26*$X$27),0),"")</f>
        <v/>
      </c>
      <c r="CG26" s="175" t="str">
        <f>IFERROR(IF(AN26,AN$3+(BR26-AN$3)*TANH($X$26*$X$27)/($X$26*$X$27),0),"")</f>
        <v/>
      </c>
      <c r="CH26" s="175" t="str">
        <f>IFERROR(IF(AO26,AO$3+(BS26-AO$3)*TANH($X$26*$X$27)/($X$26*$X$27),0),"")</f>
        <v/>
      </c>
      <c r="CI26" s="175" t="str">
        <f>IFERROR(IF(AP26,AP$3+(BT26-AP$3)*TANH($X$26*$X$27)/($X$26*$X$27),0),"")</f>
        <v/>
      </c>
      <c r="CJ26" s="175" t="str">
        <f>IFERROR(IF(AQ26,AQ$3+(BU26-AQ$3)*TANH($X$26*$X$27)/($X$26*$X$27),0),"")</f>
        <v/>
      </c>
      <c r="CK26" s="175" t="str">
        <f>IFERROR(IF(AR26,AR$3+(BV26-AR$3)*TANH($X$26*$X$27)/($X$26*$X$27),0),"")</f>
        <v/>
      </c>
      <c r="CL26" s="175" t="str">
        <f>IFERROR(IF(AS26,AS$3+(BW26-AS$3)*TANH($X$26*$X$27)/($X$26*$X$27),0),"")</f>
        <v/>
      </c>
      <c r="CM26" s="175" t="str">
        <f>IFERROR(IF(AT26,AT$3+(BX26-AT$3)*TANH($X$26*$X$27)/($X$26*$X$27),0),"")</f>
        <v/>
      </c>
      <c r="CN26" s="175" t="str">
        <f>IFERROR(IF(AU26,AU$3+(BY26-AU$3)*TANH($X$26*$X$27)/($X$26*$X$27),0),"")</f>
        <v/>
      </c>
      <c r="CO26" s="175"/>
      <c r="CP26" s="175" t="str">
        <f>IFERROR(IF(AH26,($AE26-$AF26)/LN(($AE26-AH$3)/($AF26-AH$3)),0),"")</f>
        <v/>
      </c>
      <c r="CQ26" s="175" t="str">
        <f>IFERROR(IF(AI26,($AE26-$AF26)/LN(($AE26-AI$3)/($AF26-AI$3)),0),"")</f>
        <v/>
      </c>
      <c r="CR26" s="175" t="str">
        <f>IFERROR(IF(AJ26,($AE26-$AF26)/LN(($AE26-AJ$3)/($AF26-AJ$3)),0),"")</f>
        <v/>
      </c>
      <c r="CS26" s="175" t="str">
        <f>IFERROR(IF(AK26,($AE26-$AF26)/LN(($AE26-AK$3)/($AF26-AK$3)),0),"")</f>
        <v/>
      </c>
      <c r="CT26" s="175" t="str">
        <f>IFERROR(IF(AL26,($AE26-$AF26)/LN(($AE26-AL$3)/($AF26-AL$3)),0),"")</f>
        <v/>
      </c>
      <c r="CU26" s="175" t="str">
        <f>IFERROR(IF(AM26,($AE26-$AF26)/LN(($AE26-AM$3)/($AF26-AM$3)),0),"")</f>
        <v/>
      </c>
      <c r="CV26" s="175" t="str">
        <f>IFERROR(IF(AN26,($AE26-$AF26)/LN(($AE26-AN$3)/($AF26-AN$3)),0),"")</f>
        <v/>
      </c>
      <c r="CW26" s="175" t="str">
        <f>IFERROR(IF(AO26,($AE26-$AF26)/LN(($AE26-AO$3)/($AF26-AO$3)),0),"")</f>
        <v/>
      </c>
      <c r="CX26" s="175" t="str">
        <f>IFERROR(IF(AP26,($AE26-$AF26)/LN(($AE26-AP$3)/($AF26-AP$3)),0),"")</f>
        <v/>
      </c>
      <c r="CY26" s="175" t="str">
        <f>IFERROR(IF(AQ26,($AE26-$AF26)/LN(($AE26-AQ$3)/($AF26-AQ$3)),0),"")</f>
        <v/>
      </c>
      <c r="CZ26" s="175" t="str">
        <f>IFERROR(IF(AR26,($AE26-$AF26)/LN(($AE26-AR$3)/($AF26-AR$3)),0),"")</f>
        <v/>
      </c>
      <c r="DA26" s="175" t="str">
        <f>IFERROR(IF(AS26,($AE26-$AF26)/LN(($AE26-AS$3)/($AF26-AS$3)),0),"")</f>
        <v/>
      </c>
      <c r="DB26" s="175" t="str">
        <f>IFERROR(IF(AT26,($AE26-$AF26)/LN(($AE26-AT$3)/($AF26-AT$3)),0),"")</f>
        <v/>
      </c>
      <c r="DC26" s="175" t="str">
        <f>IFERROR(IF(AU26,($AE26-$AF26)/LN(($AE26-AU$3)/($AF26-AU$3)),0),"")</f>
        <v/>
      </c>
      <c r="DD26" s="175"/>
      <c r="DE26" s="175" t="str">
        <f t="shared" si="24"/>
        <v/>
      </c>
      <c r="DF26" s="175" t="str">
        <f t="shared" si="71"/>
        <v/>
      </c>
      <c r="DG26" s="175" t="str">
        <f t="shared" si="72"/>
        <v/>
      </c>
      <c r="DH26" s="175" t="str">
        <f t="shared" si="73"/>
        <v/>
      </c>
      <c r="DI26" s="175" t="str">
        <f t="shared" si="74"/>
        <v/>
      </c>
      <c r="DJ26" s="175" t="str">
        <f t="shared" si="75"/>
        <v/>
      </c>
      <c r="DK26" s="175" t="str">
        <f t="shared" si="76"/>
        <v/>
      </c>
      <c r="DL26" s="175" t="str">
        <f t="shared" si="77"/>
        <v/>
      </c>
      <c r="DM26" s="175" t="str">
        <f t="shared" si="78"/>
        <v/>
      </c>
      <c r="DN26" s="175" t="str">
        <f t="shared" si="79"/>
        <v/>
      </c>
      <c r="DO26" s="175" t="str">
        <f t="shared" si="80"/>
        <v/>
      </c>
      <c r="DP26" s="175" t="str">
        <f t="shared" si="81"/>
        <v/>
      </c>
      <c r="DQ26" s="175" t="str">
        <f t="shared" si="82"/>
        <v/>
      </c>
      <c r="DR26" s="175" t="str">
        <f t="shared" si="83"/>
        <v/>
      </c>
      <c r="DS26" s="175"/>
      <c r="DT26" s="175" t="str">
        <f t="shared" si="39"/>
        <v/>
      </c>
      <c r="DU26" s="175" t="str">
        <f t="shared" si="84"/>
        <v/>
      </c>
      <c r="DV26" s="175" t="str">
        <f t="shared" si="85"/>
        <v/>
      </c>
      <c r="DW26" s="175" t="str">
        <f t="shared" si="86"/>
        <v/>
      </c>
      <c r="DX26" s="175" t="str">
        <f t="shared" si="87"/>
        <v/>
      </c>
      <c r="DY26" s="175" t="str">
        <f t="shared" si="88"/>
        <v/>
      </c>
      <c r="DZ26" s="175" t="str">
        <f t="shared" si="89"/>
        <v/>
      </c>
      <c r="EA26" s="175" t="str">
        <f t="shared" si="90"/>
        <v/>
      </c>
      <c r="EB26" s="175" t="str">
        <f t="shared" si="91"/>
        <v/>
      </c>
      <c r="EC26" s="175" t="str">
        <f t="shared" si="92"/>
        <v/>
      </c>
      <c r="ED26" s="175" t="str">
        <f t="shared" si="93"/>
        <v/>
      </c>
      <c r="EE26" s="175" t="str">
        <f t="shared" si="94"/>
        <v/>
      </c>
      <c r="EF26" s="175" t="str">
        <f t="shared" si="95"/>
        <v/>
      </c>
      <c r="EG26" s="175" t="str">
        <f t="shared" si="96"/>
        <v/>
      </c>
      <c r="EH26" s="175"/>
      <c r="EI26" s="127"/>
      <c r="EJ26" s="127"/>
      <c r="EK26" s="127"/>
      <c r="EL26" s="127"/>
      <c r="EM26" s="127"/>
      <c r="EN26" s="127"/>
      <c r="EO26" s="127"/>
    </row>
    <row r="27" spans="2:145" customFormat="1" ht="20.100000000000001" customHeight="1" x14ac:dyDescent="0.3">
      <c r="B27" s="191">
        <v>45</v>
      </c>
      <c r="C27" s="192">
        <v>23</v>
      </c>
      <c r="D27" s="126"/>
      <c r="E27" s="130"/>
      <c r="F27" s="131" t="str">
        <f t="shared" si="6"/>
        <v/>
      </c>
      <c r="G27" s="131" t="str">
        <f>IF(F27&lt;&gt;"",IF(AD27,F27+$C$16,F27-$C$15),"")</f>
        <v/>
      </c>
      <c r="H27" s="133" t="str">
        <f t="shared" ref="H27:U27" si="100">IFERROR(IF(AH27,ABS(CA27),""),"")</f>
        <v/>
      </c>
      <c r="I27" s="133" t="str">
        <f t="shared" si="100"/>
        <v/>
      </c>
      <c r="J27" s="133" t="str">
        <f t="shared" si="100"/>
        <v/>
      </c>
      <c r="K27" s="133" t="str">
        <f t="shared" si="100"/>
        <v/>
      </c>
      <c r="L27" s="133" t="str">
        <f t="shared" si="100"/>
        <v/>
      </c>
      <c r="M27" s="133" t="str">
        <f t="shared" si="100"/>
        <v/>
      </c>
      <c r="N27" s="133" t="str">
        <f t="shared" si="100"/>
        <v/>
      </c>
      <c r="O27" s="133" t="str">
        <f t="shared" si="100"/>
        <v/>
      </c>
      <c r="P27" s="133" t="str">
        <f t="shared" si="100"/>
        <v/>
      </c>
      <c r="Q27" s="133" t="str">
        <f t="shared" si="100"/>
        <v/>
      </c>
      <c r="R27" s="133" t="str">
        <f t="shared" si="100"/>
        <v/>
      </c>
      <c r="S27" s="133" t="str">
        <f t="shared" si="100"/>
        <v/>
      </c>
      <c r="T27" s="133" t="str">
        <f t="shared" si="100"/>
        <v/>
      </c>
      <c r="U27" s="133" t="str">
        <f t="shared" si="100"/>
        <v/>
      </c>
      <c r="W27" s="135" t="s">
        <v>129</v>
      </c>
      <c r="X27" s="183">
        <f>C9/2000</f>
        <v>1.8499999999999999E-2</v>
      </c>
      <c r="Y27" s="177" t="s">
        <v>130</v>
      </c>
      <c r="Z27" s="177"/>
      <c r="AA27" s="177"/>
      <c r="AB27" s="175"/>
      <c r="AC27" s="175">
        <f>MOD(ROW(A27),4)</f>
        <v>3</v>
      </c>
      <c r="AD27" s="175" t="e">
        <f>IF(MOD(ROW(A27),2)=0,ABS(F27-MAX(C42:C55))&gt;ABS(F27-MIN(C42:C55)),AD26)</f>
        <v>#VALUE!</v>
      </c>
      <c r="AE27" s="178" t="str">
        <f>IF(MOD(ROW(A27),2)=0,F27,F26)</f>
        <v/>
      </c>
      <c r="AF27" s="178" t="str">
        <f>IF(MOD(ROW(B27),2)=0,G27,G26)</f>
        <v/>
      </c>
      <c r="AG27" s="178" t="e">
        <f t="shared" si="7"/>
        <v>#DIV/0!</v>
      </c>
      <c r="AH27" s="175" t="e">
        <f>OR(AND($AD27,$AE27&lt;AH$3,$AF27&lt;AH$3),AND(NOT($AD27),$AE27&gt;AH$3,$AF27&gt;AH$3))</f>
        <v>#VALUE!</v>
      </c>
      <c r="AI27" s="175" t="e">
        <f>OR(AND($AD27,$AE27&lt;AI$3,$AF27&lt;AI$3),AND(NOT($AD27),$AE27&gt;AI$3,$AF27&gt;AI$3))</f>
        <v>#VALUE!</v>
      </c>
      <c r="AJ27" s="175" t="e">
        <f>OR(AND($AD27,$AE27&lt;AJ$3,$AF27&lt;AJ$3),AND(NOT($AD27),$AE27&gt;AJ$3,$AF27&gt;AJ$3))</f>
        <v>#VALUE!</v>
      </c>
      <c r="AK27" s="175" t="e">
        <f>OR(AND($AD27,$AE27&lt;AK$3,$AF27&lt;AK$3),AND(NOT($AD27),$AE27&gt;AK$3,$AF27&gt;AK$3))</f>
        <v>#VALUE!</v>
      </c>
      <c r="AL27" s="175" t="e">
        <f>OR(AND($AD27,$AE27&lt;AL$3,$AF27&lt;AL$3),AND(NOT($AD27),$AE27&gt;AL$3,$AF27&gt;AL$3))</f>
        <v>#VALUE!</v>
      </c>
      <c r="AM27" s="175" t="e">
        <f>OR(AND($AD27,$AE27&lt;AM$3,$AF27&lt;AM$3),AND(NOT($AD27),$AE27&gt;AM$3,$AF27&gt;AM$3))</f>
        <v>#VALUE!</v>
      </c>
      <c r="AN27" s="175" t="e">
        <f>OR(AND($AD27,$AE27&lt;AN$3,$AF27&lt;AN$3),AND(NOT($AD27),$AE27&gt;AN$3,$AF27&gt;AN$3))</f>
        <v>#VALUE!</v>
      </c>
      <c r="AO27" s="175" t="e">
        <f>OR(AND($AD27,$AE27&lt;AO$3,$AF27&lt;AO$3),AND(NOT($AD27),$AE27&gt;AO$3,$AF27&gt;AO$3))</f>
        <v>#VALUE!</v>
      </c>
      <c r="AP27" s="175" t="e">
        <f>OR(AND($AD27,$AE27&lt;AP$3,$AF27&lt;AP$3),AND(NOT($AD27),$AE27&gt;AP$3,$AF27&gt;AP$3))</f>
        <v>#VALUE!</v>
      </c>
      <c r="AQ27" s="175" t="e">
        <f>OR(AND($AD27,$AE27&lt;AQ$3,$AF27&lt;AQ$3),AND(NOT($AD27),$AE27&gt;AQ$3,$AF27&gt;AQ$3))</f>
        <v>#VALUE!</v>
      </c>
      <c r="AR27" s="175" t="e">
        <f>OR(AND($AD27,$AE27&lt;AR$3,$AF27&lt;AR$3),AND(NOT($AD27),$AE27&gt;AR$3,$AF27&gt;AR$3))</f>
        <v>#VALUE!</v>
      </c>
      <c r="AS27" s="175" t="e">
        <f>OR(AND($AD27,$AE27&lt;AS$3,$AF27&lt;AS$3),AND(NOT($AD27),$AE27&gt;AS$3,$AF27&gt;AS$3))</f>
        <v>#VALUE!</v>
      </c>
      <c r="AT27" s="175" t="e">
        <f>OR(AND($AD27,$AE27&lt;AT$3,$AF27&lt;AT$3),AND(NOT($AD27),$AE27&gt;AT$3,$AF27&gt;AT$3))</f>
        <v>#VALUE!</v>
      </c>
      <c r="AU27" s="175" t="e">
        <f>OR(AND($AD27,$AE27&lt;AU$3,$AF27&lt;AU$3),AND(NOT($AD27),$AE27&gt;AU$3,$AF27&gt;AU$3))</f>
        <v>#VALUE!</v>
      </c>
      <c r="AV27" s="175"/>
      <c r="AW27" s="175" t="str">
        <f t="shared" si="8"/>
        <v/>
      </c>
      <c r="AX27" s="175" t="str">
        <f t="shared" si="45"/>
        <v/>
      </c>
      <c r="AY27" s="175" t="str">
        <f t="shared" si="46"/>
        <v/>
      </c>
      <c r="AZ27" s="175" t="str">
        <f t="shared" si="47"/>
        <v/>
      </c>
      <c r="BA27" s="175" t="str">
        <f t="shared" si="48"/>
        <v/>
      </c>
      <c r="BB27" s="175" t="str">
        <f t="shared" si="49"/>
        <v/>
      </c>
      <c r="BC27" s="175" t="str">
        <f t="shared" si="50"/>
        <v/>
      </c>
      <c r="BD27" s="175" t="str">
        <f t="shared" si="51"/>
        <v/>
      </c>
      <c r="BE27" s="175" t="str">
        <f t="shared" si="52"/>
        <v/>
      </c>
      <c r="BF27" s="175" t="str">
        <f t="shared" si="53"/>
        <v/>
      </c>
      <c r="BG27" s="175" t="str">
        <f t="shared" si="54"/>
        <v/>
      </c>
      <c r="BH27" s="175" t="str">
        <f t="shared" si="55"/>
        <v/>
      </c>
      <c r="BI27" s="175" t="str">
        <f t="shared" si="56"/>
        <v/>
      </c>
      <c r="BJ27" s="175" t="str">
        <f t="shared" si="57"/>
        <v/>
      </c>
      <c r="BK27" s="175"/>
      <c r="BL27" s="175" t="str">
        <f t="shared" si="9"/>
        <v/>
      </c>
      <c r="BM27" s="175" t="str">
        <f t="shared" si="58"/>
        <v/>
      </c>
      <c r="BN27" s="175" t="str">
        <f t="shared" si="59"/>
        <v/>
      </c>
      <c r="BO27" s="175" t="str">
        <f t="shared" si="60"/>
        <v/>
      </c>
      <c r="BP27" s="175" t="str">
        <f t="shared" si="61"/>
        <v/>
      </c>
      <c r="BQ27" s="175" t="str">
        <f t="shared" si="62"/>
        <v/>
      </c>
      <c r="BR27" s="175" t="str">
        <f t="shared" si="63"/>
        <v/>
      </c>
      <c r="BS27" s="175" t="str">
        <f t="shared" si="64"/>
        <v/>
      </c>
      <c r="BT27" s="175" t="str">
        <f t="shared" si="65"/>
        <v/>
      </c>
      <c r="BU27" s="175" t="str">
        <f t="shared" si="66"/>
        <v/>
      </c>
      <c r="BV27" s="175" t="str">
        <f t="shared" si="67"/>
        <v/>
      </c>
      <c r="BW27" s="175" t="str">
        <f t="shared" si="68"/>
        <v/>
      </c>
      <c r="BX27" s="175" t="str">
        <f t="shared" si="69"/>
        <v/>
      </c>
      <c r="BY27" s="175" t="str">
        <f t="shared" si="70"/>
        <v/>
      </c>
      <c r="BZ27" s="175"/>
      <c r="CA27" s="175" t="str">
        <f>IFERROR(IF(AH27,AH$3+(BL27-AH$3)*TANH($X$26*$X$27)/($X$26*$X$27),0),"")</f>
        <v/>
      </c>
      <c r="CB27" s="175" t="str">
        <f>IFERROR(IF(AI27,AI$3+(BM27-AI$3)*TANH($X$26*$X$27)/($X$26*$X$27),0),"")</f>
        <v/>
      </c>
      <c r="CC27" s="175" t="str">
        <f>IFERROR(IF(AJ27,AJ$3+(BN27-AJ$3)*TANH($X$26*$X$27)/($X$26*$X$27),0),"")</f>
        <v/>
      </c>
      <c r="CD27" s="175" t="str">
        <f>IFERROR(IF(AK27,AK$3+(BO27-AK$3)*TANH($X$26*$X$27)/($X$26*$X$27),0),"")</f>
        <v/>
      </c>
      <c r="CE27" s="175" t="str">
        <f>IFERROR(IF(AL27,AL$3+(BP27-AL$3)*TANH($X$26*$X$27)/($X$26*$X$27),0),"")</f>
        <v/>
      </c>
      <c r="CF27" s="175" t="str">
        <f>IFERROR(IF(AM27,AM$3+(BQ27-AM$3)*TANH($X$26*$X$27)/($X$26*$X$27),0),"")</f>
        <v/>
      </c>
      <c r="CG27" s="175" t="str">
        <f>IFERROR(IF(AN27,AN$3+(BR27-AN$3)*TANH($X$26*$X$27)/($X$26*$X$27),0),"")</f>
        <v/>
      </c>
      <c r="CH27" s="175" t="str">
        <f>IFERROR(IF(AO27,AO$3+(BS27-AO$3)*TANH($X$26*$X$27)/($X$26*$X$27),0),"")</f>
        <v/>
      </c>
      <c r="CI27" s="175" t="str">
        <f>IFERROR(IF(AP27,AP$3+(BT27-AP$3)*TANH($X$26*$X$27)/($X$26*$X$27),0),"")</f>
        <v/>
      </c>
      <c r="CJ27" s="175" t="str">
        <f>IFERROR(IF(AQ27,AQ$3+(BU27-AQ$3)*TANH($X$26*$X$27)/($X$26*$X$27),0),"")</f>
        <v/>
      </c>
      <c r="CK27" s="175" t="str">
        <f>IFERROR(IF(AR27,AR$3+(BV27-AR$3)*TANH($X$26*$X$27)/($X$26*$X$27),0),"")</f>
        <v/>
      </c>
      <c r="CL27" s="175" t="str">
        <f>IFERROR(IF(AS27,AS$3+(BW27-AS$3)*TANH($X$26*$X$27)/($X$26*$X$27),0),"")</f>
        <v/>
      </c>
      <c r="CM27" s="175" t="str">
        <f>IFERROR(IF(AT27,AT$3+(BX27-AT$3)*TANH($X$26*$X$27)/($X$26*$X$27),0),"")</f>
        <v/>
      </c>
      <c r="CN27" s="175" t="str">
        <f>IFERROR(IF(AU27,AU$3+(BY27-AU$3)*TANH($X$26*$X$27)/($X$26*$X$27),0),"")</f>
        <v/>
      </c>
      <c r="CO27" s="175"/>
      <c r="CP27" s="175" t="str">
        <f>IFERROR(IF(AH27,($AE27-$AF27)/LN(($AE27-AH$3)/($AF27-AH$3)),0),"")</f>
        <v/>
      </c>
      <c r="CQ27" s="175" t="str">
        <f>IFERROR(IF(AI27,($AE27-$AF27)/LN(($AE27-AI$3)/($AF27-AI$3)),0),"")</f>
        <v/>
      </c>
      <c r="CR27" s="175" t="str">
        <f>IFERROR(IF(AJ27,($AE27-$AF27)/LN(($AE27-AJ$3)/($AF27-AJ$3)),0),"")</f>
        <v/>
      </c>
      <c r="CS27" s="175" t="str">
        <f>IFERROR(IF(AK27,($AE27-$AF27)/LN(($AE27-AK$3)/($AF27-AK$3)),0),"")</f>
        <v/>
      </c>
      <c r="CT27" s="175" t="str">
        <f>IFERROR(IF(AL27,($AE27-$AF27)/LN(($AE27-AL$3)/($AF27-AL$3)),0),"")</f>
        <v/>
      </c>
      <c r="CU27" s="175" t="str">
        <f>IFERROR(IF(AM27,($AE27-$AF27)/LN(($AE27-AM$3)/($AF27-AM$3)),0),"")</f>
        <v/>
      </c>
      <c r="CV27" s="175" t="str">
        <f>IFERROR(IF(AN27,($AE27-$AF27)/LN(($AE27-AN$3)/($AF27-AN$3)),0),"")</f>
        <v/>
      </c>
      <c r="CW27" s="175" t="str">
        <f>IFERROR(IF(AO27,($AE27-$AF27)/LN(($AE27-AO$3)/($AF27-AO$3)),0),"")</f>
        <v/>
      </c>
      <c r="CX27" s="175" t="str">
        <f>IFERROR(IF(AP27,($AE27-$AF27)/LN(($AE27-AP$3)/($AF27-AP$3)),0),"")</f>
        <v/>
      </c>
      <c r="CY27" s="175" t="str">
        <f>IFERROR(IF(AQ27,($AE27-$AF27)/LN(($AE27-AQ$3)/($AF27-AQ$3)),0),"")</f>
        <v/>
      </c>
      <c r="CZ27" s="175" t="str">
        <f>IFERROR(IF(AR27,($AE27-$AF27)/LN(($AE27-AR$3)/($AF27-AR$3)),0),"")</f>
        <v/>
      </c>
      <c r="DA27" s="175" t="str">
        <f>IFERROR(IF(AS27,($AE27-$AF27)/LN(($AE27-AS$3)/($AF27-AS$3)),0),"")</f>
        <v/>
      </c>
      <c r="DB27" s="175" t="str">
        <f>IFERROR(IF(AT27,($AE27-$AF27)/LN(($AE27-AT$3)/($AF27-AT$3)),0),"")</f>
        <v/>
      </c>
      <c r="DC27" s="175" t="str">
        <f>IFERROR(IF(AU27,($AE27-$AF27)/LN(($AE27-AU$3)/($AF27-AU$3)),0),"")</f>
        <v/>
      </c>
      <c r="DD27" s="175"/>
      <c r="DE27" s="175" t="str">
        <f t="shared" si="24"/>
        <v/>
      </c>
      <c r="DF27" s="175" t="str">
        <f t="shared" si="71"/>
        <v/>
      </c>
      <c r="DG27" s="175" t="str">
        <f t="shared" si="72"/>
        <v/>
      </c>
      <c r="DH27" s="175" t="str">
        <f t="shared" si="73"/>
        <v/>
      </c>
      <c r="DI27" s="175" t="str">
        <f t="shared" si="74"/>
        <v/>
      </c>
      <c r="DJ27" s="175" t="str">
        <f t="shared" si="75"/>
        <v/>
      </c>
      <c r="DK27" s="175" t="str">
        <f t="shared" si="76"/>
        <v/>
      </c>
      <c r="DL27" s="175" t="str">
        <f t="shared" si="77"/>
        <v/>
      </c>
      <c r="DM27" s="175" t="str">
        <f t="shared" si="78"/>
        <v/>
      </c>
      <c r="DN27" s="175" t="str">
        <f t="shared" si="79"/>
        <v/>
      </c>
      <c r="DO27" s="175" t="str">
        <f t="shared" si="80"/>
        <v/>
      </c>
      <c r="DP27" s="175" t="str">
        <f t="shared" si="81"/>
        <v/>
      </c>
      <c r="DQ27" s="175" t="str">
        <f t="shared" si="82"/>
        <v/>
      </c>
      <c r="DR27" s="175" t="str">
        <f t="shared" si="83"/>
        <v/>
      </c>
      <c r="DS27" s="175"/>
      <c r="DT27" s="175" t="str">
        <f t="shared" si="39"/>
        <v/>
      </c>
      <c r="DU27" s="175" t="str">
        <f t="shared" si="84"/>
        <v/>
      </c>
      <c r="DV27" s="175" t="str">
        <f t="shared" si="85"/>
        <v/>
      </c>
      <c r="DW27" s="175" t="str">
        <f t="shared" si="86"/>
        <v/>
      </c>
      <c r="DX27" s="175" t="str">
        <f t="shared" si="87"/>
        <v/>
      </c>
      <c r="DY27" s="175" t="str">
        <f t="shared" si="88"/>
        <v/>
      </c>
      <c r="DZ27" s="175" t="str">
        <f t="shared" si="89"/>
        <v/>
      </c>
      <c r="EA27" s="175" t="str">
        <f t="shared" si="90"/>
        <v/>
      </c>
      <c r="EB27" s="175" t="str">
        <f t="shared" si="91"/>
        <v/>
      </c>
      <c r="EC27" s="175" t="str">
        <f t="shared" si="92"/>
        <v/>
      </c>
      <c r="ED27" s="175" t="str">
        <f t="shared" si="93"/>
        <v/>
      </c>
      <c r="EE27" s="175" t="str">
        <f t="shared" si="94"/>
        <v/>
      </c>
      <c r="EF27" s="175" t="str">
        <f t="shared" si="95"/>
        <v/>
      </c>
      <c r="EG27" s="175" t="str">
        <f t="shared" si="96"/>
        <v/>
      </c>
      <c r="EH27" s="175"/>
      <c r="EI27" s="127"/>
      <c r="EJ27" s="127"/>
      <c r="EK27" s="127"/>
      <c r="EL27" s="127"/>
      <c r="EM27" s="127"/>
      <c r="EN27" s="127"/>
      <c r="EO27" s="127"/>
    </row>
    <row r="28" spans="2:145" customFormat="1" ht="20.100000000000001" customHeight="1" x14ac:dyDescent="0.3">
      <c r="B28" s="191"/>
      <c r="C28" s="192">
        <v>24</v>
      </c>
      <c r="D28" s="126"/>
      <c r="E28" s="130"/>
      <c r="F28" s="131" t="str">
        <f t="shared" si="6"/>
        <v/>
      </c>
      <c r="G28" s="131" t="str">
        <f>IF(F28&lt;&gt;"",IF(AD28,F28+$C$16,F28-$C$15),"")</f>
        <v/>
      </c>
      <c r="H28" s="133" t="str">
        <f t="shared" si="25"/>
        <v/>
      </c>
      <c r="I28" s="133" t="str">
        <f t="shared" si="26"/>
        <v/>
      </c>
      <c r="J28" s="133" t="str">
        <f t="shared" si="27"/>
        <v/>
      </c>
      <c r="K28" s="133" t="str">
        <f t="shared" si="28"/>
        <v/>
      </c>
      <c r="L28" s="133" t="str">
        <f t="shared" si="29"/>
        <v/>
      </c>
      <c r="M28" s="133" t="str">
        <f t="shared" si="30"/>
        <v/>
      </c>
      <c r="N28" s="133" t="str">
        <f t="shared" si="31"/>
        <v/>
      </c>
      <c r="O28" s="133" t="str">
        <f t="shared" si="32"/>
        <v/>
      </c>
      <c r="P28" s="133" t="str">
        <f t="shared" si="33"/>
        <v/>
      </c>
      <c r="Q28" s="133" t="str">
        <f t="shared" si="34"/>
        <v/>
      </c>
      <c r="R28" s="133" t="str">
        <f t="shared" si="35"/>
        <v/>
      </c>
      <c r="S28" s="133" t="str">
        <f t="shared" si="36"/>
        <v/>
      </c>
      <c r="T28" s="133" t="str">
        <f t="shared" si="37"/>
        <v/>
      </c>
      <c r="U28" s="133" t="str">
        <f t="shared" si="38"/>
        <v/>
      </c>
      <c r="W28" s="135" t="s">
        <v>131</v>
      </c>
      <c r="X28" s="184">
        <f>TANH(X26*X27)/(X26*X27)</f>
        <v>0.97646463058087463</v>
      </c>
      <c r="Y28" s="177" t="s">
        <v>132</v>
      </c>
      <c r="Z28" s="177"/>
      <c r="AA28" s="177"/>
      <c r="AB28" s="175"/>
      <c r="AC28" s="175">
        <f>MOD(ROW(A28),4)</f>
        <v>0</v>
      </c>
      <c r="AD28" s="175" t="e">
        <f>IF(MOD(ROW(A28),2)=0,ABS(F28-MAX(C43:C56))&gt;ABS(F28-MIN(C43:C56)),AD27)</f>
        <v>#VALUE!</v>
      </c>
      <c r="AE28" s="178" t="str">
        <f>IF(MOD(ROW(A28),2)=0,F28,F27)</f>
        <v/>
      </c>
      <c r="AF28" s="178" t="str">
        <f>IF(MOD(ROW(B28),2)=0,G28,G27)</f>
        <v/>
      </c>
      <c r="AG28" s="178" t="e">
        <f t="shared" si="7"/>
        <v>#DIV/0!</v>
      </c>
      <c r="AH28" s="175" t="e">
        <f>OR(AND($AD28,$AE28&lt;AH$3,$AF28&lt;AH$3),AND(NOT($AD28),$AE28&gt;AH$3,$AF28&gt;AH$3))</f>
        <v>#VALUE!</v>
      </c>
      <c r="AI28" s="175" t="e">
        <f>OR(AND($AD28,$AE28&lt;AI$3,$AF28&lt;AI$3),AND(NOT($AD28),$AE28&gt;AI$3,$AF28&gt;AI$3))</f>
        <v>#VALUE!</v>
      </c>
      <c r="AJ28" s="175" t="e">
        <f>OR(AND($AD28,$AE28&lt;AJ$3,$AF28&lt;AJ$3),AND(NOT($AD28),$AE28&gt;AJ$3,$AF28&gt;AJ$3))</f>
        <v>#VALUE!</v>
      </c>
      <c r="AK28" s="175" t="e">
        <f>OR(AND($AD28,$AE28&lt;AK$3,$AF28&lt;AK$3),AND(NOT($AD28),$AE28&gt;AK$3,$AF28&gt;AK$3))</f>
        <v>#VALUE!</v>
      </c>
      <c r="AL28" s="175" t="e">
        <f>OR(AND($AD28,$AE28&lt;AL$3,$AF28&lt;AL$3),AND(NOT($AD28),$AE28&gt;AL$3,$AF28&gt;AL$3))</f>
        <v>#VALUE!</v>
      </c>
      <c r="AM28" s="175" t="e">
        <f>OR(AND($AD28,$AE28&lt;AM$3,$AF28&lt;AM$3),AND(NOT($AD28),$AE28&gt;AM$3,$AF28&gt;AM$3))</f>
        <v>#VALUE!</v>
      </c>
      <c r="AN28" s="175" t="e">
        <f>OR(AND($AD28,$AE28&lt;AN$3,$AF28&lt;AN$3),AND(NOT($AD28),$AE28&gt;AN$3,$AF28&gt;AN$3))</f>
        <v>#VALUE!</v>
      </c>
      <c r="AO28" s="175" t="e">
        <f>OR(AND($AD28,$AE28&lt;AO$3,$AF28&lt;AO$3),AND(NOT($AD28),$AE28&gt;AO$3,$AF28&gt;AO$3))</f>
        <v>#VALUE!</v>
      </c>
      <c r="AP28" s="175" t="e">
        <f>OR(AND($AD28,$AE28&lt;AP$3,$AF28&lt;AP$3),AND(NOT($AD28),$AE28&gt;AP$3,$AF28&gt;AP$3))</f>
        <v>#VALUE!</v>
      </c>
      <c r="AQ28" s="175" t="e">
        <f>OR(AND($AD28,$AE28&lt;AQ$3,$AF28&lt;AQ$3),AND(NOT($AD28),$AE28&gt;AQ$3,$AF28&gt;AQ$3))</f>
        <v>#VALUE!</v>
      </c>
      <c r="AR28" s="175" t="e">
        <f>OR(AND($AD28,$AE28&lt;AR$3,$AF28&lt;AR$3),AND(NOT($AD28),$AE28&gt;AR$3,$AF28&gt;AR$3))</f>
        <v>#VALUE!</v>
      </c>
      <c r="AS28" s="175" t="e">
        <f>OR(AND($AD28,$AE28&lt;AS$3,$AF28&lt;AS$3),AND(NOT($AD28),$AE28&gt;AS$3,$AF28&gt;AS$3))</f>
        <v>#VALUE!</v>
      </c>
      <c r="AT28" s="175" t="e">
        <f>OR(AND($AD28,$AE28&lt;AT$3,$AF28&lt;AT$3),AND(NOT($AD28),$AE28&gt;AT$3,$AF28&gt;AT$3))</f>
        <v>#VALUE!</v>
      </c>
      <c r="AU28" s="175" t="e">
        <f>OR(AND($AD28,$AE28&lt;AU$3,$AF28&lt;AU$3),AND(NOT($AD28),$AE28&gt;AU$3,$AF28&gt;AU$3))</f>
        <v>#VALUE!</v>
      </c>
      <c r="AV28" s="175"/>
      <c r="AW28" s="175" t="str">
        <f t="shared" si="8"/>
        <v/>
      </c>
      <c r="AX28" s="175" t="str">
        <f t="shared" si="45"/>
        <v/>
      </c>
      <c r="AY28" s="175" t="str">
        <f t="shared" si="46"/>
        <v/>
      </c>
      <c r="AZ28" s="175" t="str">
        <f t="shared" si="47"/>
        <v/>
      </c>
      <c r="BA28" s="175" t="str">
        <f t="shared" si="48"/>
        <v/>
      </c>
      <c r="BB28" s="175" t="str">
        <f t="shared" si="49"/>
        <v/>
      </c>
      <c r="BC28" s="175" t="str">
        <f t="shared" si="50"/>
        <v/>
      </c>
      <c r="BD28" s="175" t="str">
        <f t="shared" si="51"/>
        <v/>
      </c>
      <c r="BE28" s="175" t="str">
        <f t="shared" si="52"/>
        <v/>
      </c>
      <c r="BF28" s="175" t="str">
        <f t="shared" si="53"/>
        <v/>
      </c>
      <c r="BG28" s="175" t="str">
        <f t="shared" si="54"/>
        <v/>
      </c>
      <c r="BH28" s="175" t="str">
        <f t="shared" si="55"/>
        <v/>
      </c>
      <c r="BI28" s="175" t="str">
        <f t="shared" si="56"/>
        <v/>
      </c>
      <c r="BJ28" s="175" t="str">
        <f t="shared" si="57"/>
        <v/>
      </c>
      <c r="BK28" s="175"/>
      <c r="BL28" s="175" t="str">
        <f t="shared" si="9"/>
        <v/>
      </c>
      <c r="BM28" s="175" t="str">
        <f t="shared" si="58"/>
        <v/>
      </c>
      <c r="BN28" s="175" t="str">
        <f t="shared" si="59"/>
        <v/>
      </c>
      <c r="BO28" s="175" t="str">
        <f t="shared" si="60"/>
        <v/>
      </c>
      <c r="BP28" s="175" t="str">
        <f t="shared" si="61"/>
        <v/>
      </c>
      <c r="BQ28" s="175" t="str">
        <f t="shared" si="62"/>
        <v/>
      </c>
      <c r="BR28" s="175" t="str">
        <f t="shared" si="63"/>
        <v/>
      </c>
      <c r="BS28" s="175" t="str">
        <f t="shared" si="64"/>
        <v/>
      </c>
      <c r="BT28" s="175" t="str">
        <f t="shared" si="65"/>
        <v/>
      </c>
      <c r="BU28" s="175" t="str">
        <f t="shared" si="66"/>
        <v/>
      </c>
      <c r="BV28" s="175" t="str">
        <f t="shared" si="67"/>
        <v/>
      </c>
      <c r="BW28" s="175" t="str">
        <f t="shared" si="68"/>
        <v/>
      </c>
      <c r="BX28" s="175" t="str">
        <f t="shared" si="69"/>
        <v/>
      </c>
      <c r="BY28" s="175" t="str">
        <f t="shared" si="70"/>
        <v/>
      </c>
      <c r="BZ28" s="175"/>
      <c r="CA28" s="175" t="str">
        <f>IFERROR(IF(AH28,AH$3+(BL28-AH$3)*TANH($X$26*$X$27)/($X$26*$X$27),0),"")</f>
        <v/>
      </c>
      <c r="CB28" s="175" t="str">
        <f>IFERROR(IF(AI28,AI$3+(BM28-AI$3)*TANH($X$26*$X$27)/($X$26*$X$27),0),"")</f>
        <v/>
      </c>
      <c r="CC28" s="175" t="str">
        <f>IFERROR(IF(AJ28,AJ$3+(BN28-AJ$3)*TANH($X$26*$X$27)/($X$26*$X$27),0),"")</f>
        <v/>
      </c>
      <c r="CD28" s="175" t="str">
        <f>IFERROR(IF(AK28,AK$3+(BO28-AK$3)*TANH($X$26*$X$27)/($X$26*$X$27),0),"")</f>
        <v/>
      </c>
      <c r="CE28" s="175" t="str">
        <f>IFERROR(IF(AL28,AL$3+(BP28-AL$3)*TANH($X$26*$X$27)/($X$26*$X$27),0),"")</f>
        <v/>
      </c>
      <c r="CF28" s="175" t="str">
        <f>IFERROR(IF(AM28,AM$3+(BQ28-AM$3)*TANH($X$26*$X$27)/($X$26*$X$27),0),"")</f>
        <v/>
      </c>
      <c r="CG28" s="175" t="str">
        <f>IFERROR(IF(AN28,AN$3+(BR28-AN$3)*TANH($X$26*$X$27)/($X$26*$X$27),0),"")</f>
        <v/>
      </c>
      <c r="CH28" s="175" t="str">
        <f>IFERROR(IF(AO28,AO$3+(BS28-AO$3)*TANH($X$26*$X$27)/($X$26*$X$27),0),"")</f>
        <v/>
      </c>
      <c r="CI28" s="175" t="str">
        <f>IFERROR(IF(AP28,AP$3+(BT28-AP$3)*TANH($X$26*$X$27)/($X$26*$X$27),0),"")</f>
        <v/>
      </c>
      <c r="CJ28" s="175" t="str">
        <f>IFERROR(IF(AQ28,AQ$3+(BU28-AQ$3)*TANH($X$26*$X$27)/($X$26*$X$27),0),"")</f>
        <v/>
      </c>
      <c r="CK28" s="175" t="str">
        <f>IFERROR(IF(AR28,AR$3+(BV28-AR$3)*TANH($X$26*$X$27)/($X$26*$X$27),0),"")</f>
        <v/>
      </c>
      <c r="CL28" s="175" t="str">
        <f>IFERROR(IF(AS28,AS$3+(BW28-AS$3)*TANH($X$26*$X$27)/($X$26*$X$27),0),"")</f>
        <v/>
      </c>
      <c r="CM28" s="175" t="str">
        <f>IFERROR(IF(AT28,AT$3+(BX28-AT$3)*TANH($X$26*$X$27)/($X$26*$X$27),0),"")</f>
        <v/>
      </c>
      <c r="CN28" s="175" t="str">
        <f>IFERROR(IF(AU28,AU$3+(BY28-AU$3)*TANH($X$26*$X$27)/($X$26*$X$27),0),"")</f>
        <v/>
      </c>
      <c r="CO28" s="175"/>
      <c r="CP28" s="175" t="str">
        <f>IFERROR(IF(AH28,($AE28-$AF28)/LN(($AE28-AH$3)/($AF28-AH$3)),0),"")</f>
        <v/>
      </c>
      <c r="CQ28" s="175" t="str">
        <f>IFERROR(IF(AI28,($AE28-$AF28)/LN(($AE28-AI$3)/($AF28-AI$3)),0),"")</f>
        <v/>
      </c>
      <c r="CR28" s="175" t="str">
        <f>IFERROR(IF(AJ28,($AE28-$AF28)/LN(($AE28-AJ$3)/($AF28-AJ$3)),0),"")</f>
        <v/>
      </c>
      <c r="CS28" s="175" t="str">
        <f>IFERROR(IF(AK28,($AE28-$AF28)/LN(($AE28-AK$3)/($AF28-AK$3)),0),"")</f>
        <v/>
      </c>
      <c r="CT28" s="175" t="str">
        <f>IFERROR(IF(AL28,($AE28-$AF28)/LN(($AE28-AL$3)/($AF28-AL$3)),0),"")</f>
        <v/>
      </c>
      <c r="CU28" s="175" t="str">
        <f>IFERROR(IF(AM28,($AE28-$AF28)/LN(($AE28-AM$3)/($AF28-AM$3)),0),"")</f>
        <v/>
      </c>
      <c r="CV28" s="175" t="str">
        <f>IFERROR(IF(AN28,($AE28-$AF28)/LN(($AE28-AN$3)/($AF28-AN$3)),0),"")</f>
        <v/>
      </c>
      <c r="CW28" s="175" t="str">
        <f>IFERROR(IF(AO28,($AE28-$AF28)/LN(($AE28-AO$3)/($AF28-AO$3)),0),"")</f>
        <v/>
      </c>
      <c r="CX28" s="175" t="str">
        <f>IFERROR(IF(AP28,($AE28-$AF28)/LN(($AE28-AP$3)/($AF28-AP$3)),0),"")</f>
        <v/>
      </c>
      <c r="CY28" s="175" t="str">
        <f>IFERROR(IF(AQ28,($AE28-$AF28)/LN(($AE28-AQ$3)/($AF28-AQ$3)),0),"")</f>
        <v/>
      </c>
      <c r="CZ28" s="175" t="str">
        <f>IFERROR(IF(AR28,($AE28-$AF28)/LN(($AE28-AR$3)/($AF28-AR$3)),0),"")</f>
        <v/>
      </c>
      <c r="DA28" s="175" t="str">
        <f>IFERROR(IF(AS28,($AE28-$AF28)/LN(($AE28-AS$3)/($AF28-AS$3)),0),"")</f>
        <v/>
      </c>
      <c r="DB28" s="175" t="str">
        <f>IFERROR(IF(AT28,($AE28-$AF28)/LN(($AE28-AT$3)/($AF28-AT$3)),0),"")</f>
        <v/>
      </c>
      <c r="DC28" s="175" t="str">
        <f>IFERROR(IF(AU28,($AE28-$AF28)/LN(($AE28-AU$3)/($AF28-AU$3)),0),"")</f>
        <v/>
      </c>
      <c r="DD28" s="175"/>
      <c r="DE28" s="175" t="str">
        <f t="shared" si="24"/>
        <v/>
      </c>
      <c r="DF28" s="175" t="str">
        <f t="shared" si="71"/>
        <v/>
      </c>
      <c r="DG28" s="175" t="str">
        <f t="shared" si="72"/>
        <v/>
      </c>
      <c r="DH28" s="175" t="str">
        <f t="shared" si="73"/>
        <v/>
      </c>
      <c r="DI28" s="175" t="str">
        <f t="shared" si="74"/>
        <v/>
      </c>
      <c r="DJ28" s="175" t="str">
        <f t="shared" si="75"/>
        <v/>
      </c>
      <c r="DK28" s="175" t="str">
        <f t="shared" si="76"/>
        <v/>
      </c>
      <c r="DL28" s="175" t="str">
        <f t="shared" si="77"/>
        <v/>
      </c>
      <c r="DM28" s="175" t="str">
        <f t="shared" si="78"/>
        <v/>
      </c>
      <c r="DN28" s="175" t="str">
        <f t="shared" si="79"/>
        <v/>
      </c>
      <c r="DO28" s="175" t="str">
        <f t="shared" si="80"/>
        <v/>
      </c>
      <c r="DP28" s="175" t="str">
        <f t="shared" si="81"/>
        <v/>
      </c>
      <c r="DQ28" s="175" t="str">
        <f t="shared" si="82"/>
        <v/>
      </c>
      <c r="DR28" s="175" t="str">
        <f t="shared" si="83"/>
        <v/>
      </c>
      <c r="DS28" s="175"/>
      <c r="DT28" s="175" t="str">
        <f t="shared" si="39"/>
        <v/>
      </c>
      <c r="DU28" s="175" t="str">
        <f t="shared" si="84"/>
        <v/>
      </c>
      <c r="DV28" s="175" t="str">
        <f t="shared" si="85"/>
        <v/>
      </c>
      <c r="DW28" s="175" t="str">
        <f t="shared" si="86"/>
        <v/>
      </c>
      <c r="DX28" s="175" t="str">
        <f t="shared" si="87"/>
        <v/>
      </c>
      <c r="DY28" s="175" t="str">
        <f t="shared" si="88"/>
        <v/>
      </c>
      <c r="DZ28" s="175" t="str">
        <f t="shared" si="89"/>
        <v/>
      </c>
      <c r="EA28" s="175" t="str">
        <f t="shared" si="90"/>
        <v/>
      </c>
      <c r="EB28" s="175" t="str">
        <f t="shared" si="91"/>
        <v/>
      </c>
      <c r="EC28" s="175" t="str">
        <f t="shared" si="92"/>
        <v/>
      </c>
      <c r="ED28" s="175" t="str">
        <f t="shared" si="93"/>
        <v/>
      </c>
      <c r="EE28" s="175" t="str">
        <f t="shared" si="94"/>
        <v/>
      </c>
      <c r="EF28" s="175" t="str">
        <f t="shared" si="95"/>
        <v/>
      </c>
      <c r="EG28" s="175" t="str">
        <f t="shared" si="96"/>
        <v/>
      </c>
      <c r="EH28" s="175"/>
      <c r="EI28" s="127"/>
      <c r="EJ28" s="127"/>
      <c r="EK28" s="127"/>
      <c r="EL28" s="127"/>
      <c r="EM28" s="127"/>
      <c r="EN28" s="127"/>
      <c r="EO28" s="127"/>
    </row>
    <row r="29" spans="2:145" customFormat="1" ht="20.100000000000001" customHeight="1" x14ac:dyDescent="0.3">
      <c r="B29" s="191"/>
      <c r="C29" s="192">
        <v>25</v>
      </c>
      <c r="D29" s="126"/>
      <c r="E29" s="130"/>
      <c r="F29" s="131" t="str">
        <f t="shared" si="6"/>
        <v/>
      </c>
      <c r="G29" s="131" t="str">
        <f>IF(F29&lt;&gt;"",IF(AD29,F29+$C$16,F29-$C$15),"")</f>
        <v/>
      </c>
      <c r="H29" s="133" t="str">
        <f t="shared" ref="H29:U29" si="101">IFERROR(IF(AH29,ABS(CA29),""),"")</f>
        <v/>
      </c>
      <c r="I29" s="133" t="str">
        <f t="shared" si="101"/>
        <v/>
      </c>
      <c r="J29" s="133" t="str">
        <f t="shared" si="101"/>
        <v/>
      </c>
      <c r="K29" s="133" t="str">
        <f t="shared" si="101"/>
        <v/>
      </c>
      <c r="L29" s="133" t="str">
        <f t="shared" si="101"/>
        <v/>
      </c>
      <c r="M29" s="133" t="str">
        <f t="shared" si="101"/>
        <v/>
      </c>
      <c r="N29" s="133" t="str">
        <f t="shared" si="101"/>
        <v/>
      </c>
      <c r="O29" s="133" t="str">
        <f t="shared" si="101"/>
        <v/>
      </c>
      <c r="P29" s="133" t="str">
        <f t="shared" si="101"/>
        <v/>
      </c>
      <c r="Q29" s="133" t="str">
        <f t="shared" si="101"/>
        <v/>
      </c>
      <c r="R29" s="133" t="str">
        <f t="shared" si="101"/>
        <v/>
      </c>
      <c r="S29" s="133" t="str">
        <f t="shared" si="101"/>
        <v/>
      </c>
      <c r="T29" s="133" t="str">
        <f t="shared" si="101"/>
        <v/>
      </c>
      <c r="U29" s="133" t="str">
        <f t="shared" si="101"/>
        <v/>
      </c>
      <c r="W29" s="175"/>
      <c r="X29" s="175"/>
      <c r="Y29" s="175"/>
      <c r="Z29" s="175"/>
      <c r="AA29" s="175"/>
      <c r="AB29" s="175"/>
      <c r="AC29" s="175">
        <f>MOD(ROW(A29),4)</f>
        <v>1</v>
      </c>
      <c r="AD29" s="175" t="e">
        <f>IF(MOD(ROW(A29),2)=0,ABS(F29-MAX(C44:C57))&gt;ABS(F29-MIN(C44:C57)),AD28)</f>
        <v>#VALUE!</v>
      </c>
      <c r="AE29" s="178" t="str">
        <f>IF(MOD(ROW(A29),2)=0,F29,F28)</f>
        <v/>
      </c>
      <c r="AF29" s="178" t="str">
        <f>IF(MOD(ROW(B29),2)=0,G29,G28)</f>
        <v/>
      </c>
      <c r="AG29" s="178" t="e">
        <f t="shared" si="7"/>
        <v>#DIV/0!</v>
      </c>
      <c r="AH29" s="175" t="e">
        <f>OR(AND($AD29,$AE29&lt;AH$3,$AF29&lt;AH$3),AND(NOT($AD29),$AE29&gt;AH$3,$AF29&gt;AH$3))</f>
        <v>#VALUE!</v>
      </c>
      <c r="AI29" s="175" t="e">
        <f>OR(AND($AD29,$AE29&lt;AI$3,$AF29&lt;AI$3),AND(NOT($AD29),$AE29&gt;AI$3,$AF29&gt;AI$3))</f>
        <v>#VALUE!</v>
      </c>
      <c r="AJ29" s="175" t="e">
        <f>OR(AND($AD29,$AE29&lt;AJ$3,$AF29&lt;AJ$3),AND(NOT($AD29),$AE29&gt;AJ$3,$AF29&gt;AJ$3))</f>
        <v>#VALUE!</v>
      </c>
      <c r="AK29" s="175" t="e">
        <f>OR(AND($AD29,$AE29&lt;AK$3,$AF29&lt;AK$3),AND(NOT($AD29),$AE29&gt;AK$3,$AF29&gt;AK$3))</f>
        <v>#VALUE!</v>
      </c>
      <c r="AL29" s="175" t="e">
        <f>OR(AND($AD29,$AE29&lt;AL$3,$AF29&lt;AL$3),AND(NOT($AD29),$AE29&gt;AL$3,$AF29&gt;AL$3))</f>
        <v>#VALUE!</v>
      </c>
      <c r="AM29" s="175" t="e">
        <f>OR(AND($AD29,$AE29&lt;AM$3,$AF29&lt;AM$3),AND(NOT($AD29),$AE29&gt;AM$3,$AF29&gt;AM$3))</f>
        <v>#VALUE!</v>
      </c>
      <c r="AN29" s="175" t="e">
        <f>OR(AND($AD29,$AE29&lt;AN$3,$AF29&lt;AN$3),AND(NOT($AD29),$AE29&gt;AN$3,$AF29&gt;AN$3))</f>
        <v>#VALUE!</v>
      </c>
      <c r="AO29" s="175" t="e">
        <f>OR(AND($AD29,$AE29&lt;AO$3,$AF29&lt;AO$3),AND(NOT($AD29),$AE29&gt;AO$3,$AF29&gt;AO$3))</f>
        <v>#VALUE!</v>
      </c>
      <c r="AP29" s="175" t="e">
        <f>OR(AND($AD29,$AE29&lt;AP$3,$AF29&lt;AP$3),AND(NOT($AD29),$AE29&gt;AP$3,$AF29&gt;AP$3))</f>
        <v>#VALUE!</v>
      </c>
      <c r="AQ29" s="175" t="e">
        <f>OR(AND($AD29,$AE29&lt;AQ$3,$AF29&lt;AQ$3),AND(NOT($AD29),$AE29&gt;AQ$3,$AF29&gt;AQ$3))</f>
        <v>#VALUE!</v>
      </c>
      <c r="AR29" s="175" t="e">
        <f>OR(AND($AD29,$AE29&lt;AR$3,$AF29&lt;AR$3),AND(NOT($AD29),$AE29&gt;AR$3,$AF29&gt;AR$3))</f>
        <v>#VALUE!</v>
      </c>
      <c r="AS29" s="175" t="e">
        <f>OR(AND($AD29,$AE29&lt;AS$3,$AF29&lt;AS$3),AND(NOT($AD29),$AE29&gt;AS$3,$AF29&gt;AS$3))</f>
        <v>#VALUE!</v>
      </c>
      <c r="AT29" s="175" t="e">
        <f>OR(AND($AD29,$AE29&lt;AT$3,$AF29&lt;AT$3),AND(NOT($AD29),$AE29&gt;AT$3,$AF29&gt;AT$3))</f>
        <v>#VALUE!</v>
      </c>
      <c r="AU29" s="175" t="e">
        <f>OR(AND($AD29,$AE29&lt;AU$3,$AF29&lt;AU$3),AND(NOT($AD29),$AE29&gt;AU$3,$AF29&gt;AU$3))</f>
        <v>#VALUE!</v>
      </c>
      <c r="AV29" s="175"/>
      <c r="AW29" s="175" t="str">
        <f t="shared" si="8"/>
        <v/>
      </c>
      <c r="AX29" s="175" t="str">
        <f t="shared" si="45"/>
        <v/>
      </c>
      <c r="AY29" s="175" t="str">
        <f t="shared" si="46"/>
        <v/>
      </c>
      <c r="AZ29" s="175" t="str">
        <f t="shared" si="47"/>
        <v/>
      </c>
      <c r="BA29" s="175" t="str">
        <f t="shared" si="48"/>
        <v/>
      </c>
      <c r="BB29" s="175" t="str">
        <f t="shared" si="49"/>
        <v/>
      </c>
      <c r="BC29" s="175" t="str">
        <f t="shared" si="50"/>
        <v/>
      </c>
      <c r="BD29" s="175" t="str">
        <f t="shared" si="51"/>
        <v/>
      </c>
      <c r="BE29" s="175" t="str">
        <f t="shared" si="52"/>
        <v/>
      </c>
      <c r="BF29" s="175" t="str">
        <f t="shared" si="53"/>
        <v/>
      </c>
      <c r="BG29" s="175" t="str">
        <f t="shared" si="54"/>
        <v/>
      </c>
      <c r="BH29" s="175" t="str">
        <f t="shared" si="55"/>
        <v/>
      </c>
      <c r="BI29" s="175" t="str">
        <f t="shared" si="56"/>
        <v/>
      </c>
      <c r="BJ29" s="175" t="str">
        <f t="shared" si="57"/>
        <v/>
      </c>
      <c r="BK29" s="175"/>
      <c r="BL29" s="175" t="str">
        <f t="shared" si="9"/>
        <v/>
      </c>
      <c r="BM29" s="175" t="str">
        <f t="shared" si="58"/>
        <v/>
      </c>
      <c r="BN29" s="175" t="str">
        <f t="shared" si="59"/>
        <v/>
      </c>
      <c r="BO29" s="175" t="str">
        <f t="shared" si="60"/>
        <v/>
      </c>
      <c r="BP29" s="175" t="str">
        <f t="shared" si="61"/>
        <v/>
      </c>
      <c r="BQ29" s="175" t="str">
        <f t="shared" si="62"/>
        <v/>
      </c>
      <c r="BR29" s="175" t="str">
        <f t="shared" si="63"/>
        <v/>
      </c>
      <c r="BS29" s="175" t="str">
        <f t="shared" si="64"/>
        <v/>
      </c>
      <c r="BT29" s="175" t="str">
        <f t="shared" si="65"/>
        <v/>
      </c>
      <c r="BU29" s="175" t="str">
        <f t="shared" si="66"/>
        <v/>
      </c>
      <c r="BV29" s="175" t="str">
        <f t="shared" si="67"/>
        <v/>
      </c>
      <c r="BW29" s="175" t="str">
        <f t="shared" si="68"/>
        <v/>
      </c>
      <c r="BX29" s="175" t="str">
        <f t="shared" si="69"/>
        <v/>
      </c>
      <c r="BY29" s="175" t="str">
        <f t="shared" si="70"/>
        <v/>
      </c>
      <c r="BZ29" s="175"/>
      <c r="CA29" s="175" t="str">
        <f>IFERROR(IF(AH29,AH$3+(BL29-AH$3)*TANH($X$26*$X$27)/($X$26*$X$27),0),"")</f>
        <v/>
      </c>
      <c r="CB29" s="175" t="str">
        <f>IFERROR(IF(AI29,AI$3+(BM29-AI$3)*TANH($X$26*$X$27)/($X$26*$X$27),0),"")</f>
        <v/>
      </c>
      <c r="CC29" s="175" t="str">
        <f>IFERROR(IF(AJ29,AJ$3+(BN29-AJ$3)*TANH($X$26*$X$27)/($X$26*$X$27),0),"")</f>
        <v/>
      </c>
      <c r="CD29" s="175" t="str">
        <f>IFERROR(IF(AK29,AK$3+(BO29-AK$3)*TANH($X$26*$X$27)/($X$26*$X$27),0),"")</f>
        <v/>
      </c>
      <c r="CE29" s="175" t="str">
        <f>IFERROR(IF(AL29,AL$3+(BP29-AL$3)*TANH($X$26*$X$27)/($X$26*$X$27),0),"")</f>
        <v/>
      </c>
      <c r="CF29" s="175" t="str">
        <f>IFERROR(IF(AM29,AM$3+(BQ29-AM$3)*TANH($X$26*$X$27)/($X$26*$X$27),0),"")</f>
        <v/>
      </c>
      <c r="CG29" s="175" t="str">
        <f>IFERROR(IF(AN29,AN$3+(BR29-AN$3)*TANH($X$26*$X$27)/($X$26*$X$27),0),"")</f>
        <v/>
      </c>
      <c r="CH29" s="175" t="str">
        <f>IFERROR(IF(AO29,AO$3+(BS29-AO$3)*TANH($X$26*$X$27)/($X$26*$X$27),0),"")</f>
        <v/>
      </c>
      <c r="CI29" s="175" t="str">
        <f>IFERROR(IF(AP29,AP$3+(BT29-AP$3)*TANH($X$26*$X$27)/($X$26*$X$27),0),"")</f>
        <v/>
      </c>
      <c r="CJ29" s="175" t="str">
        <f>IFERROR(IF(AQ29,AQ$3+(BU29-AQ$3)*TANH($X$26*$X$27)/($X$26*$X$27),0),"")</f>
        <v/>
      </c>
      <c r="CK29" s="175" t="str">
        <f>IFERROR(IF(AR29,AR$3+(BV29-AR$3)*TANH($X$26*$X$27)/($X$26*$X$27),0),"")</f>
        <v/>
      </c>
      <c r="CL29" s="175" t="str">
        <f>IFERROR(IF(AS29,AS$3+(BW29-AS$3)*TANH($X$26*$X$27)/($X$26*$X$27),0),"")</f>
        <v/>
      </c>
      <c r="CM29" s="175" t="str">
        <f>IFERROR(IF(AT29,AT$3+(BX29-AT$3)*TANH($X$26*$X$27)/($X$26*$X$27),0),"")</f>
        <v/>
      </c>
      <c r="CN29" s="175" t="str">
        <f>IFERROR(IF(AU29,AU$3+(BY29-AU$3)*TANH($X$26*$X$27)/($X$26*$X$27),0),"")</f>
        <v/>
      </c>
      <c r="CO29" s="175"/>
      <c r="CP29" s="175" t="str">
        <f>IFERROR(IF(AH29,($AE29-$AF29)/LN(($AE29-AH$3)/($AF29-AH$3)),0),"")</f>
        <v/>
      </c>
      <c r="CQ29" s="175" t="str">
        <f>IFERROR(IF(AI29,($AE29-$AF29)/LN(($AE29-AI$3)/($AF29-AI$3)),0),"")</f>
        <v/>
      </c>
      <c r="CR29" s="175" t="str">
        <f>IFERROR(IF(AJ29,($AE29-$AF29)/LN(($AE29-AJ$3)/($AF29-AJ$3)),0),"")</f>
        <v/>
      </c>
      <c r="CS29" s="175" t="str">
        <f>IFERROR(IF(AK29,($AE29-$AF29)/LN(($AE29-AK$3)/($AF29-AK$3)),0),"")</f>
        <v/>
      </c>
      <c r="CT29" s="175" t="str">
        <f>IFERROR(IF(AL29,($AE29-$AF29)/LN(($AE29-AL$3)/($AF29-AL$3)),0),"")</f>
        <v/>
      </c>
      <c r="CU29" s="175" t="str">
        <f>IFERROR(IF(AM29,($AE29-$AF29)/LN(($AE29-AM$3)/($AF29-AM$3)),0),"")</f>
        <v/>
      </c>
      <c r="CV29" s="175" t="str">
        <f>IFERROR(IF(AN29,($AE29-$AF29)/LN(($AE29-AN$3)/($AF29-AN$3)),0),"")</f>
        <v/>
      </c>
      <c r="CW29" s="175" t="str">
        <f>IFERROR(IF(AO29,($AE29-$AF29)/LN(($AE29-AO$3)/($AF29-AO$3)),0),"")</f>
        <v/>
      </c>
      <c r="CX29" s="175" t="str">
        <f>IFERROR(IF(AP29,($AE29-$AF29)/LN(($AE29-AP$3)/($AF29-AP$3)),0),"")</f>
        <v/>
      </c>
      <c r="CY29" s="175" t="str">
        <f>IFERROR(IF(AQ29,($AE29-$AF29)/LN(($AE29-AQ$3)/($AF29-AQ$3)),0),"")</f>
        <v/>
      </c>
      <c r="CZ29" s="175" t="str">
        <f>IFERROR(IF(AR29,($AE29-$AF29)/LN(($AE29-AR$3)/($AF29-AR$3)),0),"")</f>
        <v/>
      </c>
      <c r="DA29" s="175" t="str">
        <f>IFERROR(IF(AS29,($AE29-$AF29)/LN(($AE29-AS$3)/($AF29-AS$3)),0),"")</f>
        <v/>
      </c>
      <c r="DB29" s="175" t="str">
        <f>IFERROR(IF(AT29,($AE29-$AF29)/LN(($AE29-AT$3)/($AF29-AT$3)),0),"")</f>
        <v/>
      </c>
      <c r="DC29" s="175" t="str">
        <f>IFERROR(IF(AU29,($AE29-$AF29)/LN(($AE29-AU$3)/($AF29-AU$3)),0),"")</f>
        <v/>
      </c>
      <c r="DD29" s="175"/>
      <c r="DE29" s="175" t="str">
        <f t="shared" si="24"/>
        <v/>
      </c>
      <c r="DF29" s="175" t="str">
        <f t="shared" si="71"/>
        <v/>
      </c>
      <c r="DG29" s="175" t="str">
        <f t="shared" si="72"/>
        <v/>
      </c>
      <c r="DH29" s="175" t="str">
        <f t="shared" si="73"/>
        <v/>
      </c>
      <c r="DI29" s="175" t="str">
        <f t="shared" si="74"/>
        <v/>
      </c>
      <c r="DJ29" s="175" t="str">
        <f t="shared" si="75"/>
        <v/>
      </c>
      <c r="DK29" s="175" t="str">
        <f t="shared" si="76"/>
        <v/>
      </c>
      <c r="DL29" s="175" t="str">
        <f t="shared" si="77"/>
        <v/>
      </c>
      <c r="DM29" s="175" t="str">
        <f t="shared" si="78"/>
        <v/>
      </c>
      <c r="DN29" s="175" t="str">
        <f t="shared" si="79"/>
        <v/>
      </c>
      <c r="DO29" s="175" t="str">
        <f t="shared" si="80"/>
        <v/>
      </c>
      <c r="DP29" s="175" t="str">
        <f t="shared" si="81"/>
        <v/>
      </c>
      <c r="DQ29" s="175" t="str">
        <f t="shared" si="82"/>
        <v/>
      </c>
      <c r="DR29" s="175" t="str">
        <f t="shared" si="83"/>
        <v/>
      </c>
      <c r="DS29" s="175"/>
      <c r="DT29" s="175" t="str">
        <f t="shared" si="39"/>
        <v/>
      </c>
      <c r="DU29" s="175" t="str">
        <f t="shared" si="84"/>
        <v/>
      </c>
      <c r="DV29" s="175" t="str">
        <f t="shared" si="85"/>
        <v/>
      </c>
      <c r="DW29" s="175" t="str">
        <f t="shared" si="86"/>
        <v/>
      </c>
      <c r="DX29" s="175" t="str">
        <f t="shared" si="87"/>
        <v/>
      </c>
      <c r="DY29" s="175" t="str">
        <f t="shared" si="88"/>
        <v/>
      </c>
      <c r="DZ29" s="175" t="str">
        <f t="shared" si="89"/>
        <v/>
      </c>
      <c r="EA29" s="175" t="str">
        <f t="shared" si="90"/>
        <v/>
      </c>
      <c r="EB29" s="175" t="str">
        <f t="shared" si="91"/>
        <v/>
      </c>
      <c r="EC29" s="175" t="str">
        <f t="shared" si="92"/>
        <v/>
      </c>
      <c r="ED29" s="175" t="str">
        <f t="shared" si="93"/>
        <v/>
      </c>
      <c r="EE29" s="175" t="str">
        <f t="shared" si="94"/>
        <v/>
      </c>
      <c r="EF29" s="175" t="str">
        <f t="shared" si="95"/>
        <v/>
      </c>
      <c r="EG29" s="175" t="str">
        <f t="shared" si="96"/>
        <v/>
      </c>
      <c r="EH29" s="175"/>
      <c r="EI29" s="127"/>
      <c r="EJ29" s="127"/>
      <c r="EK29" s="127"/>
      <c r="EL29" s="127"/>
      <c r="EM29" s="127"/>
      <c r="EN29" s="127"/>
      <c r="EO29" s="127"/>
    </row>
    <row r="30" spans="2:145" customFormat="1" ht="20.100000000000001" customHeight="1" x14ac:dyDescent="0.3">
      <c r="B30" s="191"/>
      <c r="C30" s="192">
        <v>26</v>
      </c>
      <c r="D30" s="126"/>
      <c r="E30" s="130"/>
      <c r="F30" s="131" t="str">
        <f t="shared" si="6"/>
        <v/>
      </c>
      <c r="G30" s="131" t="str">
        <f>IF(F30&lt;&gt;"",IF(AD30,F30+$C$16,F30-$C$15),"")</f>
        <v/>
      </c>
      <c r="H30" s="133" t="str">
        <f t="shared" si="25"/>
        <v/>
      </c>
      <c r="I30" s="133" t="str">
        <f t="shared" si="26"/>
        <v/>
      </c>
      <c r="J30" s="133" t="str">
        <f t="shared" si="27"/>
        <v/>
      </c>
      <c r="K30" s="133" t="str">
        <f t="shared" si="28"/>
        <v/>
      </c>
      <c r="L30" s="133" t="str">
        <f t="shared" si="29"/>
        <v/>
      </c>
      <c r="M30" s="133" t="str">
        <f t="shared" si="30"/>
        <v/>
      </c>
      <c r="N30" s="133" t="str">
        <f t="shared" si="31"/>
        <v/>
      </c>
      <c r="O30" s="133" t="str">
        <f t="shared" si="32"/>
        <v/>
      </c>
      <c r="P30" s="133" t="str">
        <f t="shared" si="33"/>
        <v/>
      </c>
      <c r="Q30" s="133" t="str">
        <f t="shared" si="34"/>
        <v/>
      </c>
      <c r="R30" s="133" t="str">
        <f t="shared" si="35"/>
        <v/>
      </c>
      <c r="S30" s="133" t="str">
        <f t="shared" si="36"/>
        <v/>
      </c>
      <c r="T30" s="133" t="str">
        <f t="shared" si="37"/>
        <v/>
      </c>
      <c r="U30" s="133" t="str">
        <f t="shared" si="38"/>
        <v/>
      </c>
      <c r="W30" s="175"/>
      <c r="X30" s="175"/>
      <c r="Y30" s="175"/>
      <c r="Z30" s="175"/>
      <c r="AA30" s="175"/>
      <c r="AB30" s="175"/>
      <c r="AC30" s="175">
        <f>MOD(ROW(A30),4)</f>
        <v>2</v>
      </c>
      <c r="AD30" s="175" t="e">
        <f>IF(MOD(ROW(A30),2)=0,ABS(F30-MAX(C45:C58))&gt;ABS(F30-MIN(C45:C58)),AD29)</f>
        <v>#VALUE!</v>
      </c>
      <c r="AE30" s="178" t="str">
        <f>IF(MOD(ROW(A30),2)=0,F30,F29)</f>
        <v/>
      </c>
      <c r="AF30" s="178" t="str">
        <f>IF(MOD(ROW(B30),2)=0,G30,G29)</f>
        <v/>
      </c>
      <c r="AG30" s="178" t="e">
        <f t="shared" si="7"/>
        <v>#DIV/0!</v>
      </c>
      <c r="AH30" s="175" t="e">
        <f>OR(AND($AD30,$AE30&lt;AH$3,$AF30&lt;AH$3),AND(NOT($AD30),$AE30&gt;AH$3,$AF30&gt;AH$3))</f>
        <v>#VALUE!</v>
      </c>
      <c r="AI30" s="175" t="e">
        <f>OR(AND($AD30,$AE30&lt;AI$3,$AF30&lt;AI$3),AND(NOT($AD30),$AE30&gt;AI$3,$AF30&gt;AI$3))</f>
        <v>#VALUE!</v>
      </c>
      <c r="AJ30" s="175" t="e">
        <f>OR(AND($AD30,$AE30&lt;AJ$3,$AF30&lt;AJ$3),AND(NOT($AD30),$AE30&gt;AJ$3,$AF30&gt;AJ$3))</f>
        <v>#VALUE!</v>
      </c>
      <c r="AK30" s="175" t="e">
        <f>OR(AND($AD30,$AE30&lt;AK$3,$AF30&lt;AK$3),AND(NOT($AD30),$AE30&gt;AK$3,$AF30&gt;AK$3))</f>
        <v>#VALUE!</v>
      </c>
      <c r="AL30" s="175" t="e">
        <f>OR(AND($AD30,$AE30&lt;AL$3,$AF30&lt;AL$3),AND(NOT($AD30),$AE30&gt;AL$3,$AF30&gt;AL$3))</f>
        <v>#VALUE!</v>
      </c>
      <c r="AM30" s="175" t="e">
        <f>OR(AND($AD30,$AE30&lt;AM$3,$AF30&lt;AM$3),AND(NOT($AD30),$AE30&gt;AM$3,$AF30&gt;AM$3))</f>
        <v>#VALUE!</v>
      </c>
      <c r="AN30" s="175" t="e">
        <f>OR(AND($AD30,$AE30&lt;AN$3,$AF30&lt;AN$3),AND(NOT($AD30),$AE30&gt;AN$3,$AF30&gt;AN$3))</f>
        <v>#VALUE!</v>
      </c>
      <c r="AO30" s="175" t="e">
        <f>OR(AND($AD30,$AE30&lt;AO$3,$AF30&lt;AO$3),AND(NOT($AD30),$AE30&gt;AO$3,$AF30&gt;AO$3))</f>
        <v>#VALUE!</v>
      </c>
      <c r="AP30" s="175" t="e">
        <f>OR(AND($AD30,$AE30&lt;AP$3,$AF30&lt;AP$3),AND(NOT($AD30),$AE30&gt;AP$3,$AF30&gt;AP$3))</f>
        <v>#VALUE!</v>
      </c>
      <c r="AQ30" s="175" t="e">
        <f>OR(AND($AD30,$AE30&lt;AQ$3,$AF30&lt;AQ$3),AND(NOT($AD30),$AE30&gt;AQ$3,$AF30&gt;AQ$3))</f>
        <v>#VALUE!</v>
      </c>
      <c r="AR30" s="175" t="e">
        <f>OR(AND($AD30,$AE30&lt;AR$3,$AF30&lt;AR$3),AND(NOT($AD30),$AE30&gt;AR$3,$AF30&gt;AR$3))</f>
        <v>#VALUE!</v>
      </c>
      <c r="AS30" s="175" t="e">
        <f>OR(AND($AD30,$AE30&lt;AS$3,$AF30&lt;AS$3),AND(NOT($AD30),$AE30&gt;AS$3,$AF30&gt;AS$3))</f>
        <v>#VALUE!</v>
      </c>
      <c r="AT30" s="175" t="e">
        <f>OR(AND($AD30,$AE30&lt;AT$3,$AF30&lt;AT$3),AND(NOT($AD30),$AE30&gt;AT$3,$AF30&gt;AT$3))</f>
        <v>#VALUE!</v>
      </c>
      <c r="AU30" s="175" t="e">
        <f>OR(AND($AD30,$AE30&lt;AU$3,$AF30&lt;AU$3),AND(NOT($AD30),$AE30&gt;AU$3,$AF30&gt;AU$3))</f>
        <v>#VALUE!</v>
      </c>
      <c r="AV30" s="175"/>
      <c r="AW30" s="175" t="str">
        <f t="shared" si="8"/>
        <v/>
      </c>
      <c r="AX30" s="175" t="str">
        <f t="shared" si="45"/>
        <v/>
      </c>
      <c r="AY30" s="175" t="str">
        <f t="shared" si="46"/>
        <v/>
      </c>
      <c r="AZ30" s="175" t="str">
        <f t="shared" si="47"/>
        <v/>
      </c>
      <c r="BA30" s="175" t="str">
        <f t="shared" si="48"/>
        <v/>
      </c>
      <c r="BB30" s="175" t="str">
        <f t="shared" si="49"/>
        <v/>
      </c>
      <c r="BC30" s="175" t="str">
        <f t="shared" si="50"/>
        <v/>
      </c>
      <c r="BD30" s="175" t="str">
        <f t="shared" si="51"/>
        <v/>
      </c>
      <c r="BE30" s="175" t="str">
        <f t="shared" si="52"/>
        <v/>
      </c>
      <c r="BF30" s="175" t="str">
        <f t="shared" si="53"/>
        <v/>
      </c>
      <c r="BG30" s="175" t="str">
        <f t="shared" si="54"/>
        <v/>
      </c>
      <c r="BH30" s="175" t="str">
        <f t="shared" si="55"/>
        <v/>
      </c>
      <c r="BI30" s="175" t="str">
        <f t="shared" si="56"/>
        <v/>
      </c>
      <c r="BJ30" s="175" t="str">
        <f t="shared" si="57"/>
        <v/>
      </c>
      <c r="BK30" s="175"/>
      <c r="BL30" s="175" t="str">
        <f t="shared" si="9"/>
        <v/>
      </c>
      <c r="BM30" s="175" t="str">
        <f t="shared" si="58"/>
        <v/>
      </c>
      <c r="BN30" s="175" t="str">
        <f t="shared" si="59"/>
        <v/>
      </c>
      <c r="BO30" s="175" t="str">
        <f t="shared" si="60"/>
        <v/>
      </c>
      <c r="BP30" s="175" t="str">
        <f t="shared" si="61"/>
        <v/>
      </c>
      <c r="BQ30" s="175" t="str">
        <f t="shared" si="62"/>
        <v/>
      </c>
      <c r="BR30" s="175" t="str">
        <f t="shared" si="63"/>
        <v/>
      </c>
      <c r="BS30" s="175" t="str">
        <f t="shared" si="64"/>
        <v/>
      </c>
      <c r="BT30" s="175" t="str">
        <f t="shared" si="65"/>
        <v/>
      </c>
      <c r="BU30" s="175" t="str">
        <f t="shared" si="66"/>
        <v/>
      </c>
      <c r="BV30" s="175" t="str">
        <f t="shared" si="67"/>
        <v/>
      </c>
      <c r="BW30" s="175" t="str">
        <f t="shared" si="68"/>
        <v/>
      </c>
      <c r="BX30" s="175" t="str">
        <f t="shared" si="69"/>
        <v/>
      </c>
      <c r="BY30" s="175" t="str">
        <f t="shared" si="70"/>
        <v/>
      </c>
      <c r="BZ30" s="175"/>
      <c r="CA30" s="175" t="str">
        <f>IFERROR(IF(AH30,AH$3+(BL30-AH$3)*TANH($X$26*$X$27)/($X$26*$X$27),0),"")</f>
        <v/>
      </c>
      <c r="CB30" s="175" t="str">
        <f>IFERROR(IF(AI30,AI$3+(BM30-AI$3)*TANH($X$26*$X$27)/($X$26*$X$27),0),"")</f>
        <v/>
      </c>
      <c r="CC30" s="175" t="str">
        <f>IFERROR(IF(AJ30,AJ$3+(BN30-AJ$3)*TANH($X$26*$X$27)/($X$26*$X$27),0),"")</f>
        <v/>
      </c>
      <c r="CD30" s="175" t="str">
        <f>IFERROR(IF(AK30,AK$3+(BO30-AK$3)*TANH($X$26*$X$27)/($X$26*$X$27),0),"")</f>
        <v/>
      </c>
      <c r="CE30" s="175" t="str">
        <f>IFERROR(IF(AL30,AL$3+(BP30-AL$3)*TANH($X$26*$X$27)/($X$26*$X$27),0),"")</f>
        <v/>
      </c>
      <c r="CF30" s="175" t="str">
        <f>IFERROR(IF(AM30,AM$3+(BQ30-AM$3)*TANH($X$26*$X$27)/($X$26*$X$27),0),"")</f>
        <v/>
      </c>
      <c r="CG30" s="175" t="str">
        <f>IFERROR(IF(AN30,AN$3+(BR30-AN$3)*TANH($X$26*$X$27)/($X$26*$X$27),0),"")</f>
        <v/>
      </c>
      <c r="CH30" s="175" t="str">
        <f>IFERROR(IF(AO30,AO$3+(BS30-AO$3)*TANH($X$26*$X$27)/($X$26*$X$27),0),"")</f>
        <v/>
      </c>
      <c r="CI30" s="175" t="str">
        <f>IFERROR(IF(AP30,AP$3+(BT30-AP$3)*TANH($X$26*$X$27)/($X$26*$X$27),0),"")</f>
        <v/>
      </c>
      <c r="CJ30" s="175" t="str">
        <f>IFERROR(IF(AQ30,AQ$3+(BU30-AQ$3)*TANH($X$26*$X$27)/($X$26*$X$27),0),"")</f>
        <v/>
      </c>
      <c r="CK30" s="175" t="str">
        <f>IFERROR(IF(AR30,AR$3+(BV30-AR$3)*TANH($X$26*$X$27)/($X$26*$X$27),0),"")</f>
        <v/>
      </c>
      <c r="CL30" s="175" t="str">
        <f>IFERROR(IF(AS30,AS$3+(BW30-AS$3)*TANH($X$26*$X$27)/($X$26*$X$27),0),"")</f>
        <v/>
      </c>
      <c r="CM30" s="175" t="str">
        <f>IFERROR(IF(AT30,AT$3+(BX30-AT$3)*TANH($X$26*$X$27)/($X$26*$X$27),0),"")</f>
        <v/>
      </c>
      <c r="CN30" s="175" t="str">
        <f>IFERROR(IF(AU30,AU$3+(BY30-AU$3)*TANH($X$26*$X$27)/($X$26*$X$27),0),"")</f>
        <v/>
      </c>
      <c r="CO30" s="175"/>
      <c r="CP30" s="175" t="str">
        <f>IFERROR(IF(AH30,($AE30-$AF30)/LN(($AE30-AH$3)/($AF30-AH$3)),0),"")</f>
        <v/>
      </c>
      <c r="CQ30" s="175" t="str">
        <f>IFERROR(IF(AI30,($AE30-$AF30)/LN(($AE30-AI$3)/($AF30-AI$3)),0),"")</f>
        <v/>
      </c>
      <c r="CR30" s="175" t="str">
        <f>IFERROR(IF(AJ30,($AE30-$AF30)/LN(($AE30-AJ$3)/($AF30-AJ$3)),0),"")</f>
        <v/>
      </c>
      <c r="CS30" s="175" t="str">
        <f>IFERROR(IF(AK30,($AE30-$AF30)/LN(($AE30-AK$3)/($AF30-AK$3)),0),"")</f>
        <v/>
      </c>
      <c r="CT30" s="175" t="str">
        <f>IFERROR(IF(AL30,($AE30-$AF30)/LN(($AE30-AL$3)/($AF30-AL$3)),0),"")</f>
        <v/>
      </c>
      <c r="CU30" s="175" t="str">
        <f>IFERROR(IF(AM30,($AE30-$AF30)/LN(($AE30-AM$3)/($AF30-AM$3)),0),"")</f>
        <v/>
      </c>
      <c r="CV30" s="175" t="str">
        <f>IFERROR(IF(AN30,($AE30-$AF30)/LN(($AE30-AN$3)/($AF30-AN$3)),0),"")</f>
        <v/>
      </c>
      <c r="CW30" s="175" t="str">
        <f>IFERROR(IF(AO30,($AE30-$AF30)/LN(($AE30-AO$3)/($AF30-AO$3)),0),"")</f>
        <v/>
      </c>
      <c r="CX30" s="175" t="str">
        <f>IFERROR(IF(AP30,($AE30-$AF30)/LN(($AE30-AP$3)/($AF30-AP$3)),0),"")</f>
        <v/>
      </c>
      <c r="CY30" s="175" t="str">
        <f>IFERROR(IF(AQ30,($AE30-$AF30)/LN(($AE30-AQ$3)/($AF30-AQ$3)),0),"")</f>
        <v/>
      </c>
      <c r="CZ30" s="175" t="str">
        <f>IFERROR(IF(AR30,($AE30-$AF30)/LN(($AE30-AR$3)/($AF30-AR$3)),0),"")</f>
        <v/>
      </c>
      <c r="DA30" s="175" t="str">
        <f>IFERROR(IF(AS30,($AE30-$AF30)/LN(($AE30-AS$3)/($AF30-AS$3)),0),"")</f>
        <v/>
      </c>
      <c r="DB30" s="175" t="str">
        <f>IFERROR(IF(AT30,($AE30-$AF30)/LN(($AE30-AT$3)/($AF30-AT$3)),0),"")</f>
        <v/>
      </c>
      <c r="DC30" s="175" t="str">
        <f>IFERROR(IF(AU30,($AE30-$AF30)/LN(($AE30-AU$3)/($AF30-AU$3)),0),"")</f>
        <v/>
      </c>
      <c r="DD30" s="175"/>
      <c r="DE30" s="175" t="str">
        <f t="shared" si="24"/>
        <v/>
      </c>
      <c r="DF30" s="175" t="str">
        <f t="shared" si="71"/>
        <v/>
      </c>
      <c r="DG30" s="175" t="str">
        <f t="shared" si="72"/>
        <v/>
      </c>
      <c r="DH30" s="175" t="str">
        <f t="shared" si="73"/>
        <v/>
      </c>
      <c r="DI30" s="175" t="str">
        <f t="shared" si="74"/>
        <v/>
      </c>
      <c r="DJ30" s="175" t="str">
        <f t="shared" si="75"/>
        <v/>
      </c>
      <c r="DK30" s="175" t="str">
        <f t="shared" si="76"/>
        <v/>
      </c>
      <c r="DL30" s="175" t="str">
        <f t="shared" si="77"/>
        <v/>
      </c>
      <c r="DM30" s="175" t="str">
        <f t="shared" si="78"/>
        <v/>
      </c>
      <c r="DN30" s="175" t="str">
        <f t="shared" si="79"/>
        <v/>
      </c>
      <c r="DO30" s="175" t="str">
        <f t="shared" si="80"/>
        <v/>
      </c>
      <c r="DP30" s="175" t="str">
        <f t="shared" si="81"/>
        <v/>
      </c>
      <c r="DQ30" s="175" t="str">
        <f t="shared" si="82"/>
        <v/>
      </c>
      <c r="DR30" s="175" t="str">
        <f t="shared" si="83"/>
        <v/>
      </c>
      <c r="DS30" s="175"/>
      <c r="DT30" s="175" t="str">
        <f t="shared" si="39"/>
        <v/>
      </c>
      <c r="DU30" s="175" t="str">
        <f t="shared" si="84"/>
        <v/>
      </c>
      <c r="DV30" s="175" t="str">
        <f t="shared" si="85"/>
        <v/>
      </c>
      <c r="DW30" s="175" t="str">
        <f t="shared" si="86"/>
        <v/>
      </c>
      <c r="DX30" s="175" t="str">
        <f t="shared" si="87"/>
        <v/>
      </c>
      <c r="DY30" s="175" t="str">
        <f t="shared" si="88"/>
        <v/>
      </c>
      <c r="DZ30" s="175" t="str">
        <f t="shared" si="89"/>
        <v/>
      </c>
      <c r="EA30" s="175" t="str">
        <f t="shared" si="90"/>
        <v/>
      </c>
      <c r="EB30" s="175" t="str">
        <f t="shared" si="91"/>
        <v/>
      </c>
      <c r="EC30" s="175" t="str">
        <f t="shared" si="92"/>
        <v/>
      </c>
      <c r="ED30" s="175" t="str">
        <f t="shared" si="93"/>
        <v/>
      </c>
      <c r="EE30" s="175" t="str">
        <f t="shared" si="94"/>
        <v/>
      </c>
      <c r="EF30" s="175" t="str">
        <f t="shared" si="95"/>
        <v/>
      </c>
      <c r="EG30" s="175" t="str">
        <f t="shared" si="96"/>
        <v/>
      </c>
      <c r="EH30" s="175"/>
      <c r="EI30" s="127"/>
      <c r="EJ30" s="127"/>
      <c r="EK30" s="127"/>
      <c r="EL30" s="127"/>
      <c r="EM30" s="127"/>
      <c r="EN30" s="127"/>
      <c r="EO30" s="127"/>
    </row>
    <row r="31" spans="2:145" customFormat="1" ht="20.100000000000001" customHeight="1" x14ac:dyDescent="0.3">
      <c r="B31" s="191"/>
      <c r="C31" s="192">
        <v>27</v>
      </c>
      <c r="D31" s="126"/>
      <c r="E31" s="130"/>
      <c r="F31" s="131" t="str">
        <f t="shared" si="6"/>
        <v/>
      </c>
      <c r="G31" s="131" t="str">
        <f>IF(F31&lt;&gt;"",IF(AD31,F31+$C$16,F31-$C$15),"")</f>
        <v/>
      </c>
      <c r="H31" s="133" t="str">
        <f t="shared" ref="H31:U31" si="102">IFERROR(IF(AH31,ABS(CA31),""),"")</f>
        <v/>
      </c>
      <c r="I31" s="133" t="str">
        <f t="shared" si="102"/>
        <v/>
      </c>
      <c r="J31" s="133" t="str">
        <f t="shared" si="102"/>
        <v/>
      </c>
      <c r="K31" s="133" t="str">
        <f t="shared" si="102"/>
        <v/>
      </c>
      <c r="L31" s="133" t="str">
        <f t="shared" si="102"/>
        <v/>
      </c>
      <c r="M31" s="133" t="str">
        <f t="shared" si="102"/>
        <v/>
      </c>
      <c r="N31" s="133" t="str">
        <f t="shared" si="102"/>
        <v/>
      </c>
      <c r="O31" s="133" t="str">
        <f t="shared" si="102"/>
        <v/>
      </c>
      <c r="P31" s="133" t="str">
        <f t="shared" si="102"/>
        <v/>
      </c>
      <c r="Q31" s="133" t="str">
        <f t="shared" si="102"/>
        <v/>
      </c>
      <c r="R31" s="133" t="str">
        <f t="shared" si="102"/>
        <v/>
      </c>
      <c r="S31" s="133" t="str">
        <f t="shared" si="102"/>
        <v/>
      </c>
      <c r="T31" s="133" t="str">
        <f t="shared" si="102"/>
        <v/>
      </c>
      <c r="U31" s="133" t="str">
        <f t="shared" si="102"/>
        <v/>
      </c>
      <c r="W31" s="175"/>
      <c r="X31" s="175"/>
      <c r="Y31" s="175"/>
      <c r="Z31" s="175"/>
      <c r="AA31" s="175"/>
      <c r="AB31" s="175"/>
      <c r="AC31" s="175">
        <f>MOD(ROW(A31),4)</f>
        <v>3</v>
      </c>
      <c r="AD31" s="175" t="e">
        <f>IF(MOD(ROW(A31),2)=0,ABS(F31-MAX(C46:C59))&gt;ABS(F31-MIN(C46:C59)),AD30)</f>
        <v>#VALUE!</v>
      </c>
      <c r="AE31" s="178" t="str">
        <f>IF(MOD(ROW(A31),2)=0,F31,F30)</f>
        <v/>
      </c>
      <c r="AF31" s="178" t="str">
        <f>IF(MOD(ROW(B31),2)=0,G31,G30)</f>
        <v/>
      </c>
      <c r="AG31" s="178" t="e">
        <f t="shared" si="7"/>
        <v>#DIV/0!</v>
      </c>
      <c r="AH31" s="175" t="e">
        <f>OR(AND($AD31,$AE31&lt;AH$3,$AF31&lt;AH$3),AND(NOT($AD31),$AE31&gt;AH$3,$AF31&gt;AH$3))</f>
        <v>#VALUE!</v>
      </c>
      <c r="AI31" s="175" t="e">
        <f>OR(AND($AD31,$AE31&lt;AI$3,$AF31&lt;AI$3),AND(NOT($AD31),$AE31&gt;AI$3,$AF31&gt;AI$3))</f>
        <v>#VALUE!</v>
      </c>
      <c r="AJ31" s="175" t="e">
        <f>OR(AND($AD31,$AE31&lt;AJ$3,$AF31&lt;AJ$3),AND(NOT($AD31),$AE31&gt;AJ$3,$AF31&gt;AJ$3))</f>
        <v>#VALUE!</v>
      </c>
      <c r="AK31" s="175" t="e">
        <f>OR(AND($AD31,$AE31&lt;AK$3,$AF31&lt;AK$3),AND(NOT($AD31),$AE31&gt;AK$3,$AF31&gt;AK$3))</f>
        <v>#VALUE!</v>
      </c>
      <c r="AL31" s="175" t="e">
        <f>OR(AND($AD31,$AE31&lt;AL$3,$AF31&lt;AL$3),AND(NOT($AD31),$AE31&gt;AL$3,$AF31&gt;AL$3))</f>
        <v>#VALUE!</v>
      </c>
      <c r="AM31" s="175" t="e">
        <f>OR(AND($AD31,$AE31&lt;AM$3,$AF31&lt;AM$3),AND(NOT($AD31),$AE31&gt;AM$3,$AF31&gt;AM$3))</f>
        <v>#VALUE!</v>
      </c>
      <c r="AN31" s="175" t="e">
        <f>OR(AND($AD31,$AE31&lt;AN$3,$AF31&lt;AN$3),AND(NOT($AD31),$AE31&gt;AN$3,$AF31&gt;AN$3))</f>
        <v>#VALUE!</v>
      </c>
      <c r="AO31" s="175" t="e">
        <f>OR(AND($AD31,$AE31&lt;AO$3,$AF31&lt;AO$3),AND(NOT($AD31),$AE31&gt;AO$3,$AF31&gt;AO$3))</f>
        <v>#VALUE!</v>
      </c>
      <c r="AP31" s="175" t="e">
        <f>OR(AND($AD31,$AE31&lt;AP$3,$AF31&lt;AP$3),AND(NOT($AD31),$AE31&gt;AP$3,$AF31&gt;AP$3))</f>
        <v>#VALUE!</v>
      </c>
      <c r="AQ31" s="175" t="e">
        <f>OR(AND($AD31,$AE31&lt;AQ$3,$AF31&lt;AQ$3),AND(NOT($AD31),$AE31&gt;AQ$3,$AF31&gt;AQ$3))</f>
        <v>#VALUE!</v>
      </c>
      <c r="AR31" s="175" t="e">
        <f>OR(AND($AD31,$AE31&lt;AR$3,$AF31&lt;AR$3),AND(NOT($AD31),$AE31&gt;AR$3,$AF31&gt;AR$3))</f>
        <v>#VALUE!</v>
      </c>
      <c r="AS31" s="175" t="e">
        <f>OR(AND($AD31,$AE31&lt;AS$3,$AF31&lt;AS$3),AND(NOT($AD31),$AE31&gt;AS$3,$AF31&gt;AS$3))</f>
        <v>#VALUE!</v>
      </c>
      <c r="AT31" s="175" t="e">
        <f>OR(AND($AD31,$AE31&lt;AT$3,$AF31&lt;AT$3),AND(NOT($AD31),$AE31&gt;AT$3,$AF31&gt;AT$3))</f>
        <v>#VALUE!</v>
      </c>
      <c r="AU31" s="175" t="e">
        <f>OR(AND($AD31,$AE31&lt;AU$3,$AF31&lt;AU$3),AND(NOT($AD31),$AE31&gt;AU$3,$AF31&gt;AU$3))</f>
        <v>#VALUE!</v>
      </c>
      <c r="AV31" s="175"/>
      <c r="AW31" s="175" t="str">
        <f t="shared" si="8"/>
        <v/>
      </c>
      <c r="AX31" s="175" t="str">
        <f t="shared" si="45"/>
        <v/>
      </c>
      <c r="AY31" s="175" t="str">
        <f t="shared" si="46"/>
        <v/>
      </c>
      <c r="AZ31" s="175" t="str">
        <f t="shared" si="47"/>
        <v/>
      </c>
      <c r="BA31" s="175" t="str">
        <f t="shared" si="48"/>
        <v/>
      </c>
      <c r="BB31" s="175" t="str">
        <f t="shared" si="49"/>
        <v/>
      </c>
      <c r="BC31" s="175" t="str">
        <f t="shared" si="50"/>
        <v/>
      </c>
      <c r="BD31" s="175" t="str">
        <f t="shared" si="51"/>
        <v/>
      </c>
      <c r="BE31" s="175" t="str">
        <f t="shared" si="52"/>
        <v/>
      </c>
      <c r="BF31" s="175" t="str">
        <f t="shared" si="53"/>
        <v/>
      </c>
      <c r="BG31" s="175" t="str">
        <f t="shared" si="54"/>
        <v/>
      </c>
      <c r="BH31" s="175" t="str">
        <f t="shared" si="55"/>
        <v/>
      </c>
      <c r="BI31" s="175" t="str">
        <f t="shared" si="56"/>
        <v/>
      </c>
      <c r="BJ31" s="175" t="str">
        <f t="shared" si="57"/>
        <v/>
      </c>
      <c r="BK31" s="175"/>
      <c r="BL31" s="175" t="str">
        <f t="shared" si="9"/>
        <v/>
      </c>
      <c r="BM31" s="175" t="str">
        <f t="shared" si="58"/>
        <v/>
      </c>
      <c r="BN31" s="175" t="str">
        <f t="shared" si="59"/>
        <v/>
      </c>
      <c r="BO31" s="175" t="str">
        <f t="shared" si="60"/>
        <v/>
      </c>
      <c r="BP31" s="175" t="str">
        <f t="shared" si="61"/>
        <v/>
      </c>
      <c r="BQ31" s="175" t="str">
        <f t="shared" si="62"/>
        <v/>
      </c>
      <c r="BR31" s="175" t="str">
        <f t="shared" si="63"/>
        <v/>
      </c>
      <c r="BS31" s="175" t="str">
        <f t="shared" si="64"/>
        <v/>
      </c>
      <c r="BT31" s="175" t="str">
        <f t="shared" si="65"/>
        <v/>
      </c>
      <c r="BU31" s="175" t="str">
        <f t="shared" si="66"/>
        <v/>
      </c>
      <c r="BV31" s="175" t="str">
        <f t="shared" si="67"/>
        <v/>
      </c>
      <c r="BW31" s="175" t="str">
        <f t="shared" si="68"/>
        <v/>
      </c>
      <c r="BX31" s="175" t="str">
        <f t="shared" si="69"/>
        <v/>
      </c>
      <c r="BY31" s="175" t="str">
        <f t="shared" si="70"/>
        <v/>
      </c>
      <c r="BZ31" s="175"/>
      <c r="CA31" s="175" t="str">
        <f>IFERROR(IF(AH31,AH$3+(BL31-AH$3)*TANH($X$26*$X$27)/($X$26*$X$27),0),"")</f>
        <v/>
      </c>
      <c r="CB31" s="175" t="str">
        <f>IFERROR(IF(AI31,AI$3+(BM31-AI$3)*TANH($X$26*$X$27)/($X$26*$X$27),0),"")</f>
        <v/>
      </c>
      <c r="CC31" s="175" t="str">
        <f>IFERROR(IF(AJ31,AJ$3+(BN31-AJ$3)*TANH($X$26*$X$27)/($X$26*$X$27),0),"")</f>
        <v/>
      </c>
      <c r="CD31" s="175" t="str">
        <f>IFERROR(IF(AK31,AK$3+(BO31-AK$3)*TANH($X$26*$X$27)/($X$26*$X$27),0),"")</f>
        <v/>
      </c>
      <c r="CE31" s="175" t="str">
        <f>IFERROR(IF(AL31,AL$3+(BP31-AL$3)*TANH($X$26*$X$27)/($X$26*$X$27),0),"")</f>
        <v/>
      </c>
      <c r="CF31" s="175" t="str">
        <f>IFERROR(IF(AM31,AM$3+(BQ31-AM$3)*TANH($X$26*$X$27)/($X$26*$X$27),0),"")</f>
        <v/>
      </c>
      <c r="CG31" s="175" t="str">
        <f>IFERROR(IF(AN31,AN$3+(BR31-AN$3)*TANH($X$26*$X$27)/($X$26*$X$27),0),"")</f>
        <v/>
      </c>
      <c r="CH31" s="175" t="str">
        <f>IFERROR(IF(AO31,AO$3+(BS31-AO$3)*TANH($X$26*$X$27)/($X$26*$X$27),0),"")</f>
        <v/>
      </c>
      <c r="CI31" s="175" t="str">
        <f>IFERROR(IF(AP31,AP$3+(BT31-AP$3)*TANH($X$26*$X$27)/($X$26*$X$27),0),"")</f>
        <v/>
      </c>
      <c r="CJ31" s="175" t="str">
        <f>IFERROR(IF(AQ31,AQ$3+(BU31-AQ$3)*TANH($X$26*$X$27)/($X$26*$X$27),0),"")</f>
        <v/>
      </c>
      <c r="CK31" s="175" t="str">
        <f>IFERROR(IF(AR31,AR$3+(BV31-AR$3)*TANH($X$26*$X$27)/($X$26*$X$27),0),"")</f>
        <v/>
      </c>
      <c r="CL31" s="175" t="str">
        <f>IFERROR(IF(AS31,AS$3+(BW31-AS$3)*TANH($X$26*$X$27)/($X$26*$X$27),0),"")</f>
        <v/>
      </c>
      <c r="CM31" s="175" t="str">
        <f>IFERROR(IF(AT31,AT$3+(BX31-AT$3)*TANH($X$26*$X$27)/($X$26*$X$27),0),"")</f>
        <v/>
      </c>
      <c r="CN31" s="175" t="str">
        <f>IFERROR(IF(AU31,AU$3+(BY31-AU$3)*TANH($X$26*$X$27)/($X$26*$X$27),0),"")</f>
        <v/>
      </c>
      <c r="CO31" s="175"/>
      <c r="CP31" s="175" t="str">
        <f>IFERROR(IF(AH31,($AE31-$AF31)/LN(($AE31-AH$3)/($AF31-AH$3)),0),"")</f>
        <v/>
      </c>
      <c r="CQ31" s="175" t="str">
        <f>IFERROR(IF(AI31,($AE31-$AF31)/LN(($AE31-AI$3)/($AF31-AI$3)),0),"")</f>
        <v/>
      </c>
      <c r="CR31" s="175" t="str">
        <f>IFERROR(IF(AJ31,($AE31-$AF31)/LN(($AE31-AJ$3)/($AF31-AJ$3)),0),"")</f>
        <v/>
      </c>
      <c r="CS31" s="175" t="str">
        <f>IFERROR(IF(AK31,($AE31-$AF31)/LN(($AE31-AK$3)/($AF31-AK$3)),0),"")</f>
        <v/>
      </c>
      <c r="CT31" s="175" t="str">
        <f>IFERROR(IF(AL31,($AE31-$AF31)/LN(($AE31-AL$3)/($AF31-AL$3)),0),"")</f>
        <v/>
      </c>
      <c r="CU31" s="175" t="str">
        <f>IFERROR(IF(AM31,($AE31-$AF31)/LN(($AE31-AM$3)/($AF31-AM$3)),0),"")</f>
        <v/>
      </c>
      <c r="CV31" s="175" t="str">
        <f>IFERROR(IF(AN31,($AE31-$AF31)/LN(($AE31-AN$3)/($AF31-AN$3)),0),"")</f>
        <v/>
      </c>
      <c r="CW31" s="175" t="str">
        <f>IFERROR(IF(AO31,($AE31-$AF31)/LN(($AE31-AO$3)/($AF31-AO$3)),0),"")</f>
        <v/>
      </c>
      <c r="CX31" s="175" t="str">
        <f>IFERROR(IF(AP31,($AE31-$AF31)/LN(($AE31-AP$3)/($AF31-AP$3)),0),"")</f>
        <v/>
      </c>
      <c r="CY31" s="175" t="str">
        <f>IFERROR(IF(AQ31,($AE31-$AF31)/LN(($AE31-AQ$3)/($AF31-AQ$3)),0),"")</f>
        <v/>
      </c>
      <c r="CZ31" s="175" t="str">
        <f>IFERROR(IF(AR31,($AE31-$AF31)/LN(($AE31-AR$3)/($AF31-AR$3)),0),"")</f>
        <v/>
      </c>
      <c r="DA31" s="175" t="str">
        <f>IFERROR(IF(AS31,($AE31-$AF31)/LN(($AE31-AS$3)/($AF31-AS$3)),0),"")</f>
        <v/>
      </c>
      <c r="DB31" s="175" t="str">
        <f>IFERROR(IF(AT31,($AE31-$AF31)/LN(($AE31-AT$3)/($AF31-AT$3)),0),"")</f>
        <v/>
      </c>
      <c r="DC31" s="175" t="str">
        <f>IFERROR(IF(AU31,($AE31-$AF31)/LN(($AE31-AU$3)/($AF31-AU$3)),0),"")</f>
        <v/>
      </c>
      <c r="DD31" s="175"/>
      <c r="DE31" s="175" t="str">
        <f t="shared" si="24"/>
        <v/>
      </c>
      <c r="DF31" s="175" t="str">
        <f t="shared" si="71"/>
        <v/>
      </c>
      <c r="DG31" s="175" t="str">
        <f t="shared" si="72"/>
        <v/>
      </c>
      <c r="DH31" s="175" t="str">
        <f t="shared" si="73"/>
        <v/>
      </c>
      <c r="DI31" s="175" t="str">
        <f t="shared" si="74"/>
        <v/>
      </c>
      <c r="DJ31" s="175" t="str">
        <f t="shared" si="75"/>
        <v/>
      </c>
      <c r="DK31" s="175" t="str">
        <f t="shared" si="76"/>
        <v/>
      </c>
      <c r="DL31" s="175" t="str">
        <f t="shared" si="77"/>
        <v/>
      </c>
      <c r="DM31" s="175" t="str">
        <f t="shared" si="78"/>
        <v/>
      </c>
      <c r="DN31" s="175" t="str">
        <f t="shared" si="79"/>
        <v/>
      </c>
      <c r="DO31" s="175" t="str">
        <f t="shared" si="80"/>
        <v/>
      </c>
      <c r="DP31" s="175" t="str">
        <f t="shared" si="81"/>
        <v/>
      </c>
      <c r="DQ31" s="175" t="str">
        <f t="shared" si="82"/>
        <v/>
      </c>
      <c r="DR31" s="175" t="str">
        <f t="shared" si="83"/>
        <v/>
      </c>
      <c r="DS31" s="175"/>
      <c r="DT31" s="175" t="str">
        <f t="shared" si="39"/>
        <v/>
      </c>
      <c r="DU31" s="175" t="str">
        <f t="shared" si="84"/>
        <v/>
      </c>
      <c r="DV31" s="175" t="str">
        <f t="shared" si="85"/>
        <v/>
      </c>
      <c r="DW31" s="175" t="str">
        <f t="shared" si="86"/>
        <v/>
      </c>
      <c r="DX31" s="175" t="str">
        <f t="shared" si="87"/>
        <v/>
      </c>
      <c r="DY31" s="175" t="str">
        <f t="shared" si="88"/>
        <v/>
      </c>
      <c r="DZ31" s="175" t="str">
        <f t="shared" si="89"/>
        <v/>
      </c>
      <c r="EA31" s="175" t="str">
        <f t="shared" si="90"/>
        <v/>
      </c>
      <c r="EB31" s="175" t="str">
        <f t="shared" si="91"/>
        <v/>
      </c>
      <c r="EC31" s="175" t="str">
        <f t="shared" si="92"/>
        <v/>
      </c>
      <c r="ED31" s="175" t="str">
        <f t="shared" si="93"/>
        <v/>
      </c>
      <c r="EE31" s="175" t="str">
        <f t="shared" si="94"/>
        <v/>
      </c>
      <c r="EF31" s="175" t="str">
        <f t="shared" si="95"/>
        <v/>
      </c>
      <c r="EG31" s="175" t="str">
        <f t="shared" si="96"/>
        <v/>
      </c>
      <c r="EH31" s="175"/>
      <c r="EI31" s="127"/>
      <c r="EJ31" s="127"/>
      <c r="EK31" s="127"/>
      <c r="EL31" s="127"/>
      <c r="EM31" s="127"/>
      <c r="EN31" s="127"/>
      <c r="EO31" s="127"/>
    </row>
    <row r="32" spans="2:145" customFormat="1" ht="20.100000000000001" customHeight="1" thickBot="1" x14ac:dyDescent="0.35">
      <c r="B32" s="193"/>
      <c r="C32" s="194">
        <v>28</v>
      </c>
      <c r="D32" s="126"/>
      <c r="E32" s="130"/>
      <c r="F32" s="129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75"/>
      <c r="CA32" s="175"/>
      <c r="CB32" s="175"/>
      <c r="CC32" s="175"/>
      <c r="CD32" s="175"/>
      <c r="CE32" s="175"/>
      <c r="CF32" s="175"/>
      <c r="CG32" s="175"/>
      <c r="CH32" s="175"/>
      <c r="CI32" s="175"/>
      <c r="CJ32" s="175"/>
      <c r="CK32" s="175"/>
      <c r="CL32" s="175"/>
      <c r="CM32" s="175"/>
      <c r="CN32" s="175"/>
      <c r="CO32" s="175"/>
      <c r="CP32" s="175"/>
      <c r="CQ32" s="175"/>
      <c r="CR32" s="175"/>
      <c r="CS32" s="175"/>
      <c r="CT32" s="175"/>
      <c r="CU32" s="175"/>
      <c r="CV32" s="175"/>
      <c r="CW32" s="175"/>
      <c r="CX32" s="175"/>
      <c r="CY32" s="175"/>
      <c r="CZ32" s="175"/>
      <c r="DA32" s="175"/>
      <c r="DB32" s="175"/>
      <c r="DC32" s="175"/>
      <c r="DD32" s="175"/>
      <c r="DE32" s="175"/>
      <c r="DF32" s="175"/>
      <c r="DG32" s="175"/>
      <c r="DH32" s="175"/>
      <c r="DI32" s="175"/>
      <c r="DJ32" s="175"/>
      <c r="DK32" s="175"/>
      <c r="DL32" s="175"/>
      <c r="DM32" s="175"/>
      <c r="DN32" s="175"/>
      <c r="DO32" s="175"/>
      <c r="DP32" s="175"/>
      <c r="DQ32" s="175"/>
      <c r="DR32" s="175"/>
      <c r="DS32" s="175"/>
      <c r="DT32" s="175"/>
      <c r="DU32" s="175"/>
      <c r="DV32" s="175"/>
      <c r="DW32" s="175"/>
      <c r="DX32" s="175"/>
      <c r="DY32" s="175"/>
      <c r="DZ32" s="175"/>
      <c r="EA32" s="175"/>
      <c r="EB32" s="175"/>
      <c r="EC32" s="175"/>
      <c r="ED32" s="175"/>
      <c r="EE32" s="175"/>
      <c r="EF32" s="175"/>
      <c r="EG32" s="175"/>
      <c r="EH32" s="175"/>
      <c r="EI32" s="127"/>
      <c r="EJ32" s="127"/>
      <c r="EK32" s="127"/>
      <c r="EL32" s="127"/>
      <c r="EM32" s="127"/>
      <c r="EN32" s="127"/>
      <c r="EO32" s="127"/>
    </row>
    <row r="33" spans="5:145" customFormat="1" ht="20.100000000000001" customHeight="1" x14ac:dyDescent="0.3">
      <c r="E33" s="130"/>
      <c r="F33" s="129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75"/>
      <c r="CA33" s="175"/>
      <c r="CB33" s="175"/>
      <c r="CC33" s="175"/>
      <c r="CD33" s="175"/>
      <c r="CE33" s="175"/>
      <c r="CF33" s="175"/>
      <c r="CG33" s="175"/>
      <c r="CH33" s="175"/>
      <c r="CI33" s="175"/>
      <c r="CJ33" s="175"/>
      <c r="CK33" s="175"/>
      <c r="CL33" s="175"/>
      <c r="CM33" s="175"/>
      <c r="CN33" s="175"/>
      <c r="CO33" s="175"/>
      <c r="CP33" s="175"/>
      <c r="CQ33" s="175"/>
      <c r="CR33" s="175"/>
      <c r="CS33" s="175"/>
      <c r="CT33" s="175"/>
      <c r="CU33" s="175"/>
      <c r="CV33" s="175"/>
      <c r="CW33" s="175"/>
      <c r="CX33" s="175"/>
      <c r="CY33" s="175"/>
      <c r="CZ33" s="175"/>
      <c r="DA33" s="175"/>
      <c r="DB33" s="175"/>
      <c r="DC33" s="175"/>
      <c r="DD33" s="175"/>
      <c r="DE33" s="175"/>
      <c r="DF33" s="175"/>
      <c r="DG33" s="175"/>
      <c r="DH33" s="175"/>
      <c r="DI33" s="175"/>
      <c r="DJ33" s="175"/>
      <c r="DK33" s="175"/>
      <c r="DL33" s="175"/>
      <c r="DM33" s="175"/>
      <c r="DN33" s="175"/>
      <c r="DO33" s="175"/>
      <c r="DP33" s="175"/>
      <c r="DQ33" s="175"/>
      <c r="DR33" s="175"/>
      <c r="DS33" s="175"/>
      <c r="DT33" s="175"/>
      <c r="DU33" s="175"/>
      <c r="DV33" s="175"/>
      <c r="DW33" s="175"/>
      <c r="DX33" s="175"/>
      <c r="DY33" s="175"/>
      <c r="DZ33" s="175"/>
      <c r="EA33" s="175"/>
      <c r="EB33" s="175"/>
      <c r="EC33" s="175"/>
      <c r="ED33" s="175"/>
      <c r="EE33" s="175"/>
      <c r="EF33" s="175"/>
      <c r="EG33" s="175"/>
      <c r="EH33" s="175"/>
      <c r="EI33" s="127"/>
      <c r="EJ33" s="127"/>
      <c r="EK33" s="127"/>
      <c r="EL33" s="127"/>
      <c r="EM33" s="127"/>
      <c r="EN33" s="127"/>
      <c r="EO33" s="127"/>
    </row>
    <row r="34" spans="5:145" customFormat="1" ht="20.100000000000001" customHeight="1" x14ac:dyDescent="0.3">
      <c r="E34" s="130"/>
      <c r="F34" s="129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75"/>
      <c r="CA34" s="175"/>
      <c r="CB34" s="175"/>
      <c r="CC34" s="175"/>
      <c r="CD34" s="175"/>
      <c r="CE34" s="175"/>
      <c r="CF34" s="175"/>
      <c r="CG34" s="175"/>
      <c r="CH34" s="175"/>
      <c r="CI34" s="175"/>
      <c r="CJ34" s="175"/>
      <c r="CK34" s="175"/>
      <c r="CL34" s="175"/>
      <c r="CM34" s="175"/>
      <c r="CN34" s="175"/>
      <c r="CO34" s="175"/>
      <c r="CP34" s="175"/>
      <c r="CQ34" s="175"/>
      <c r="CR34" s="175"/>
      <c r="CS34" s="175"/>
      <c r="CT34" s="175"/>
      <c r="CU34" s="175"/>
      <c r="CV34" s="175"/>
      <c r="CW34" s="175"/>
      <c r="CX34" s="175"/>
      <c r="CY34" s="175"/>
      <c r="CZ34" s="175"/>
      <c r="DA34" s="175"/>
      <c r="DB34" s="175"/>
      <c r="DC34" s="175"/>
      <c r="DD34" s="175"/>
      <c r="DE34" s="175"/>
      <c r="DF34" s="175"/>
      <c r="DG34" s="175"/>
      <c r="DH34" s="175"/>
      <c r="DI34" s="175"/>
      <c r="DJ34" s="175"/>
      <c r="DK34" s="175"/>
      <c r="DL34" s="175"/>
      <c r="DM34" s="175"/>
      <c r="DN34" s="175"/>
      <c r="DO34" s="175"/>
      <c r="DP34" s="175"/>
      <c r="DQ34" s="175"/>
      <c r="DR34" s="175"/>
      <c r="DS34" s="175"/>
      <c r="DT34" s="175"/>
      <c r="DU34" s="175"/>
      <c r="DV34" s="175"/>
      <c r="DW34" s="175"/>
      <c r="DX34" s="175"/>
      <c r="DY34" s="175"/>
      <c r="DZ34" s="175"/>
      <c r="EA34" s="175"/>
      <c r="EB34" s="175"/>
      <c r="EC34" s="175"/>
      <c r="ED34" s="175"/>
      <c r="EE34" s="175"/>
      <c r="EF34" s="175"/>
      <c r="EG34" s="175"/>
      <c r="EH34" s="175"/>
      <c r="EI34" s="127"/>
      <c r="EJ34" s="127"/>
      <c r="EK34" s="127"/>
      <c r="EL34" s="127"/>
      <c r="EM34" s="127"/>
      <c r="EN34" s="127"/>
      <c r="EO34" s="127"/>
    </row>
    <row r="35" spans="5:145" customFormat="1" ht="20.100000000000001" customHeight="1" x14ac:dyDescent="0.3">
      <c r="E35" s="130"/>
      <c r="F35" s="129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W35" s="175"/>
      <c r="X35" s="175"/>
      <c r="Y35" s="175"/>
      <c r="Z35" s="175"/>
      <c r="AA35" s="175"/>
      <c r="AB35" s="175"/>
      <c r="AC35" s="175"/>
      <c r="AD35" s="175" t="s">
        <v>12</v>
      </c>
      <c r="AE35" s="175" t="s">
        <v>11</v>
      </c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75"/>
      <c r="CA35" s="175"/>
      <c r="CB35" s="175"/>
      <c r="CC35" s="175"/>
      <c r="CD35" s="175"/>
      <c r="CE35" s="175"/>
      <c r="CF35" s="175"/>
      <c r="CG35" s="175"/>
      <c r="CH35" s="175"/>
      <c r="CI35" s="175"/>
      <c r="CJ35" s="175"/>
      <c r="CK35" s="175"/>
      <c r="CL35" s="175"/>
      <c r="CM35" s="175"/>
      <c r="CN35" s="175"/>
      <c r="CO35" s="175"/>
      <c r="CP35" s="175"/>
      <c r="CQ35" s="175"/>
      <c r="CR35" s="175"/>
      <c r="CS35" s="175"/>
      <c r="CT35" s="175"/>
      <c r="CU35" s="175"/>
      <c r="CV35" s="175"/>
      <c r="CW35" s="175"/>
      <c r="CX35" s="175"/>
      <c r="CY35" s="175"/>
      <c r="CZ35" s="175"/>
      <c r="DA35" s="175"/>
      <c r="DB35" s="175"/>
      <c r="DC35" s="175"/>
      <c r="DD35" s="175"/>
      <c r="DE35" s="175"/>
      <c r="DF35" s="175"/>
      <c r="DG35" s="175"/>
      <c r="DH35" s="175"/>
      <c r="DI35" s="175"/>
      <c r="DJ35" s="175"/>
      <c r="DK35" s="175"/>
      <c r="DL35" s="175"/>
      <c r="DM35" s="175"/>
      <c r="DN35" s="175"/>
      <c r="DO35" s="175"/>
      <c r="DP35" s="175"/>
      <c r="DQ35" s="175"/>
      <c r="DR35" s="175"/>
      <c r="DS35" s="175"/>
      <c r="DT35" s="175"/>
      <c r="DU35" s="175"/>
      <c r="DV35" s="175"/>
      <c r="DW35" s="175"/>
      <c r="DX35" s="175"/>
      <c r="DY35" s="175"/>
      <c r="DZ35" s="175"/>
      <c r="EA35" s="175"/>
      <c r="EB35" s="175"/>
      <c r="EC35" s="175"/>
      <c r="ED35" s="175"/>
      <c r="EE35" s="175"/>
      <c r="EF35" s="175"/>
      <c r="EG35" s="175"/>
      <c r="EH35" s="175"/>
      <c r="EI35" s="127"/>
      <c r="EJ35" s="127"/>
      <c r="EK35" s="127"/>
      <c r="EL35" s="127"/>
      <c r="EM35" s="127"/>
      <c r="EN35" s="127"/>
      <c r="EO35" s="127"/>
    </row>
    <row r="36" spans="5:145" customFormat="1" ht="20.100000000000001" customHeight="1" x14ac:dyDescent="0.3">
      <c r="E36" s="130"/>
      <c r="F36" s="129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W36" s="175"/>
      <c r="X36" s="175"/>
      <c r="Y36" s="175"/>
      <c r="Z36" s="175"/>
      <c r="AA36" s="175"/>
      <c r="AB36" s="175"/>
      <c r="AC36" s="175" t="s">
        <v>147</v>
      </c>
      <c r="AD36" s="175">
        <f>'Ajánlat részletek'!B16</f>
        <v>22</v>
      </c>
      <c r="AE36" s="175">
        <f>'Ajánlat részletek'!B15</f>
        <v>26</v>
      </c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75"/>
      <c r="DI36" s="175"/>
      <c r="DJ36" s="175"/>
      <c r="DK36" s="175"/>
      <c r="DL36" s="175"/>
      <c r="DM36" s="175"/>
      <c r="DN36" s="175"/>
      <c r="DO36" s="175"/>
      <c r="DP36" s="175"/>
      <c r="DQ36" s="175"/>
      <c r="DR36" s="175"/>
      <c r="DS36" s="175"/>
      <c r="DT36" s="175"/>
      <c r="DU36" s="175"/>
      <c r="DV36" s="175"/>
      <c r="DW36" s="175"/>
      <c r="DX36" s="175"/>
      <c r="DY36" s="175"/>
      <c r="DZ36" s="175"/>
      <c r="EA36" s="175"/>
      <c r="EB36" s="175"/>
      <c r="EC36" s="175"/>
      <c r="ED36" s="175"/>
      <c r="EE36" s="175"/>
      <c r="EF36" s="175"/>
      <c r="EG36" s="175"/>
      <c r="EH36" s="175"/>
      <c r="EI36" s="127"/>
      <c r="EJ36" s="127"/>
      <c r="EK36" s="127"/>
      <c r="EL36" s="127"/>
      <c r="EM36" s="127"/>
      <c r="EN36" s="127"/>
      <c r="EO36" s="127"/>
    </row>
    <row r="37" spans="5:145" customFormat="1" ht="20.100000000000001" customHeight="1" x14ac:dyDescent="0.3">
      <c r="E37" s="130"/>
      <c r="F37" s="129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W37" s="175"/>
      <c r="X37" s="175"/>
      <c r="Y37" s="175"/>
      <c r="Z37" s="175"/>
      <c r="AA37" s="175"/>
      <c r="AB37" s="175"/>
      <c r="AC37" s="175" t="s">
        <v>144</v>
      </c>
      <c r="AD37" s="175">
        <f>'Ajánlat részletek'!C16</f>
        <v>35</v>
      </c>
      <c r="AE37" s="175">
        <f>'Ajánlat részletek'!C15</f>
        <v>18</v>
      </c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75"/>
      <c r="CA37" s="175"/>
      <c r="CB37" s="175"/>
      <c r="CC37" s="175"/>
      <c r="CD37" s="175"/>
      <c r="CE37" s="175"/>
      <c r="CF37" s="175"/>
      <c r="CG37" s="175"/>
      <c r="CH37" s="175"/>
      <c r="CI37" s="175"/>
      <c r="CJ37" s="175"/>
      <c r="CK37" s="175"/>
      <c r="CL37" s="175"/>
      <c r="CM37" s="175"/>
      <c r="CN37" s="175"/>
      <c r="CO37" s="175"/>
      <c r="CP37" s="175"/>
      <c r="CQ37" s="175"/>
      <c r="CR37" s="175"/>
      <c r="CS37" s="175"/>
      <c r="CT37" s="175"/>
      <c r="CU37" s="175"/>
      <c r="CV37" s="175"/>
      <c r="CW37" s="175"/>
      <c r="CX37" s="175"/>
      <c r="CY37" s="175"/>
      <c r="CZ37" s="175"/>
      <c r="DA37" s="175"/>
      <c r="DB37" s="175"/>
      <c r="DC37" s="175"/>
      <c r="DD37" s="175"/>
      <c r="DE37" s="175"/>
      <c r="DF37" s="175"/>
      <c r="DG37" s="175"/>
      <c r="DH37" s="175"/>
      <c r="DI37" s="175"/>
      <c r="DJ37" s="175"/>
      <c r="DK37" s="175"/>
      <c r="DL37" s="175"/>
      <c r="DM37" s="175"/>
      <c r="DN37" s="175"/>
      <c r="DO37" s="175"/>
      <c r="DP37" s="175"/>
      <c r="DQ37" s="175"/>
      <c r="DR37" s="175"/>
      <c r="DS37" s="175"/>
      <c r="DT37" s="175"/>
      <c r="DU37" s="175"/>
      <c r="DV37" s="175"/>
      <c r="DW37" s="175"/>
      <c r="DX37" s="175"/>
      <c r="DY37" s="175"/>
      <c r="DZ37" s="175"/>
      <c r="EA37" s="175"/>
      <c r="EB37" s="175"/>
      <c r="EC37" s="175"/>
      <c r="ED37" s="175"/>
      <c r="EE37" s="175"/>
      <c r="EF37" s="175"/>
      <c r="EG37" s="175"/>
      <c r="EH37" s="175"/>
      <c r="EI37" s="127"/>
      <c r="EJ37" s="127"/>
      <c r="EK37" s="127"/>
      <c r="EL37" s="127"/>
      <c r="EM37" s="127"/>
      <c r="EN37" s="127"/>
      <c r="EO37" s="127"/>
    </row>
    <row r="38" spans="5:145" customFormat="1" ht="20.100000000000001" customHeight="1" x14ac:dyDescent="0.3">
      <c r="E38" s="130"/>
      <c r="F38" s="129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W38" s="175"/>
      <c r="X38" s="175"/>
      <c r="Y38" s="175"/>
      <c r="Z38" s="175"/>
      <c r="AA38" s="175"/>
      <c r="AB38" s="175"/>
      <c r="AC38" s="175" t="s">
        <v>146</v>
      </c>
      <c r="AD38" s="175">
        <f>'Ajánlat részletek'!D16</f>
        <v>5</v>
      </c>
      <c r="AE38" s="175">
        <f>'Ajánlat részletek'!D15</f>
        <v>3</v>
      </c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175"/>
      <c r="BY38" s="175"/>
      <c r="BZ38" s="175"/>
      <c r="CA38" s="175"/>
      <c r="CB38" s="175"/>
      <c r="CC38" s="175"/>
      <c r="CD38" s="175"/>
      <c r="CE38" s="175"/>
      <c r="CF38" s="175"/>
      <c r="CG38" s="175"/>
      <c r="CH38" s="175"/>
      <c r="CI38" s="175"/>
      <c r="CJ38" s="175"/>
      <c r="CK38" s="175"/>
      <c r="CL38" s="175"/>
      <c r="CM38" s="175"/>
      <c r="CN38" s="175"/>
      <c r="CO38" s="175"/>
      <c r="CP38" s="175"/>
      <c r="CQ38" s="175"/>
      <c r="CR38" s="175"/>
      <c r="CS38" s="175"/>
      <c r="CT38" s="175"/>
      <c r="CU38" s="175"/>
      <c r="CV38" s="175"/>
      <c r="CW38" s="175"/>
      <c r="CX38" s="175"/>
      <c r="CY38" s="175"/>
      <c r="CZ38" s="175"/>
      <c r="DA38" s="175"/>
      <c r="DB38" s="175"/>
      <c r="DC38" s="175"/>
      <c r="DD38" s="175"/>
      <c r="DE38" s="175"/>
      <c r="DF38" s="175"/>
      <c r="DG38" s="175"/>
      <c r="DH38" s="175"/>
      <c r="DI38" s="175"/>
      <c r="DJ38" s="175"/>
      <c r="DK38" s="175"/>
      <c r="DL38" s="175"/>
      <c r="DM38" s="175"/>
      <c r="DN38" s="175"/>
      <c r="DO38" s="175"/>
      <c r="DP38" s="175"/>
      <c r="DQ38" s="175"/>
      <c r="DR38" s="175"/>
      <c r="DS38" s="175"/>
      <c r="DT38" s="175"/>
      <c r="DU38" s="175"/>
      <c r="DV38" s="175"/>
      <c r="DW38" s="175"/>
      <c r="DX38" s="175"/>
      <c r="DY38" s="175"/>
      <c r="DZ38" s="175"/>
      <c r="EA38" s="175"/>
      <c r="EB38" s="175"/>
      <c r="EC38" s="175"/>
      <c r="ED38" s="175"/>
      <c r="EE38" s="175"/>
      <c r="EF38" s="175"/>
      <c r="EG38" s="175"/>
      <c r="EH38" s="175"/>
      <c r="EI38" s="127"/>
      <c r="EJ38" s="127"/>
      <c r="EK38" s="127"/>
      <c r="EL38" s="127"/>
      <c r="EM38" s="127"/>
      <c r="EN38" s="127"/>
      <c r="EO38" s="127"/>
    </row>
    <row r="39" spans="5:145" ht="20.100000000000001" customHeight="1" x14ac:dyDescent="0.3">
      <c r="W39" s="175"/>
      <c r="X39" s="175"/>
      <c r="Y39" s="175"/>
      <c r="Z39" s="175"/>
      <c r="AA39" s="175"/>
      <c r="AB39" s="175"/>
      <c r="AC39" s="175" t="s">
        <v>145</v>
      </c>
      <c r="AD39" s="175">
        <f>AD37-AD38</f>
        <v>30</v>
      </c>
      <c r="AE39" s="175">
        <f>AE37+AE38</f>
        <v>21</v>
      </c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75"/>
      <c r="CA39" s="175"/>
      <c r="CB39" s="175"/>
      <c r="CC39" s="175"/>
      <c r="CD39" s="175"/>
      <c r="CE39" s="175"/>
      <c r="CF39" s="175"/>
      <c r="CG39" s="175"/>
      <c r="CH39" s="175"/>
      <c r="CI39" s="175"/>
      <c r="CJ39" s="175"/>
      <c r="CK39" s="175"/>
      <c r="CL39" s="175"/>
      <c r="CM39" s="175"/>
      <c r="CN39" s="175"/>
      <c r="CO39" s="175"/>
      <c r="CP39" s="175"/>
      <c r="CQ39" s="175"/>
      <c r="CR39" s="175"/>
      <c r="CS39" s="175"/>
      <c r="CT39" s="175"/>
      <c r="CU39" s="175"/>
      <c r="CV39" s="175"/>
      <c r="CW39" s="175"/>
      <c r="CX39" s="175"/>
      <c r="CY39" s="175"/>
      <c r="CZ39" s="175"/>
      <c r="DA39" s="175"/>
      <c r="DB39" s="175"/>
      <c r="DC39" s="175"/>
      <c r="DD39" s="175"/>
      <c r="DE39" s="175"/>
      <c r="DF39" s="175"/>
      <c r="DG39" s="175"/>
      <c r="DH39" s="175"/>
      <c r="DI39" s="175"/>
      <c r="DJ39" s="175"/>
      <c r="DK39" s="175"/>
      <c r="DL39" s="175"/>
      <c r="DM39" s="175"/>
      <c r="DN39" s="175"/>
      <c r="DO39" s="175"/>
      <c r="DP39" s="175"/>
      <c r="DQ39" s="175"/>
      <c r="DR39" s="175"/>
      <c r="DS39" s="175"/>
      <c r="DT39" s="175"/>
      <c r="DU39" s="175"/>
      <c r="DV39" s="175"/>
      <c r="DW39" s="175"/>
      <c r="DX39" s="175"/>
      <c r="DY39" s="175"/>
      <c r="DZ39" s="175"/>
      <c r="EA39" s="175"/>
      <c r="EB39" s="175"/>
      <c r="EC39" s="175"/>
      <c r="ED39" s="175"/>
      <c r="EE39" s="175"/>
      <c r="EF39" s="175"/>
      <c r="EG39" s="175"/>
      <c r="EH39" s="175"/>
    </row>
    <row r="40" spans="5:145" ht="20.100000000000001" customHeight="1" x14ac:dyDescent="0.3">
      <c r="W40" s="175"/>
      <c r="X40" s="175"/>
      <c r="Y40" s="175"/>
      <c r="Z40" s="175"/>
      <c r="AA40" s="175"/>
      <c r="AB40" s="175"/>
      <c r="AC40" s="175" t="s">
        <v>148</v>
      </c>
      <c r="AD40" s="175" t="b">
        <f>AND(AD37&gt;AD36,AD39&gt;AD36)</f>
        <v>1</v>
      </c>
      <c r="AE40" s="175" t="b">
        <f>AND(AE37&lt;AE36,AE39&lt;AE36)</f>
        <v>1</v>
      </c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5"/>
      <c r="BZ40" s="175"/>
      <c r="CA40" s="175"/>
      <c r="CB40" s="175"/>
      <c r="CC40" s="175"/>
      <c r="CD40" s="175"/>
      <c r="CE40" s="175"/>
      <c r="CF40" s="175"/>
      <c r="CG40" s="175"/>
      <c r="CH40" s="175"/>
      <c r="CI40" s="175"/>
      <c r="CJ40" s="175"/>
      <c r="CK40" s="175"/>
      <c r="CL40" s="175"/>
      <c r="CM40" s="175"/>
      <c r="CN40" s="175"/>
      <c r="CO40" s="175"/>
      <c r="CP40" s="175"/>
      <c r="CQ40" s="175"/>
      <c r="CR40" s="175"/>
      <c r="CS40" s="175"/>
      <c r="CT40" s="175"/>
      <c r="CU40" s="175"/>
      <c r="CV40" s="175"/>
      <c r="CW40" s="175"/>
      <c r="CX40" s="175"/>
      <c r="CY40" s="175"/>
      <c r="CZ40" s="175"/>
      <c r="DA40" s="175"/>
      <c r="DB40" s="175"/>
      <c r="DC40" s="175"/>
      <c r="DD40" s="175"/>
      <c r="DE40" s="175"/>
      <c r="DF40" s="175"/>
      <c r="DG40" s="175"/>
      <c r="DH40" s="175"/>
      <c r="DI40" s="175"/>
      <c r="DJ40" s="175"/>
      <c r="DK40" s="175"/>
      <c r="DL40" s="175"/>
      <c r="DM40" s="175"/>
      <c r="DN40" s="175"/>
      <c r="DO40" s="175"/>
      <c r="DP40" s="175"/>
      <c r="DQ40" s="175"/>
      <c r="DR40" s="175"/>
      <c r="DS40" s="175"/>
      <c r="DT40" s="175"/>
      <c r="DU40" s="175"/>
      <c r="DV40" s="175"/>
      <c r="DW40" s="175"/>
      <c r="DX40" s="175"/>
      <c r="DY40" s="175"/>
      <c r="DZ40" s="175"/>
      <c r="EA40" s="175"/>
      <c r="EB40" s="175"/>
      <c r="EC40" s="175"/>
      <c r="ED40" s="175"/>
      <c r="EE40" s="175"/>
      <c r="EF40" s="175"/>
      <c r="EG40" s="175"/>
      <c r="EH40" s="175"/>
    </row>
    <row r="41" spans="5:145" ht="20.100000000000001" customHeight="1" x14ac:dyDescent="0.3">
      <c r="W41" s="175"/>
      <c r="X41" s="175"/>
      <c r="Y41" s="175"/>
      <c r="Z41" s="175"/>
      <c r="AA41" s="175"/>
      <c r="AB41" s="175"/>
      <c r="AC41" s="175" t="s">
        <v>150</v>
      </c>
      <c r="AD41" s="175">
        <f>AVERAGE(AD37,AD39)</f>
        <v>32.5</v>
      </c>
      <c r="AE41" s="175">
        <f>AVERAGE(AE37,AE39)</f>
        <v>19.5</v>
      </c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75"/>
      <c r="CA41" s="175"/>
      <c r="CB41" s="175"/>
      <c r="CC41" s="175"/>
      <c r="CD41" s="175"/>
      <c r="CE41" s="175"/>
      <c r="CF41" s="175"/>
      <c r="CG41" s="175"/>
      <c r="CH41" s="175"/>
      <c r="CI41" s="175"/>
      <c r="CJ41" s="175"/>
      <c r="CK41" s="175"/>
      <c r="CL41" s="175"/>
      <c r="CM41" s="175"/>
      <c r="CN41" s="175"/>
      <c r="CO41" s="175"/>
      <c r="CP41" s="175"/>
      <c r="CQ41" s="175"/>
      <c r="CR41" s="175"/>
      <c r="CS41" s="175"/>
      <c r="CT41" s="175"/>
      <c r="CU41" s="175"/>
      <c r="CV41" s="175"/>
      <c r="CW41" s="175"/>
      <c r="CX41" s="175"/>
      <c r="CY41" s="175"/>
      <c r="CZ41" s="175"/>
      <c r="DA41" s="175"/>
      <c r="DB41" s="175"/>
      <c r="DC41" s="175"/>
      <c r="DD41" s="175"/>
      <c r="DE41" s="175"/>
      <c r="DF41" s="175"/>
      <c r="DG41" s="175"/>
      <c r="DH41" s="175"/>
      <c r="DI41" s="175"/>
      <c r="DJ41" s="175"/>
      <c r="DK41" s="175"/>
      <c r="DL41" s="175"/>
      <c r="DM41" s="175"/>
      <c r="DN41" s="175"/>
      <c r="DO41" s="175"/>
      <c r="DP41" s="175"/>
      <c r="DQ41" s="175"/>
      <c r="DR41" s="175"/>
      <c r="DS41" s="175"/>
      <c r="DT41" s="175"/>
      <c r="DU41" s="175"/>
      <c r="DV41" s="175"/>
      <c r="DW41" s="175"/>
      <c r="DX41" s="175"/>
      <c r="DY41" s="175"/>
      <c r="DZ41" s="175"/>
      <c r="EA41" s="175"/>
      <c r="EB41" s="175"/>
      <c r="EC41" s="175"/>
      <c r="ED41" s="175"/>
      <c r="EE41" s="175"/>
      <c r="EF41" s="175"/>
      <c r="EG41" s="175"/>
      <c r="EH41" s="175"/>
    </row>
    <row r="42" spans="5:145" ht="20.100000000000001" customHeight="1" x14ac:dyDescent="0.3">
      <c r="W42" s="175"/>
      <c r="X42" s="175"/>
      <c r="Y42" s="175"/>
      <c r="Z42" s="175"/>
      <c r="AA42" s="175"/>
      <c r="AB42" s="175"/>
      <c r="AC42" s="175" t="s">
        <v>151</v>
      </c>
      <c r="AD42" s="175">
        <f>(AD41-AD36)/4.277</f>
        <v>2.4549918166939442</v>
      </c>
      <c r="AE42" s="175">
        <f>ABS((AE41-AE36)/3.0519)</f>
        <v>2.1298207673908061</v>
      </c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75"/>
      <c r="CA42" s="175"/>
      <c r="CB42" s="175"/>
      <c r="CC42" s="175"/>
      <c r="CD42" s="175"/>
      <c r="CE42" s="175"/>
      <c r="CF42" s="175"/>
      <c r="CG42" s="175"/>
      <c r="CH42" s="175"/>
      <c r="CI42" s="175"/>
      <c r="CJ42" s="175"/>
      <c r="CK42" s="175"/>
      <c r="CL42" s="175"/>
      <c r="CM42" s="175"/>
      <c r="CN42" s="175"/>
      <c r="CO42" s="175"/>
      <c r="CP42" s="175"/>
      <c r="CQ42" s="175"/>
      <c r="CR42" s="175"/>
      <c r="CS42" s="175"/>
      <c r="CT42" s="175"/>
      <c r="CU42" s="175"/>
      <c r="CV42" s="175"/>
      <c r="CW42" s="175"/>
      <c r="CX42" s="175"/>
      <c r="CY42" s="175"/>
      <c r="CZ42" s="175"/>
      <c r="DA42" s="175"/>
      <c r="DB42" s="175"/>
      <c r="DC42" s="175"/>
      <c r="DD42" s="175"/>
      <c r="DE42" s="175"/>
      <c r="DF42" s="175"/>
      <c r="DG42" s="175"/>
      <c r="DH42" s="175"/>
      <c r="DI42" s="175"/>
      <c r="DJ42" s="175"/>
      <c r="DK42" s="175"/>
      <c r="DL42" s="175"/>
      <c r="DM42" s="175"/>
      <c r="DN42" s="175"/>
      <c r="DO42" s="175"/>
      <c r="DP42" s="175"/>
      <c r="DQ42" s="175"/>
      <c r="DR42" s="175"/>
      <c r="DS42" s="175"/>
      <c r="DT42" s="175"/>
      <c r="DU42" s="175"/>
      <c r="DV42" s="175"/>
      <c r="DW42" s="175"/>
      <c r="DX42" s="175"/>
      <c r="DY42" s="175"/>
      <c r="DZ42" s="175"/>
      <c r="EA42" s="175"/>
      <c r="EB42" s="175"/>
      <c r="EC42" s="175"/>
      <c r="ED42" s="175"/>
      <c r="EE42" s="175"/>
      <c r="EF42" s="175"/>
      <c r="EG42" s="175"/>
      <c r="EH42" s="175"/>
    </row>
    <row r="43" spans="5:145" ht="20.100000000000001" customHeight="1" x14ac:dyDescent="0.3">
      <c r="W43" s="175"/>
      <c r="X43" s="175"/>
      <c r="Y43" s="175"/>
      <c r="Z43" s="175"/>
      <c r="AA43" s="175"/>
      <c r="AB43" s="175"/>
      <c r="AC43" s="175" t="s">
        <v>152</v>
      </c>
      <c r="AD43" s="175">
        <f>AD41-0.2805*AD42</f>
        <v>31.811374795417347</v>
      </c>
      <c r="AE43" s="175">
        <f>AE41-0.2805*AE42</f>
        <v>18.90258527474688</v>
      </c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75"/>
      <c r="CA43" s="175"/>
      <c r="CB43" s="175"/>
      <c r="CC43" s="175"/>
      <c r="CD43" s="175"/>
      <c r="CE43" s="175"/>
      <c r="CF43" s="175"/>
      <c r="CG43" s="175"/>
      <c r="CH43" s="175"/>
      <c r="CI43" s="175"/>
      <c r="CJ43" s="175"/>
      <c r="CK43" s="175"/>
      <c r="CL43" s="175"/>
      <c r="CM43" s="175"/>
      <c r="CN43" s="175"/>
      <c r="CO43" s="175"/>
      <c r="CP43" s="175"/>
      <c r="CQ43" s="175"/>
      <c r="CR43" s="175"/>
      <c r="CS43" s="175"/>
      <c r="CT43" s="175"/>
      <c r="CU43" s="175"/>
      <c r="CV43" s="175"/>
      <c r="CW43" s="175"/>
      <c r="CX43" s="175"/>
      <c r="CY43" s="175"/>
      <c r="CZ43" s="175"/>
      <c r="DA43" s="175"/>
      <c r="DB43" s="175"/>
      <c r="DC43" s="175"/>
      <c r="DD43" s="175"/>
      <c r="DE43" s="175"/>
      <c r="DF43" s="175"/>
      <c r="DG43" s="175"/>
      <c r="DH43" s="175"/>
      <c r="DI43" s="175"/>
      <c r="DJ43" s="175"/>
      <c r="DK43" s="175"/>
      <c r="DL43" s="175"/>
      <c r="DM43" s="175"/>
      <c r="DN43" s="175"/>
      <c r="DO43" s="175"/>
      <c r="DP43" s="175"/>
      <c r="DQ43" s="175"/>
      <c r="DR43" s="175"/>
      <c r="DS43" s="175"/>
      <c r="DT43" s="175"/>
      <c r="DU43" s="175"/>
      <c r="DV43" s="175"/>
      <c r="DW43" s="175"/>
      <c r="DX43" s="175"/>
      <c r="DY43" s="175"/>
      <c r="DZ43" s="175"/>
      <c r="EA43" s="175"/>
      <c r="EB43" s="175"/>
      <c r="EC43" s="175"/>
      <c r="ED43" s="175"/>
      <c r="EE43" s="175"/>
      <c r="EF43" s="175"/>
      <c r="EG43" s="175"/>
      <c r="EH43" s="175"/>
    </row>
    <row r="44" spans="5:145" ht="20.100000000000001" customHeight="1" x14ac:dyDescent="0.3">
      <c r="W44" s="175"/>
      <c r="X44" s="175"/>
      <c r="Y44" s="175"/>
      <c r="Z44" s="175"/>
      <c r="AA44" s="175"/>
      <c r="AB44" s="175"/>
      <c r="AC44" s="175" t="s">
        <v>153</v>
      </c>
      <c r="AD44" s="175">
        <f>AD36+(AD43-AD36)*0.976464630580875</f>
        <v>31.580460465097708</v>
      </c>
      <c r="AE44" s="175">
        <f>AE36+(AE43-AE36)*0.976464630580875</f>
        <v>19.069625552226448</v>
      </c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75"/>
      <c r="CA44" s="175"/>
      <c r="CB44" s="175"/>
      <c r="CC44" s="175"/>
      <c r="CD44" s="175"/>
      <c r="CE44" s="175"/>
      <c r="CF44" s="175"/>
      <c r="CG44" s="175"/>
      <c r="CH44" s="175"/>
      <c r="CI44" s="175"/>
      <c r="CJ44" s="175"/>
      <c r="CK44" s="175"/>
      <c r="CL44" s="175"/>
      <c r="CM44" s="175"/>
      <c r="CN44" s="175"/>
      <c r="CO44" s="175"/>
      <c r="CP44" s="175"/>
      <c r="CQ44" s="175"/>
      <c r="CR44" s="175"/>
      <c r="CS44" s="175"/>
      <c r="CT44" s="175"/>
      <c r="CU44" s="175"/>
      <c r="CV44" s="175"/>
      <c r="CW44" s="175"/>
      <c r="CX44" s="175"/>
      <c r="CY44" s="175"/>
      <c r="CZ44" s="175"/>
      <c r="DA44" s="175"/>
      <c r="DB44" s="175"/>
      <c r="DC44" s="175"/>
      <c r="DD44" s="175"/>
      <c r="DE44" s="175"/>
      <c r="DF44" s="175"/>
      <c r="DG44" s="175"/>
      <c r="DH44" s="175"/>
      <c r="DI44" s="175"/>
      <c r="DJ44" s="175"/>
      <c r="DK44" s="175"/>
      <c r="DL44" s="175"/>
      <c r="DM44" s="175"/>
      <c r="DN44" s="175"/>
      <c r="DO44" s="175"/>
      <c r="DP44" s="175"/>
      <c r="DQ44" s="175"/>
      <c r="DR44" s="175"/>
      <c r="DS44" s="175"/>
      <c r="DT44" s="175"/>
      <c r="DU44" s="175"/>
      <c r="DV44" s="175"/>
      <c r="DW44" s="175"/>
      <c r="DX44" s="175"/>
      <c r="DY44" s="175"/>
      <c r="DZ44" s="175"/>
      <c r="EA44" s="175"/>
      <c r="EB44" s="175"/>
      <c r="EC44" s="175"/>
      <c r="ED44" s="175"/>
      <c r="EE44" s="175"/>
      <c r="EF44" s="175"/>
      <c r="EG44" s="175"/>
      <c r="EH44" s="175"/>
    </row>
    <row r="45" spans="5:145" ht="20.100000000000001" customHeight="1" x14ac:dyDescent="0.3">
      <c r="W45" s="175"/>
      <c r="X45" s="175"/>
      <c r="Y45" s="175"/>
      <c r="Z45" s="175"/>
      <c r="AA45" s="175"/>
      <c r="AB45" s="175"/>
      <c r="AC45" s="175" t="s">
        <v>138</v>
      </c>
      <c r="AD45" s="175">
        <f>(AD37-AD39)/LN((AD37-AD36)/(AD39-AD36))</f>
        <v>10.298495384568954</v>
      </c>
      <c r="AE45" s="175">
        <f>(AE37-AE39)/LN((AE37-AE36)/(AE39-AE36))</f>
        <v>-6.3829294357033293</v>
      </c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75"/>
      <c r="BT45" s="175"/>
      <c r="BU45" s="175"/>
      <c r="BV45" s="175"/>
      <c r="BW45" s="175"/>
      <c r="BX45" s="175"/>
      <c r="BY45" s="175"/>
      <c r="BZ45" s="175"/>
      <c r="CA45" s="175"/>
      <c r="CB45" s="175"/>
      <c r="CC45" s="175"/>
      <c r="CD45" s="175"/>
      <c r="CE45" s="175"/>
      <c r="CF45" s="175"/>
      <c r="CG45" s="175"/>
      <c r="CH45" s="175"/>
      <c r="CI45" s="175"/>
      <c r="CJ45" s="175"/>
      <c r="CK45" s="175"/>
      <c r="CL45" s="175"/>
      <c r="CM45" s="175"/>
      <c r="CN45" s="175"/>
      <c r="CO45" s="175"/>
      <c r="CP45" s="175"/>
      <c r="CQ45" s="175"/>
      <c r="CR45" s="175"/>
      <c r="CS45" s="175"/>
      <c r="CT45" s="175"/>
      <c r="CU45" s="175"/>
      <c r="CV45" s="175"/>
      <c r="CW45" s="175"/>
      <c r="CX45" s="175"/>
      <c r="CY45" s="175"/>
      <c r="CZ45" s="175"/>
      <c r="DA45" s="175"/>
      <c r="DB45" s="175"/>
      <c r="DC45" s="175"/>
      <c r="DD45" s="175"/>
      <c r="DE45" s="175"/>
      <c r="DF45" s="175"/>
      <c r="DG45" s="175"/>
      <c r="DH45" s="175"/>
      <c r="DI45" s="175"/>
      <c r="DJ45" s="175"/>
      <c r="DK45" s="175"/>
      <c r="DL45" s="175"/>
      <c r="DM45" s="175"/>
      <c r="DN45" s="175"/>
      <c r="DO45" s="175"/>
      <c r="DP45" s="175"/>
      <c r="DQ45" s="175"/>
      <c r="DR45" s="175"/>
      <c r="DS45" s="175"/>
      <c r="DT45" s="175"/>
      <c r="DU45" s="175"/>
      <c r="DV45" s="175"/>
      <c r="DW45" s="175"/>
      <c r="DX45" s="175"/>
      <c r="DY45" s="175"/>
      <c r="DZ45" s="175"/>
      <c r="EA45" s="175"/>
      <c r="EB45" s="175"/>
      <c r="EC45" s="175"/>
      <c r="ED45" s="175"/>
      <c r="EE45" s="175"/>
      <c r="EF45" s="175"/>
      <c r="EG45" s="175"/>
      <c r="EH45" s="175"/>
    </row>
    <row r="46" spans="5:145" ht="20.100000000000001" customHeight="1" x14ac:dyDescent="0.3">
      <c r="W46" s="175"/>
      <c r="X46" s="175"/>
      <c r="Y46" s="175"/>
      <c r="Z46" s="175"/>
      <c r="AA46" s="175"/>
      <c r="AB46" s="175"/>
      <c r="AC46" s="175" t="s">
        <v>149</v>
      </c>
      <c r="AD46" s="175">
        <f>IF(AD40,6.1969*ABS(AD45)^1.0614,0)</f>
        <v>73.643187303375427</v>
      </c>
      <c r="AE46" s="175">
        <f>IF(AE40,8.5855*ABS(AE45)^1.0557,0)</f>
        <v>60.76104748355224</v>
      </c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  <c r="BQ46" s="175"/>
      <c r="BR46" s="175"/>
      <c r="BS46" s="175"/>
      <c r="BT46" s="175"/>
      <c r="BU46" s="175"/>
      <c r="BV46" s="175"/>
      <c r="BW46" s="175"/>
      <c r="BX46" s="175"/>
      <c r="BY46" s="175"/>
      <c r="BZ46" s="175"/>
      <c r="CA46" s="175"/>
      <c r="CB46" s="175"/>
      <c r="CC46" s="175"/>
      <c r="CD46" s="175"/>
      <c r="CE46" s="175"/>
      <c r="CF46" s="175"/>
      <c r="CG46" s="175"/>
      <c r="CH46" s="175"/>
      <c r="CI46" s="175"/>
      <c r="CJ46" s="175"/>
      <c r="CK46" s="175"/>
      <c r="CL46" s="175"/>
      <c r="CM46" s="175"/>
      <c r="CN46" s="175"/>
      <c r="CO46" s="175"/>
      <c r="CP46" s="175"/>
      <c r="CQ46" s="175"/>
      <c r="CR46" s="175"/>
      <c r="CS46" s="175"/>
      <c r="CT46" s="175"/>
      <c r="CU46" s="175"/>
      <c r="CV46" s="175"/>
      <c r="CW46" s="175"/>
      <c r="CX46" s="175"/>
      <c r="CY46" s="175"/>
      <c r="CZ46" s="175"/>
      <c r="DA46" s="175"/>
      <c r="DB46" s="175"/>
      <c r="DC46" s="175"/>
      <c r="DD46" s="175"/>
      <c r="DE46" s="175"/>
      <c r="DF46" s="175"/>
      <c r="DG46" s="175"/>
      <c r="DH46" s="175"/>
      <c r="DI46" s="175"/>
      <c r="DJ46" s="175"/>
      <c r="DK46" s="175"/>
      <c r="DL46" s="175"/>
      <c r="DM46" s="175"/>
      <c r="DN46" s="175"/>
      <c r="DO46" s="175"/>
      <c r="DP46" s="175"/>
      <c r="DQ46" s="175"/>
      <c r="DR46" s="175"/>
      <c r="DS46" s="175"/>
      <c r="DT46" s="175"/>
      <c r="DU46" s="175"/>
      <c r="DV46" s="175"/>
      <c r="DW46" s="175"/>
      <c r="DX46" s="175"/>
      <c r="DY46" s="175"/>
      <c r="DZ46" s="175"/>
      <c r="EA46" s="175"/>
      <c r="EB46" s="175"/>
      <c r="EC46" s="175"/>
      <c r="ED46" s="175"/>
      <c r="EE46" s="175"/>
      <c r="EF46" s="175"/>
      <c r="EG46" s="175"/>
      <c r="EH46" s="175"/>
    </row>
  </sheetData>
  <sheetProtection algorithmName="SHA-512" hashValue="0GwyIZyb3op/vPtjhMjg4VhFaoJQUJh/0o790EcH+wZ6qExTzYggYfQ3dZu/DrVFlL06BTYw/sotCAP/spamAg==" saltValue="pj/3NzhM6ei0wk+oNENwXw==" spinCount="100000" sheet="1" objects="1" scenarios="1" selectLockedCells="1"/>
  <mergeCells count="3">
    <mergeCell ref="B17:B18"/>
    <mergeCell ref="C17:C18"/>
    <mergeCell ref="F2:G2"/>
  </mergeCells>
  <conditionalFormatting sqref="F4:F31">
    <cfRule type="expression" dxfId="15" priority="16">
      <formula>AND(AE4&lt;&gt;"",MOD(AC4,2)=0)</formula>
    </cfRule>
  </conditionalFormatting>
  <conditionalFormatting sqref="G4:G31">
    <cfRule type="expression" dxfId="14" priority="15">
      <formula>AND(AE4&lt;&gt;"",MOD(AC4,2)=0)</formula>
    </cfRule>
  </conditionalFormatting>
  <conditionalFormatting sqref="F5:F31">
    <cfRule type="expression" dxfId="13" priority="14">
      <formula>F4&lt;&gt;""</formula>
    </cfRule>
  </conditionalFormatting>
  <conditionalFormatting sqref="G5:G31">
    <cfRule type="expression" dxfId="12" priority="13">
      <formula>G4&lt;&gt;""</formula>
    </cfRule>
  </conditionalFormatting>
  <conditionalFormatting sqref="H3:U3">
    <cfRule type="expression" dxfId="11" priority="12">
      <formula>H3&lt;&gt;""</formula>
    </cfRule>
  </conditionalFormatting>
  <conditionalFormatting sqref="K2:U2">
    <cfRule type="expression" dxfId="10" priority="11">
      <formula>K4&lt;&gt;""</formula>
    </cfRule>
  </conditionalFormatting>
  <conditionalFormatting sqref="J2:U2">
    <cfRule type="expression" dxfId="9" priority="10">
      <formula>AND(J3&lt;&gt;"",K3="")</formula>
    </cfRule>
  </conditionalFormatting>
  <conditionalFormatting sqref="H4:U31">
    <cfRule type="expression" dxfId="8" priority="2">
      <formula>MOD($AC4,2)=1</formula>
    </cfRule>
    <cfRule type="expression" dxfId="7" priority="3">
      <formula>MOD($AC4,2)=0</formula>
    </cfRule>
    <cfRule type="expression" dxfId="6" priority="9">
      <formula>AND($F4&lt;&gt;"",H$3&lt;&gt;"")</formula>
    </cfRule>
  </conditionalFormatting>
  <conditionalFormatting sqref="H5:U31">
    <cfRule type="expression" dxfId="5" priority="8">
      <formula>AND($F4&lt;&gt;"",H$3&lt;&gt;"")</formula>
    </cfRule>
  </conditionalFormatting>
  <conditionalFormatting sqref="F4:U31">
    <cfRule type="expression" dxfId="4" priority="4">
      <formula>AND(NOT($AD4),$AE4&lt;&gt;"",$AC4&gt;1,F$3&lt;&gt;"")</formula>
    </cfRule>
    <cfRule type="expression" dxfId="3" priority="5">
      <formula>AND(NOT($AD4),$AE4&lt;&gt;"",$AC4&lt;2,F$3&lt;&gt;"")</formula>
    </cfRule>
    <cfRule type="expression" dxfId="2" priority="6">
      <formula>AND($AD4,$AE4&lt;&gt;"",$AC4&gt;1,F$3&lt;&gt;"")</formula>
    </cfRule>
    <cfRule type="expression" dxfId="1" priority="7">
      <formula>AND($AD4,$AE4&lt;&gt;"",$AC4&lt;2,F$3&lt;&gt;"")</formula>
    </cfRule>
  </conditionalFormatting>
  <pageMargins left="0.7" right="0.7" top="0.75" bottom="0.75" header="0.3" footer="0.3"/>
  <pageSetup paperSize="9" orientation="portrait" r:id="rId1"/>
  <ignoredErrors>
    <ignoredError sqref="H5:U31" formula="1"/>
    <ignoredError sqref="AD5:AD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11</vt:i4>
      </vt:variant>
    </vt:vector>
  </HeadingPairs>
  <TitlesOfParts>
    <vt:vector size="16" baseType="lpstr">
      <vt:lpstr>Alap</vt:lpstr>
      <vt:lpstr>Ajánlat részletek</vt:lpstr>
      <vt:lpstr>Tervrajz</vt:lpstr>
      <vt:lpstr>Harmatpont segédlet</vt:lpstr>
      <vt:lpstr>Részletes hőtani segédlet</vt:lpstr>
      <vt:lpstr>alfa_belső</vt:lpstr>
      <vt:lpstr>alfa_külső</vt:lpstr>
      <vt:lpstr>Csőköz</vt:lpstr>
      <vt:lpstr>Csőszám</vt:lpstr>
      <vt:lpstr>D_cső_belső</vt:lpstr>
      <vt:lpstr>D_cső_külső</vt:lpstr>
      <vt:lpstr>GK_vast</vt:lpstr>
      <vt:lpstr>Hossz</vt:lpstr>
      <vt:lpstr>lambda_GK</vt:lpstr>
      <vt:lpstr>Lemezvastagság</vt:lpstr>
      <vt:lpstr>Szélesség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Sandor Benedek</dc:creator>
  <dc:description/>
  <cp:lastModifiedBy>Szalai István</cp:lastModifiedBy>
  <cp:revision>2</cp:revision>
  <dcterms:created xsi:type="dcterms:W3CDTF">2023-02-13T11:01:24Z</dcterms:created>
  <dcterms:modified xsi:type="dcterms:W3CDTF">2025-06-16T19:45:11Z</dcterms:modified>
  <dc:language>hu-HU</dc:language>
</cp:coreProperties>
</file>